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harts/chart13.xml" ContentType="application/vnd.openxmlformats-officedocument.drawingml.chart+xml"/>
  <Override PartName="/xl/theme/themeOverride1.xml" ContentType="application/vnd.openxmlformats-officedocument.themeOverride+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theme/themeOverride3.xml" ContentType="application/vnd.openxmlformats-officedocument.themeOverride+xml"/>
  <Override PartName="/xl/charts/chart21.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style1.xml" ContentType="application/vnd.ms-office.chartstyle+xml"/>
  <Override PartName="/xl/charts/colors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omments3.xml" ContentType="application/vnd.openxmlformats-officedocument.spreadsheetml.comments+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style5.xml" ContentType="application/vnd.ms-office.chartstyle+xml"/>
  <Override PartName="/xl/charts/colors5.xml" ContentType="application/vnd.ms-office.chartcolorstyle+xml"/>
  <Override PartName="/xl/charts/chart30.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mc:AlternateContent xmlns:mc="http://schemas.openxmlformats.org/markup-compatibility/2006">
    <mc:Choice Requires="x15">
      <x15ac:absPath xmlns:x15ac="http://schemas.microsoft.com/office/spreadsheetml/2010/11/ac" url="D:\Ульянов\Помощник ЭКР\019\"/>
    </mc:Choice>
  </mc:AlternateContent>
  <workbookProtection workbookPassword="EDC7" lockStructure="1"/>
  <bookViews>
    <workbookView xWindow="0" yWindow="0" windowWidth="19440" windowHeight="7755" tabRatio="839"/>
  </bookViews>
  <sheets>
    <sheet name="Титульный лист" sheetId="21" r:id="rId1"/>
    <sheet name="Рейтинг МКД" sheetId="35" r:id="rId2"/>
    <sheet name="Ввод исходных данных" sheetId="5" r:id="rId3"/>
    <sheet name="Список мероприятий" sheetId="15" r:id="rId4"/>
    <sheet name="Экономический расчет" sheetId="33" r:id="rId5"/>
    <sheet name="Форма приложения к заявке" sheetId="31" r:id="rId6"/>
    <sheet name="Форма обратной связи" sheetId="22" r:id="rId7"/>
    <sheet name="Серии планировка" sheetId="18" state="hidden" r:id="rId8"/>
    <sheet name="Расчет базового уровня" sheetId="6" state="hidden" r:id="rId9"/>
    <sheet name="Расчет после реализации" sheetId="20" state="hidden" r:id="rId10"/>
    <sheet name="Библиотека технологий" sheetId="17" state="hidden" r:id="rId11"/>
    <sheet name="Климатология" sheetId="2" state="hidden" r:id="rId12"/>
    <sheet name="Серии теплотехника" sheetId="11" state="hidden" r:id="rId13"/>
    <sheet name="Система отопления" sheetId="8" state="hidden" r:id="rId14"/>
    <sheet name="Система электроснабжения" sheetId="10" state="hidden" r:id="rId15"/>
    <sheet name="Система ГВС" sheetId="14" state="hidden" r:id="rId16"/>
    <sheet name="списки" sheetId="4" state="hidden" r:id="rId17"/>
    <sheet name="классы ЭЭ и выбросы ПГ" sheetId="24" state="hidden" r:id="rId18"/>
    <sheet name="кривые" sheetId="25" state="hidden" r:id="rId19"/>
    <sheet name="кривые-экспресс" sheetId="27" state="hidden" r:id="rId20"/>
    <sheet name="Электроэнергия_на_обогрев" sheetId="30" state="hidden" r:id="rId21"/>
  </sheets>
  <definedNames>
    <definedName name="_xlnm._FilterDatabase" localSheetId="11" hidden="1">Климатология!$A$8:$BF$8</definedName>
    <definedName name="_xlnm._FilterDatabase" localSheetId="6" hidden="1">'Форма обратной связи'!$A$1:$D$72</definedName>
    <definedName name="ActionMatrix_All" comment="Матрица всех мероприятий">'Список мероприятий'!$AV$5:$BC$30</definedName>
    <definedName name="Actions_extra" comment="Лишние мероприятия">'Список мероприятий'!$AY$5:$AY$7</definedName>
    <definedName name="AITPIAUU" localSheetId="1">списки!$N$44:$N$46</definedName>
    <definedName name="AITPIAUU" localSheetId="5">списки!$N$44:$N$46</definedName>
    <definedName name="AITPIAUU">списки!$N$44:$N$46</definedName>
    <definedName name="AptWindow" localSheetId="5">списки!$S$65:$S$77</definedName>
    <definedName name="AptWindow">списки!$S$65:$S$77</definedName>
    <definedName name="AtticMat" localSheetId="1">списки!$M$28:$M$30</definedName>
    <definedName name="AtticMat" localSheetId="5">списки!$M$28:$M$30</definedName>
    <definedName name="AtticMat">списки!$M$28:$M$30</definedName>
    <definedName name="AUU" localSheetId="1">списки!$N$44:$N$45</definedName>
    <definedName name="AUU" localSheetId="5">списки!$N$44:$N$45</definedName>
    <definedName name="AUU">списки!$N$44:$N$45</definedName>
    <definedName name="CellarMat" localSheetId="1">списки!$M$28:$M$29</definedName>
    <definedName name="CellarMat" localSheetId="5">списки!$M$28:$M$29</definedName>
    <definedName name="CellarMat">списки!$M$28:$M$29</definedName>
    <definedName name="CGVS" localSheetId="1">'Система ГВС'!$F$3</definedName>
    <definedName name="CGVS" localSheetId="5">'Система ГВС'!$F$3</definedName>
    <definedName name="CGVS">'Система ГВС'!$F$3</definedName>
    <definedName name="danet" localSheetId="1">списки!$AR$3:$AR$5</definedName>
    <definedName name="danet" localSheetId="5">списки!$AR$3:$AR$5</definedName>
    <definedName name="danet">списки!$AR$3:$AR$5</definedName>
    <definedName name="datebill" localSheetId="1">списки!$AL$24</definedName>
    <definedName name="datebill" localSheetId="5">списки!$AL$24</definedName>
    <definedName name="datebill">списки!$AL$24</definedName>
    <definedName name="lamps" localSheetId="1">списки!$AN$3:$AN$8</definedName>
    <definedName name="lamps" localSheetId="5">списки!$AN$3:$AN$8</definedName>
    <definedName name="lamps">списки!$AN$3:$AN$8</definedName>
    <definedName name="LampsNew" localSheetId="1">списки!$AN$11:$AN$15</definedName>
    <definedName name="LampsNew" localSheetId="5">списки!$AN$11:$AN$15</definedName>
    <definedName name="LampsNew">списки!$AN$11:$AN$15</definedName>
    <definedName name="layer" localSheetId="1">списки!$O$16:$O$22</definedName>
    <definedName name="layer" localSheetId="5">списки!$O$16:$O$22</definedName>
    <definedName name="layer">списки!$O$16:$O$22</definedName>
    <definedName name="layer15" localSheetId="1">списки!$O$16:$O$19</definedName>
    <definedName name="layer15" localSheetId="5">списки!$O$16:$O$19</definedName>
    <definedName name="layer15">списки!$O$16:$O$19</definedName>
    <definedName name="materials" localSheetId="1">списки!$M$16:$M$20</definedName>
    <definedName name="materials" localSheetId="5">списки!$M$16:$M$20</definedName>
    <definedName name="materials">списки!$M$16:$M$19</definedName>
    <definedName name="Months" localSheetId="1">списки!$AK$3:$AK$8</definedName>
    <definedName name="Months" localSheetId="5">списки!$AK$3:$AK$8</definedName>
    <definedName name="Months">списки!$AK$3:$AK$8</definedName>
    <definedName name="months12" localSheetId="1">списки!$AK$12:$AK$23</definedName>
    <definedName name="months12" localSheetId="5">списки!$AK$12:$AK$23</definedName>
    <definedName name="months12">списки!$AK$12:$AK$23</definedName>
    <definedName name="Months12ext">списки!$AK$11:$AK$23</definedName>
    <definedName name="pereplet">списки!$AE$3:$AE$7</definedName>
    <definedName name="repair">списки!$M$23:$M$25</definedName>
    <definedName name="Shvy">списки!$N$50:$N$52</definedName>
    <definedName name="SNIP_temperature">Климатология!$D$9:$BF$548</definedName>
    <definedName name="snipyear" localSheetId="1">списки!$Y$48:$Y$51</definedName>
    <definedName name="snipyear" localSheetId="5">списки!$Y$48:$Y$51</definedName>
    <definedName name="snipyear">списки!$Y$48:$Y$51</definedName>
    <definedName name="SposobRascheta" localSheetId="5">списки!$AI$3:$AI$5</definedName>
    <definedName name="SposobRascheta">списки!$AI$3:$AI$5</definedName>
    <definedName name="TempWat" localSheetId="1">списки!$Y$54:$Y$55</definedName>
    <definedName name="TempWat" localSheetId="5">списки!$Y$54:$Y$55</definedName>
    <definedName name="TempWat">списки!$Y$54:$Y$55</definedName>
    <definedName name="Windows" localSheetId="1">списки!$N$32:$N$40</definedName>
    <definedName name="Windows" localSheetId="5">списки!$N$32:$N$40</definedName>
    <definedName name="Windows">списки!$N$32:$N$40</definedName>
    <definedName name="WindowsOld" localSheetId="1">списки!$AG$3:$AG$9</definedName>
    <definedName name="WindowsOld" localSheetId="5">списки!$AG$3:$AG$9</definedName>
    <definedName name="WindowsOld">списки!$AG$3:$AG$9</definedName>
    <definedName name="Анкета_Виды_деятельности" localSheetId="6">'Форма обратной связи'!$H$5:$H$10</definedName>
    <definedName name="Анкета_Виды_лиц" localSheetId="6">'Форма обратной связи'!$I$5:$I$8</definedName>
    <definedName name="Анкета_Субъекты_РФ" localSheetId="6">'Форма обратной связи'!$G$5:$G$89</definedName>
    <definedName name="ГодПостройки">списки!$D$2:$D$11</definedName>
    <definedName name="Годы_текущий_минус_1" localSheetId="2">списки!$AI$11:$AI$13</definedName>
    <definedName name="нежил">списки!$N$2:$N$4</definedName>
    <definedName name="_xlnm.Print_Area" localSheetId="1">'Рейтинг МКД'!$B$2:$G$95</definedName>
    <definedName name="_xlnm.Print_Area" localSheetId="0">'Титульный лист'!$B$3:$D$15</definedName>
    <definedName name="_xlnm.Print_Area" localSheetId="6">'Форма обратной связи'!$B$2:$E$79</definedName>
    <definedName name="_xlnm.Print_Area" localSheetId="5">'Форма приложения к заявке'!$B$3:$O$199</definedName>
    <definedName name="_xlnm.Print_Area" localSheetId="4">'Экономический расчет'!$B$2:$R$220</definedName>
    <definedName name="ОсвНар" localSheetId="1">списки!$AN$17:$AN$19</definedName>
    <definedName name="ОсвНар" localSheetId="5">списки!$AN$17:$AN$19</definedName>
    <definedName name="ОсвНар">списки!$AN$17:$AN$19</definedName>
    <definedName name="ОсвНарСтар" localSheetId="1">списки!$AN$21:$AN$24</definedName>
    <definedName name="ОсвНарСтар" localSheetId="5">списки!$AN$21:$AN$24</definedName>
    <definedName name="ОсвНарСтар">списки!$AN$21:$AN$24</definedName>
    <definedName name="РегионСтарт" localSheetId="19">Table2[[#Headers],[Регион]]</definedName>
    <definedName name="РегионСтарт" localSheetId="9">Table2[[#Headers],[Регион]]</definedName>
    <definedName name="РегионСтарт" localSheetId="1">списки!$J$2</definedName>
    <definedName name="РегионСтарт">Table2[[#Headers],[Регион]]</definedName>
    <definedName name="РегионСтолбец" localSheetId="19">Table2[[#All],[Регион]]</definedName>
    <definedName name="РегионСтолбец" localSheetId="9">Table2[[#All],[Регион]]</definedName>
    <definedName name="РегионСтолбец" localSheetId="1">списки!$J$2:$J$543</definedName>
    <definedName name="РегионСтолбец">Table2[[#All],[Регион]]</definedName>
    <definedName name="РегионыСписок" localSheetId="1">списки!$F$2:$F$88</definedName>
    <definedName name="РегионыСписок" localSheetId="5">списки!$F$2:$F$88</definedName>
    <definedName name="РегионыСписок">списки!$F$2:$F$88</definedName>
    <definedName name="Серии" localSheetId="1">списки!$B$2:$B$23</definedName>
    <definedName name="Серии" localSheetId="5">списки!$B$2:$B$23</definedName>
    <definedName name="Серии">списки!$B$2:$B$23</definedName>
    <definedName name="СерииТепл" localSheetId="1">'Серии теплотехника'!$A$5:$A$33</definedName>
    <definedName name="СерииТепл" localSheetId="5">'Серии теплотехника'!$A$5:$A$33</definedName>
    <definedName name="СерииТепл">'Серии теплотехника'!$A$5:$A$33</definedName>
    <definedName name="СерииТеплНач" localSheetId="1">'Серии теплотехника'!$C$5</definedName>
    <definedName name="СерииТеплНач" localSheetId="5">'Серии теплотехника'!$C$5</definedName>
    <definedName name="СерииТеплНач">'Серии теплотехника'!$C$5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4" i="5" l="1"/>
  <c r="I275" i="5"/>
  <c r="I276" i="5"/>
  <c r="I277" i="5"/>
  <c r="I278" i="5"/>
  <c r="I279" i="5"/>
  <c r="I280" i="5"/>
  <c r="I281" i="5"/>
  <c r="I282" i="5"/>
  <c r="I283" i="5"/>
  <c r="I284" i="5"/>
  <c r="I273" i="5"/>
  <c r="C133" i="20" l="1"/>
  <c r="C136" i="20" s="1"/>
  <c r="BH12" i="24"/>
  <c r="AU12" i="24"/>
  <c r="AV12" i="24"/>
  <c r="AW12" i="24"/>
  <c r="AX12" i="24"/>
  <c r="AY12" i="24"/>
  <c r="AZ12" i="24"/>
  <c r="BA12" i="24"/>
  <c r="BB12" i="24"/>
  <c r="BC12" i="24"/>
  <c r="BD12" i="24"/>
  <c r="BE12" i="24"/>
  <c r="BF12" i="24"/>
  <c r="BG12" i="24"/>
  <c r="AT12" i="24"/>
  <c r="R12" i="24"/>
  <c r="E12" i="24"/>
  <c r="F12" i="24"/>
  <c r="G12" i="24"/>
  <c r="H12" i="24"/>
  <c r="I12" i="24"/>
  <c r="J12" i="24"/>
  <c r="K12" i="24"/>
  <c r="L12" i="24"/>
  <c r="M12" i="24"/>
  <c r="N12" i="24"/>
  <c r="O12" i="24"/>
  <c r="P12" i="24"/>
  <c r="Q12" i="24"/>
  <c r="D12" i="24"/>
  <c r="F265" i="5" l="1"/>
  <c r="I265" i="5" l="1"/>
  <c r="E165" i="5"/>
  <c r="F203" i="5" l="1"/>
  <c r="D210" i="5" l="1"/>
  <c r="F202" i="5"/>
  <c r="C207" i="5"/>
  <c r="C206" i="5"/>
  <c r="C208" i="5"/>
  <c r="C284" i="5"/>
  <c r="C283" i="5"/>
  <c r="C282" i="5"/>
  <c r="C281" i="5"/>
  <c r="C280" i="5"/>
  <c r="C278" i="5"/>
  <c r="C277" i="5"/>
  <c r="C276" i="5"/>
  <c r="C275" i="5"/>
  <c r="C274" i="5"/>
  <c r="J274" i="5" s="1"/>
  <c r="E172" i="5" s="1"/>
  <c r="C273" i="5"/>
  <c r="C279" i="5"/>
  <c r="B217" i="5"/>
  <c r="B208" i="5"/>
  <c r="AL24" i="4" l="1"/>
  <c r="F208" i="5" l="1"/>
  <c r="F206" i="5"/>
  <c r="F305" i="5"/>
  <c r="F304" i="5"/>
  <c r="E302" i="5"/>
  <c r="D302" i="5"/>
  <c r="C58" i="4"/>
  <c r="F209" i="5" l="1"/>
  <c r="G281" i="5"/>
  <c r="M281" i="5"/>
  <c r="G277" i="5"/>
  <c r="M277" i="5"/>
  <c r="M284" i="5"/>
  <c r="G284" i="5"/>
  <c r="M280" i="5"/>
  <c r="G280" i="5"/>
  <c r="C133" i="5"/>
  <c r="M276" i="5"/>
  <c r="G276" i="5"/>
  <c r="G283" i="5"/>
  <c r="M283" i="5"/>
  <c r="G279" i="5"/>
  <c r="M279" i="5"/>
  <c r="M282" i="5"/>
  <c r="G282" i="5"/>
  <c r="M278" i="5"/>
  <c r="G278" i="5"/>
  <c r="M274" i="5"/>
  <c r="G274" i="5"/>
  <c r="G273" i="5"/>
  <c r="M273" i="5"/>
  <c r="E322" i="5"/>
  <c r="D303" i="5"/>
  <c r="K273" i="5"/>
  <c r="K274" i="5"/>
  <c r="K275" i="5"/>
  <c r="K276" i="5"/>
  <c r="K277" i="5"/>
  <c r="K278" i="5"/>
  <c r="K280" i="5"/>
  <c r="K281" i="5"/>
  <c r="K282" i="5"/>
  <c r="K283" i="5"/>
  <c r="K284" i="5"/>
  <c r="K279" i="5"/>
  <c r="D211" i="5"/>
  <c r="D185" i="5" l="1"/>
  <c r="M122" i="31" s="1"/>
  <c r="M86" i="31"/>
  <c r="M85" i="31"/>
  <c r="M82" i="31"/>
  <c r="M81" i="31"/>
  <c r="M80" i="31"/>
  <c r="M79" i="31"/>
  <c r="M73" i="31" l="1"/>
  <c r="M72" i="31"/>
  <c r="M71" i="31"/>
  <c r="B59" i="4" l="1"/>
  <c r="C70" i="4" l="1"/>
  <c r="C105" i="6" s="1"/>
  <c r="C67" i="4"/>
  <c r="C66" i="4"/>
  <c r="C65" i="4"/>
  <c r="C56" i="4" l="1"/>
  <c r="C59" i="4"/>
  <c r="E57" i="4"/>
  <c r="C57" i="4" s="1"/>
  <c r="C60" i="4"/>
  <c r="C61" i="4"/>
  <c r="C62" i="4"/>
  <c r="C63" i="4"/>
  <c r="C69" i="4"/>
  <c r="C68" i="4"/>
  <c r="C72" i="4"/>
  <c r="C75" i="4"/>
  <c r="C104" i="6" l="1"/>
  <c r="F71" i="5"/>
  <c r="M87" i="31"/>
  <c r="D13" i="5"/>
  <c r="AA9" i="15" l="1"/>
  <c r="D62" i="5"/>
  <c r="E319" i="5" l="1"/>
  <c r="F23" i="5"/>
  <c r="AK23" i="4" l="1"/>
  <c r="AK22" i="4"/>
  <c r="AK21" i="4"/>
  <c r="AK20" i="4"/>
  <c r="AK19" i="4"/>
  <c r="AK18" i="4"/>
  <c r="AK17" i="4"/>
  <c r="AK16" i="4"/>
  <c r="AK15" i="4"/>
  <c r="AK14" i="4"/>
  <c r="AK13" i="4"/>
  <c r="AK12" i="4"/>
  <c r="C217" i="5" s="1"/>
  <c r="C301" i="5"/>
  <c r="C300" i="5"/>
  <c r="C299" i="5"/>
  <c r="C298" i="5"/>
  <c r="C297" i="5"/>
  <c r="C296" i="5"/>
  <c r="C295" i="5"/>
  <c r="C294" i="5"/>
  <c r="C293" i="5"/>
  <c r="C292" i="5"/>
  <c r="C291" i="5"/>
  <c r="C264" i="5"/>
  <c r="C263" i="5"/>
  <c r="C261" i="5"/>
  <c r="C260" i="5"/>
  <c r="C258" i="5"/>
  <c r="C257" i="5"/>
  <c r="C256" i="5"/>
  <c r="C255" i="5"/>
  <c r="C254" i="5"/>
  <c r="C247" i="5"/>
  <c r="C246" i="5"/>
  <c r="C244" i="5"/>
  <c r="C243" i="5"/>
  <c r="C242" i="5"/>
  <c r="C241" i="5"/>
  <c r="C239" i="5"/>
  <c r="C238" i="5"/>
  <c r="C237" i="5"/>
  <c r="C228" i="5"/>
  <c r="C227" i="5"/>
  <c r="C225" i="5"/>
  <c r="C224" i="5"/>
  <c r="C223" i="5"/>
  <c r="C222" i="5"/>
  <c r="C221" i="5"/>
  <c r="C220" i="5"/>
  <c r="C219" i="5"/>
  <c r="C218" i="5"/>
  <c r="B270" i="5"/>
  <c r="B213" i="5"/>
  <c r="E173" i="5"/>
  <c r="E179" i="5"/>
  <c r="E159" i="5"/>
  <c r="C114" i="5"/>
  <c r="C232" i="5"/>
  <c r="F56" i="5"/>
  <c r="C226" i="5" l="1"/>
  <c r="C245" i="5"/>
  <c r="C262" i="5"/>
  <c r="C259" i="5"/>
  <c r="C240" i="5"/>
  <c r="C236" i="5"/>
  <c r="C253" i="5"/>
  <c r="C290" i="5"/>
  <c r="F76" i="5"/>
  <c r="C74" i="4" l="1"/>
  <c r="B33" i="8"/>
  <c r="E229" i="5"/>
  <c r="E64" i="35" l="1"/>
  <c r="E62" i="35"/>
  <c r="E35" i="35"/>
  <c r="E33" i="35"/>
  <c r="D29" i="35"/>
  <c r="G23" i="35"/>
  <c r="D22" i="35"/>
  <c r="D26" i="35" s="1"/>
  <c r="G26" i="35" s="1"/>
  <c r="G21" i="35"/>
  <c r="E21" i="35"/>
  <c r="D20" i="35"/>
  <c r="D25" i="35" s="1"/>
  <c r="G25" i="35" s="1"/>
  <c r="G19" i="35"/>
  <c r="E19" i="35"/>
  <c r="D18" i="35"/>
  <c r="G18" i="35" s="1"/>
  <c r="G17" i="35"/>
  <c r="E17" i="35"/>
  <c r="G16" i="35"/>
  <c r="G15" i="35"/>
  <c r="G14" i="35"/>
  <c r="G13" i="35"/>
  <c r="G12" i="35"/>
  <c r="G10" i="35"/>
  <c r="G9" i="35"/>
  <c r="G20" i="35" l="1"/>
  <c r="G22" i="35"/>
  <c r="D24" i="35"/>
  <c r="D28" i="35" l="1"/>
  <c r="G28" i="35" s="1"/>
  <c r="D27" i="35"/>
  <c r="G24" i="35"/>
  <c r="G27" i="35" l="1"/>
  <c r="F126" i="5" l="1"/>
  <c r="M132" i="31" l="1"/>
  <c r="M131" i="31"/>
  <c r="M76" i="31"/>
  <c r="P83" i="31"/>
  <c r="M83" i="31" s="1"/>
  <c r="D170" i="20"/>
  <c r="C132" i="5"/>
  <c r="C131" i="5"/>
  <c r="C130" i="5"/>
  <c r="C128" i="5"/>
  <c r="C129" i="5"/>
  <c r="P84" i="31" s="1"/>
  <c r="M84" i="31" s="1"/>
  <c r="C127" i="5"/>
  <c r="M133" i="31"/>
  <c r="M130" i="31"/>
  <c r="J94" i="31"/>
  <c r="J99" i="31"/>
  <c r="J98" i="31"/>
  <c r="J97" i="31"/>
  <c r="J96" i="31"/>
  <c r="J95" i="31"/>
  <c r="H166" i="20" l="1"/>
  <c r="H170" i="20" s="1"/>
  <c r="G168" i="6"/>
  <c r="Q168" i="6"/>
  <c r="O168" i="6"/>
  <c r="M168" i="6"/>
  <c r="K168" i="6"/>
  <c r="I168" i="6"/>
  <c r="G166" i="20"/>
  <c r="G170" i="20" s="1"/>
  <c r="Q166" i="20"/>
  <c r="Q170" i="20" s="1"/>
  <c r="O166" i="20"/>
  <c r="O170" i="20" s="1"/>
  <c r="M166" i="20"/>
  <c r="M170" i="20" s="1"/>
  <c r="K166" i="20"/>
  <c r="K170" i="20" s="1"/>
  <c r="I166" i="20"/>
  <c r="I170" i="20" s="1"/>
  <c r="R168" i="6"/>
  <c r="P168" i="6"/>
  <c r="N168" i="6"/>
  <c r="L168" i="6"/>
  <c r="J168" i="6"/>
  <c r="H168" i="6"/>
  <c r="R166" i="20"/>
  <c r="R170" i="20" s="1"/>
  <c r="P166" i="20"/>
  <c r="P170" i="20" s="1"/>
  <c r="N166" i="20"/>
  <c r="N170" i="20" s="1"/>
  <c r="L166" i="20"/>
  <c r="L170" i="20" s="1"/>
  <c r="J166" i="20"/>
  <c r="J170" i="20" s="1"/>
  <c r="I90" i="33"/>
  <c r="C41" i="5"/>
  <c r="BE11" i="15"/>
  <c r="BA11" i="15" s="1"/>
  <c r="BE24" i="15"/>
  <c r="BA24" i="15" s="1"/>
  <c r="AZ9" i="15"/>
  <c r="BA9" i="15"/>
  <c r="AZ5" i="15"/>
  <c r="BA5" i="15"/>
  <c r="BA10" i="15"/>
  <c r="BA6" i="15"/>
  <c r="AZ12" i="15"/>
  <c r="BA12" i="15"/>
  <c r="BA14" i="15"/>
  <c r="AZ15" i="15"/>
  <c r="BA15" i="15"/>
  <c r="AZ16" i="15"/>
  <c r="BA16" i="15"/>
  <c r="AZ17" i="15"/>
  <c r="BA17" i="15"/>
  <c r="AZ18" i="15"/>
  <c r="BA18" i="15"/>
  <c r="AZ19" i="15"/>
  <c r="BA19" i="15"/>
  <c r="BA20" i="15"/>
  <c r="BA21" i="15"/>
  <c r="AZ22" i="15"/>
  <c r="BA22" i="15"/>
  <c r="AZ23" i="15"/>
  <c r="BA23" i="15"/>
  <c r="AZ24" i="15"/>
  <c r="AZ25" i="15"/>
  <c r="BA25" i="15"/>
  <c r="AZ28" i="15"/>
  <c r="BA28" i="15"/>
  <c r="BA29" i="15"/>
  <c r="BA7" i="15"/>
  <c r="AZ30" i="15"/>
  <c r="BA30" i="15"/>
  <c r="BD8" i="15"/>
  <c r="AZ8" i="15" s="1"/>
  <c r="C61" i="10" l="1"/>
  <c r="Q264" i="5"/>
  <c r="Q262" i="5"/>
  <c r="Q260" i="5"/>
  <c r="Q258" i="5"/>
  <c r="Q256" i="5"/>
  <c r="Q254" i="5"/>
  <c r="R264" i="5"/>
  <c r="R262" i="5"/>
  <c r="R260" i="5"/>
  <c r="R258" i="5"/>
  <c r="R256" i="5"/>
  <c r="R254" i="5"/>
  <c r="G167" i="6" a="1"/>
  <c r="W253" i="5"/>
  <c r="W263" i="5"/>
  <c r="W261" i="5"/>
  <c r="W259" i="5"/>
  <c r="W257" i="5"/>
  <c r="W255" i="5"/>
  <c r="Q253" i="5"/>
  <c r="Q263" i="5"/>
  <c r="Q261" i="5"/>
  <c r="Q259" i="5"/>
  <c r="Q257" i="5"/>
  <c r="Q255" i="5"/>
  <c r="R253" i="5"/>
  <c r="R263" i="5"/>
  <c r="R261" i="5"/>
  <c r="R259" i="5"/>
  <c r="R257" i="5"/>
  <c r="R255" i="5"/>
  <c r="W264" i="5"/>
  <c r="W262" i="5"/>
  <c r="W260" i="5"/>
  <c r="W258" i="5"/>
  <c r="W256" i="5"/>
  <c r="W254" i="5"/>
  <c r="G167" i="6" l="1"/>
  <c r="I167" i="6"/>
  <c r="K167" i="6"/>
  <c r="M167" i="6"/>
  <c r="O167" i="6"/>
  <c r="Q167" i="6"/>
  <c r="H167" i="6"/>
  <c r="J167" i="6"/>
  <c r="L167" i="6"/>
  <c r="N167" i="6"/>
  <c r="P167" i="6"/>
  <c r="R167" i="6"/>
  <c r="AA40" i="15"/>
  <c r="AB40" i="15" s="1"/>
  <c r="AV18" i="15" s="1"/>
  <c r="AB35" i="15"/>
  <c r="AB34" i="15" s="1"/>
  <c r="BD7" i="15"/>
  <c r="AZ7" i="15" s="1"/>
  <c r="BD29" i="15"/>
  <c r="AZ29" i="15" s="1"/>
  <c r="BE27" i="15"/>
  <c r="BA27" i="15" s="1"/>
  <c r="BD27" i="15"/>
  <c r="AZ27" i="15" s="1"/>
  <c r="BE26" i="15"/>
  <c r="BA26" i="15" s="1"/>
  <c r="BD26" i="15"/>
  <c r="AZ26" i="15" s="1"/>
  <c r="BD21" i="15"/>
  <c r="AZ21" i="15" s="1"/>
  <c r="BD20" i="15"/>
  <c r="AZ20" i="15" s="1"/>
  <c r="BD14" i="15"/>
  <c r="AZ14" i="15" s="1"/>
  <c r="BE13" i="15"/>
  <c r="BA13" i="15" s="1"/>
  <c r="BD13" i="15"/>
  <c r="AZ13" i="15" s="1"/>
  <c r="BD11" i="15"/>
  <c r="AZ11" i="15" s="1"/>
  <c r="BD6" i="15"/>
  <c r="AZ6" i="15" s="1"/>
  <c r="BD10" i="15"/>
  <c r="AZ10" i="15" s="1"/>
  <c r="BE8" i="15"/>
  <c r="BA8" i="15" s="1"/>
  <c r="M52" i="31"/>
  <c r="M50" i="31"/>
  <c r="V100" i="33"/>
  <c r="P172" i="6" l="1"/>
  <c r="L172" i="6"/>
  <c r="H172" i="6"/>
  <c r="O172" i="6"/>
  <c r="K172" i="6"/>
  <c r="D172" i="6"/>
  <c r="G172" i="6"/>
  <c r="R172" i="6"/>
  <c r="N172" i="6"/>
  <c r="J172" i="6"/>
  <c r="Q172" i="6"/>
  <c r="M172" i="6"/>
  <c r="I172" i="6"/>
  <c r="AE34" i="15"/>
  <c r="AV14" i="15"/>
  <c r="AE40" i="15"/>
  <c r="H91" i="33"/>
  <c r="M7" i="31"/>
  <c r="B144" i="31"/>
  <c r="B145" i="31"/>
  <c r="B146" i="31"/>
  <c r="B147" i="31"/>
  <c r="B148" i="31"/>
  <c r="B149" i="31"/>
  <c r="B150" i="31"/>
  <c r="B151" i="31"/>
  <c r="B152" i="31"/>
  <c r="B153" i="31"/>
  <c r="B154" i="31"/>
  <c r="B143" i="31"/>
  <c r="K144" i="31" l="1"/>
  <c r="L144" i="31"/>
  <c r="M144" i="31"/>
  <c r="N144" i="31"/>
  <c r="O144" i="31"/>
  <c r="K145" i="31"/>
  <c r="L145" i="31"/>
  <c r="M145" i="31"/>
  <c r="N145" i="31"/>
  <c r="O145" i="31"/>
  <c r="K146" i="31"/>
  <c r="L146" i="31"/>
  <c r="M146" i="31"/>
  <c r="N146" i="31"/>
  <c r="O146" i="31"/>
  <c r="K147" i="31"/>
  <c r="L147" i="31"/>
  <c r="M147" i="31"/>
  <c r="N147" i="31"/>
  <c r="O147" i="31"/>
  <c r="K148" i="31"/>
  <c r="L148" i="31"/>
  <c r="M148" i="31"/>
  <c r="N148" i="31"/>
  <c r="O148" i="31"/>
  <c r="K149" i="31"/>
  <c r="L149" i="31"/>
  <c r="M149" i="31"/>
  <c r="N149" i="31"/>
  <c r="O149" i="31"/>
  <c r="K150" i="31"/>
  <c r="L150" i="31"/>
  <c r="M150" i="31"/>
  <c r="N150" i="31"/>
  <c r="O150" i="31"/>
  <c r="K151" i="31"/>
  <c r="L151" i="31"/>
  <c r="M151" i="31"/>
  <c r="N151" i="31"/>
  <c r="O151" i="31"/>
  <c r="K152" i="31"/>
  <c r="L152" i="31"/>
  <c r="M152" i="31"/>
  <c r="N152" i="31"/>
  <c r="O152" i="31"/>
  <c r="K153" i="31"/>
  <c r="L153" i="31"/>
  <c r="M153" i="31"/>
  <c r="N153" i="31"/>
  <c r="O153" i="31"/>
  <c r="K154" i="31"/>
  <c r="L154" i="31"/>
  <c r="M154" i="31"/>
  <c r="N154" i="31"/>
  <c r="O154" i="31"/>
  <c r="O143" i="31"/>
  <c r="N143" i="31"/>
  <c r="M143" i="31"/>
  <c r="L143" i="31"/>
  <c r="K143" i="31"/>
  <c r="I144" i="31"/>
  <c r="I145" i="31"/>
  <c r="I146" i="31"/>
  <c r="I147" i="31"/>
  <c r="I148" i="31"/>
  <c r="I149" i="31"/>
  <c r="I150" i="31"/>
  <c r="I151" i="31"/>
  <c r="I152" i="31"/>
  <c r="I153" i="31"/>
  <c r="I154" i="31"/>
  <c r="J143" i="31"/>
  <c r="I143" i="31"/>
  <c r="H143" i="31"/>
  <c r="G144" i="31"/>
  <c r="G145" i="31"/>
  <c r="G146" i="31"/>
  <c r="G147" i="31"/>
  <c r="G148" i="31"/>
  <c r="G149" i="31"/>
  <c r="G150" i="31"/>
  <c r="G151" i="31"/>
  <c r="G152" i="31"/>
  <c r="G153" i="31"/>
  <c r="G154" i="31"/>
  <c r="G143" i="31"/>
  <c r="F144" i="31"/>
  <c r="F145" i="31"/>
  <c r="F146" i="31"/>
  <c r="F147" i="31"/>
  <c r="F148" i="31"/>
  <c r="F149" i="31"/>
  <c r="F150" i="31"/>
  <c r="F151" i="31"/>
  <c r="F152" i="31"/>
  <c r="F153" i="31"/>
  <c r="F154" i="31"/>
  <c r="F143" i="31"/>
  <c r="E144" i="31"/>
  <c r="E145" i="31"/>
  <c r="E146" i="31"/>
  <c r="E147" i="31"/>
  <c r="E148" i="31"/>
  <c r="E149" i="31"/>
  <c r="E150" i="31"/>
  <c r="E151" i="31"/>
  <c r="E152" i="31"/>
  <c r="E153" i="31"/>
  <c r="E154" i="31"/>
  <c r="E143" i="31"/>
  <c r="M136" i="31"/>
  <c r="M135" i="31"/>
  <c r="M134" i="31"/>
  <c r="M129" i="31"/>
  <c r="M128" i="31"/>
  <c r="M127" i="31"/>
  <c r="M126" i="31"/>
  <c r="M123" i="31"/>
  <c r="M124" i="31"/>
  <c r="M125" i="31"/>
  <c r="M119" i="31"/>
  <c r="M118" i="31"/>
  <c r="M107" i="31"/>
  <c r="M108" i="31"/>
  <c r="M110" i="31"/>
  <c r="M113" i="31" s="1"/>
  <c r="M111" i="31"/>
  <c r="M112" i="31"/>
  <c r="M114" i="31"/>
  <c r="M117" i="31" s="1"/>
  <c r="M115" i="31"/>
  <c r="M116" i="31"/>
  <c r="M106" i="31"/>
  <c r="M109" i="31" s="1"/>
  <c r="M104" i="31"/>
  <c r="M103" i="31"/>
  <c r="M102" i="31"/>
  <c r="M105" i="31" s="1"/>
  <c r="L99" i="31"/>
  <c r="L98" i="31"/>
  <c r="L97" i="31"/>
  <c r="L96" i="31"/>
  <c r="L95" i="31"/>
  <c r="L94" i="31"/>
  <c r="M90" i="31"/>
  <c r="M89" i="31"/>
  <c r="M88" i="31"/>
  <c r="M75" i="31"/>
  <c r="M74" i="31"/>
  <c r="N95" i="31" l="1"/>
  <c r="H95" i="31"/>
  <c r="F95" i="31"/>
  <c r="H97" i="31"/>
  <c r="F97" i="31"/>
  <c r="N97" i="31"/>
  <c r="N99" i="31"/>
  <c r="H99" i="31"/>
  <c r="F99" i="31"/>
  <c r="N94" i="31"/>
  <c r="H94" i="31"/>
  <c r="F94" i="31"/>
  <c r="F98" i="31"/>
  <c r="N98" i="31"/>
  <c r="H98" i="31"/>
  <c r="N96" i="31"/>
  <c r="H96" i="31"/>
  <c r="F96" i="31"/>
  <c r="M32" i="31"/>
  <c r="M31" i="31"/>
  <c r="M30" i="31"/>
  <c r="M21" i="31"/>
  <c r="M20" i="31"/>
  <c r="M19" i="31"/>
  <c r="M18" i="31"/>
  <c r="M17" i="31"/>
  <c r="M16" i="31"/>
  <c r="M15" i="31"/>
  <c r="M13" i="31"/>
  <c r="M12" i="31"/>
  <c r="M11" i="31"/>
  <c r="M10" i="31"/>
  <c r="M8" i="31"/>
  <c r="M68" i="31"/>
  <c r="M67" i="31"/>
  <c r="M66" i="31"/>
  <c r="M65" i="31"/>
  <c r="M64" i="31"/>
  <c r="M63" i="31"/>
  <c r="M62" i="31"/>
  <c r="M34" i="31"/>
  <c r="M33" i="31"/>
  <c r="H92" i="33"/>
  <c r="M28" i="31"/>
  <c r="M27" i="31"/>
  <c r="M26" i="31"/>
  <c r="M25" i="31"/>
  <c r="M24" i="31"/>
  <c r="M23" i="31"/>
  <c r="M22" i="31"/>
  <c r="M14" i="31"/>
  <c r="C121" i="33" l="1"/>
  <c r="C122" i="33" l="1"/>
  <c r="C123" i="33" l="1"/>
  <c r="C124" i="33" l="1"/>
  <c r="C125" i="33" l="1"/>
  <c r="C126" i="33" l="1"/>
  <c r="C127" i="33" l="1"/>
  <c r="C128" i="33" l="1"/>
  <c r="C129" i="33" l="1"/>
  <c r="C130" i="33" l="1"/>
  <c r="C131" i="33" l="1"/>
  <c r="C132" i="33" l="1"/>
  <c r="C133" i="33" l="1"/>
  <c r="C134" i="33" l="1"/>
  <c r="C135" i="33" l="1"/>
  <c r="C136" i="33" l="1"/>
  <c r="C137" i="33" l="1"/>
  <c r="C138" i="33" l="1"/>
  <c r="C139" i="33" l="1"/>
  <c r="C140" i="33" l="1"/>
  <c r="C141" i="33" l="1"/>
  <c r="C142" i="33" l="1"/>
  <c r="C143" i="33" l="1"/>
  <c r="C144" i="33" l="1"/>
  <c r="C145" i="33" l="1"/>
  <c r="C146" i="33" l="1"/>
  <c r="C147" i="33" l="1"/>
  <c r="C148" i="33" l="1"/>
  <c r="C149" i="33" l="1"/>
  <c r="C150" i="33" l="1"/>
  <c r="C151" i="33" l="1"/>
  <c r="C152" i="33" l="1"/>
  <c r="C153" i="33" l="1"/>
  <c r="C154" i="33" l="1"/>
  <c r="C155" i="33" l="1"/>
  <c r="C156" i="33" l="1"/>
  <c r="C157" i="33" l="1"/>
  <c r="C158" i="33" l="1"/>
  <c r="C159" i="33" l="1"/>
  <c r="C160" i="33" l="1"/>
  <c r="C161" i="33" l="1"/>
  <c r="C162" i="33" l="1"/>
  <c r="C163" i="33" l="1"/>
  <c r="C164" i="33" l="1"/>
  <c r="C165" i="33" l="1"/>
  <c r="C166" i="33" l="1"/>
  <c r="C167" i="33" l="1"/>
  <c r="C168" i="33" l="1"/>
  <c r="C169" i="33" l="1"/>
  <c r="C170" i="33" l="1"/>
  <c r="C171" i="33" l="1"/>
  <c r="C172" i="33" l="1"/>
  <c r="C173" i="33" l="1"/>
  <c r="C174" i="33" l="1"/>
  <c r="C175" i="33" l="1"/>
  <c r="C176" i="33" l="1"/>
  <c r="C177" i="33" l="1"/>
  <c r="C178" i="33" l="1"/>
  <c r="C179" i="33" l="1"/>
  <c r="C180" i="33" l="1"/>
  <c r="C181" i="33" l="1"/>
  <c r="C182" i="33" l="1"/>
  <c r="I181" i="33"/>
  <c r="C183" i="33" l="1"/>
  <c r="I182" i="33"/>
  <c r="C184" i="33" l="1"/>
  <c r="I183" i="33"/>
  <c r="C185" i="33" l="1"/>
  <c r="I184" i="33"/>
  <c r="C186" i="33" l="1"/>
  <c r="I185" i="33"/>
  <c r="C187" i="33" l="1"/>
  <c r="I186" i="33"/>
  <c r="C188" i="33" l="1"/>
  <c r="I187" i="33"/>
  <c r="C189" i="33" l="1"/>
  <c r="I188" i="33"/>
  <c r="C190" i="33" l="1"/>
  <c r="I189" i="33"/>
  <c r="C191" i="33" l="1"/>
  <c r="I190" i="33"/>
  <c r="C192" i="33" l="1"/>
  <c r="I191" i="33"/>
  <c r="C193" i="33" l="1"/>
  <c r="I192" i="33"/>
  <c r="C194" i="33" l="1"/>
  <c r="I193" i="33"/>
  <c r="C195" i="33" l="1"/>
  <c r="I194" i="33"/>
  <c r="C196" i="33" l="1"/>
  <c r="I195" i="33"/>
  <c r="C197" i="33" l="1"/>
  <c r="I196" i="33"/>
  <c r="C198" i="33" l="1"/>
  <c r="I197" i="33"/>
  <c r="C199" i="33" l="1"/>
  <c r="I198" i="33"/>
  <c r="C200" i="33" l="1"/>
  <c r="I199" i="33"/>
  <c r="C201" i="33" l="1"/>
  <c r="I200" i="33"/>
  <c r="C202" i="33" l="1"/>
  <c r="I201" i="33"/>
  <c r="C203" i="33" l="1"/>
  <c r="I202" i="33"/>
  <c r="C204" i="33" l="1"/>
  <c r="I203" i="33"/>
  <c r="C205" i="33" l="1"/>
  <c r="I204" i="33"/>
  <c r="C206" i="33" l="1"/>
  <c r="I205" i="33"/>
  <c r="C207" i="33" l="1"/>
  <c r="I206" i="33"/>
  <c r="C208" i="33" l="1"/>
  <c r="I207" i="33"/>
  <c r="C209" i="33" l="1"/>
  <c r="I208" i="33"/>
  <c r="C210" i="33" l="1"/>
  <c r="I209" i="33"/>
  <c r="C211" i="33" l="1"/>
  <c r="I210" i="33"/>
  <c r="C212" i="33" l="1"/>
  <c r="I211" i="33"/>
  <c r="C213" i="33" l="1"/>
  <c r="I212" i="33"/>
  <c r="C214" i="33" l="1"/>
  <c r="I213" i="33"/>
  <c r="C215" i="33" l="1"/>
  <c r="I214" i="33"/>
  <c r="C216" i="33" l="1"/>
  <c r="I215" i="33"/>
  <c r="C217" i="33" l="1"/>
  <c r="I216" i="33"/>
  <c r="C218" i="33" l="1"/>
  <c r="I217" i="33"/>
  <c r="C219" i="33" l="1"/>
  <c r="I218" i="33"/>
  <c r="C220" i="33" l="1"/>
  <c r="I219" i="33"/>
  <c r="I220" i="33" l="1"/>
  <c r="D183" i="33" l="1"/>
  <c r="D185" i="33" l="1"/>
  <c r="D186" i="33"/>
  <c r="D187" i="33" l="1"/>
  <c r="D190" i="33" l="1"/>
  <c r="D188" i="33" l="1"/>
  <c r="D191" i="33"/>
  <c r="D189" i="33" l="1"/>
  <c r="D192" i="33"/>
  <c r="D193" i="33" l="1"/>
  <c r="D194" i="33" l="1"/>
  <c r="D195" i="33" l="1"/>
  <c r="D196" i="33" l="1"/>
  <c r="D197" i="33" l="1"/>
  <c r="D198" i="33" l="1"/>
  <c r="D199" i="33" l="1"/>
  <c r="D200" i="33" l="1"/>
  <c r="D201" i="33" l="1"/>
  <c r="D202" i="33" l="1"/>
  <c r="D203" i="33" l="1"/>
  <c r="D204" i="33" l="1"/>
  <c r="D205" i="33" l="1"/>
  <c r="D206" i="33" l="1"/>
  <c r="D207" i="33" l="1"/>
  <c r="D208" i="33" l="1"/>
  <c r="D209" i="33" l="1"/>
  <c r="D210" i="33" l="1"/>
  <c r="D211" i="33" l="1"/>
  <c r="D212" i="33" l="1"/>
  <c r="D213" i="33" l="1"/>
  <c r="D214" i="33" l="1"/>
  <c r="D215" i="33" l="1"/>
  <c r="D216" i="33" l="1"/>
  <c r="D217" i="33" l="1"/>
  <c r="D218" i="33" l="1"/>
  <c r="D219" i="33" l="1"/>
  <c r="AI13" i="4" l="1"/>
  <c r="AI12" i="4" s="1"/>
  <c r="F61" i="5"/>
  <c r="AI5" i="4"/>
  <c r="E42" i="5" l="1"/>
  <c r="B81" i="33"/>
  <c r="D40" i="4"/>
  <c r="E317" i="5"/>
  <c r="E17" i="5"/>
  <c r="C39" i="4"/>
  <c r="C38" i="4"/>
  <c r="D220" i="33" l="1"/>
  <c r="D67" i="18"/>
  <c r="D72" i="18"/>
  <c r="E72" i="18"/>
  <c r="E248" i="5" l="1"/>
  <c r="I155" i="31" s="1"/>
  <c r="F229" i="5"/>
  <c r="G155" i="31" s="1"/>
  <c r="D229" i="5"/>
  <c r="H13" i="33" l="1"/>
  <c r="H12" i="33"/>
  <c r="M137" i="31"/>
  <c r="M138" i="31"/>
  <c r="F155" i="31"/>
  <c r="E155" i="31"/>
  <c r="C55" i="30" l="1"/>
  <c r="C34" i="30"/>
  <c r="F17" i="15"/>
  <c r="C71" i="30" s="1"/>
  <c r="C63" i="30"/>
  <c r="C36" i="30"/>
  <c r="C32" i="30"/>
  <c r="C31" i="30"/>
  <c r="C28" i="30"/>
  <c r="C29" i="30"/>
  <c r="C30" i="30" s="1"/>
  <c r="C35" i="30" l="1"/>
  <c r="C72" i="30" s="1"/>
  <c r="C33" i="30"/>
  <c r="C48" i="30" s="1"/>
  <c r="C37" i="30"/>
  <c r="C49" i="30" s="1"/>
  <c r="C23" i="30"/>
  <c r="B10" i="30"/>
  <c r="F10" i="30"/>
  <c r="E10" i="30"/>
  <c r="D10" i="30"/>
  <c r="C10" i="30"/>
  <c r="A10" i="30"/>
  <c r="C5" i="30"/>
  <c r="B5" i="30"/>
  <c r="A5" i="30"/>
  <c r="C16" i="30"/>
  <c r="B16" i="30"/>
  <c r="A16" i="30"/>
  <c r="C6" i="30"/>
  <c r="B6" i="30"/>
  <c r="A6" i="30"/>
  <c r="C11" i="30"/>
  <c r="B11" i="30"/>
  <c r="A11" i="30"/>
  <c r="F8" i="30"/>
  <c r="E8" i="30"/>
  <c r="D8" i="30"/>
  <c r="C8" i="30"/>
  <c r="B8" i="30"/>
  <c r="A8" i="30"/>
  <c r="C14" i="30"/>
  <c r="B14" i="30"/>
  <c r="A14" i="30"/>
  <c r="C17" i="30"/>
  <c r="B17" i="30"/>
  <c r="A17" i="30"/>
  <c r="C15" i="30"/>
  <c r="A15" i="30"/>
  <c r="B15" i="30"/>
  <c r="F13" i="30"/>
  <c r="D13" i="30"/>
  <c r="E13" i="30"/>
  <c r="C13" i="30"/>
  <c r="A13" i="30"/>
  <c r="B13" i="30"/>
  <c r="F12" i="30"/>
  <c r="E12" i="30"/>
  <c r="D12" i="30"/>
  <c r="C12" i="30"/>
  <c r="A12" i="30"/>
  <c r="B12" i="30"/>
  <c r="F9" i="30"/>
  <c r="E9" i="30"/>
  <c r="D9" i="30"/>
  <c r="C9" i="30"/>
  <c r="F7" i="30"/>
  <c r="E7" i="30"/>
  <c r="D7" i="30"/>
  <c r="A9" i="30"/>
  <c r="B9" i="30"/>
  <c r="C7" i="30"/>
  <c r="B7" i="30"/>
  <c r="A7" i="30"/>
  <c r="C50" i="30" l="1"/>
  <c r="C38" i="30"/>
  <c r="D42" i="4" l="1"/>
  <c r="F24" i="5" s="1"/>
  <c r="AA56" i="24" l="1"/>
  <c r="AC56" i="24"/>
  <c r="AE56" i="24"/>
  <c r="AG56" i="24"/>
  <c r="AI56" i="24"/>
  <c r="Y56" i="24"/>
  <c r="AD20" i="24"/>
  <c r="AE20" i="24"/>
  <c r="AH20" i="24"/>
  <c r="AI20" i="24"/>
  <c r="AJ20" i="24"/>
  <c r="AK20" i="24"/>
  <c r="AL20" i="24"/>
  <c r="AM20" i="24"/>
  <c r="Z20" i="24"/>
  <c r="AD12" i="24"/>
  <c r="AE12" i="24"/>
  <c r="AH12" i="24"/>
  <c r="AI12" i="24"/>
  <c r="AJ12" i="24"/>
  <c r="AK12" i="24"/>
  <c r="AL12" i="24"/>
  <c r="AM12" i="24"/>
  <c r="Z12" i="24"/>
  <c r="B46" i="5" l="1"/>
  <c r="B47" i="5" s="1"/>
  <c r="B48" i="5" s="1"/>
  <c r="B49" i="5" s="1"/>
  <c r="B50" i="5" s="1"/>
  <c r="B51" i="5" s="1"/>
  <c r="C96" i="18"/>
  <c r="C97" i="18" s="1"/>
  <c r="C89" i="18"/>
  <c r="C87" i="18"/>
  <c r="C88" i="18" s="1"/>
  <c r="C85" i="18"/>
  <c r="C81" i="18"/>
  <c r="C78" i="18"/>
  <c r="C79" i="18" s="1"/>
  <c r="A42" i="5"/>
  <c r="A45" i="5" s="1"/>
  <c r="A46" i="5" s="1"/>
  <c r="A47" i="5" s="1"/>
  <c r="A48" i="5" s="1"/>
  <c r="A49" i="5" s="1"/>
  <c r="A50" i="5" s="1"/>
  <c r="A51" i="5" s="1"/>
  <c r="C101" i="18" l="1"/>
  <c r="C80" i="18"/>
  <c r="AA57" i="24" l="1"/>
  <c r="AC57" i="24"/>
  <c r="AE57" i="24"/>
  <c r="AG57" i="24"/>
  <c r="AI57" i="24"/>
  <c r="Y57" i="24"/>
  <c r="B419" i="25" s="1"/>
  <c r="X58" i="24"/>
  <c r="AS2" i="24"/>
  <c r="X60" i="24" l="1"/>
  <c r="AA58" i="24"/>
  <c r="AE58" i="24"/>
  <c r="AI58" i="24"/>
  <c r="AG58" i="24"/>
  <c r="Y58" i="24"/>
  <c r="AC58" i="24"/>
  <c r="C419" i="25"/>
  <c r="B419" i="27"/>
  <c r="C419" i="27"/>
  <c r="B10" i="5"/>
  <c r="B11" i="5" s="1"/>
  <c r="B12" i="5" s="1"/>
  <c r="B13" i="5" s="1"/>
  <c r="B14" i="5" s="1"/>
  <c r="B15" i="5" s="1"/>
  <c r="B17" i="5" s="1"/>
  <c r="B18" i="5" s="1"/>
  <c r="B19" i="5" s="1"/>
  <c r="B20" i="5" s="1"/>
  <c r="B21" i="5" s="1"/>
  <c r="B22" i="5" s="1"/>
  <c r="B23" i="5" s="1"/>
  <c r="M9" i="31"/>
  <c r="Y60" i="24" l="1"/>
  <c r="B314" i="25" s="1"/>
  <c r="Y59" i="24"/>
  <c r="B209" i="25" s="1"/>
  <c r="AI60" i="24"/>
  <c r="AI59" i="24"/>
  <c r="AE60" i="24"/>
  <c r="AE59" i="24"/>
  <c r="AG59" i="24"/>
  <c r="AG60" i="24"/>
  <c r="AA59" i="24"/>
  <c r="AA60" i="24"/>
  <c r="AC59" i="24"/>
  <c r="AC60" i="24"/>
  <c r="B24" i="5"/>
  <c r="B25" i="5" s="1"/>
  <c r="B26" i="5" s="1"/>
  <c r="B27" i="5" s="1"/>
  <c r="B28" i="5" s="1"/>
  <c r="B29" i="5" s="1"/>
  <c r="B30" i="5" s="1"/>
  <c r="B31" i="5" s="1"/>
  <c r="B33" i="5" s="1"/>
  <c r="B34" i="5" s="1"/>
  <c r="B35" i="5" s="1"/>
  <c r="B36" i="5" s="1"/>
  <c r="I112" i="6"/>
  <c r="K112" i="6"/>
  <c r="M112" i="6"/>
  <c r="O112" i="6"/>
  <c r="Q112" i="6"/>
  <c r="S112" i="6"/>
  <c r="N132" i="6"/>
  <c r="O132" i="6" s="1"/>
  <c r="P132" i="6" s="1"/>
  <c r="Q132" i="6" s="1"/>
  <c r="R132" i="6" s="1"/>
  <c r="G132" i="6" s="1"/>
  <c r="H132" i="6" s="1"/>
  <c r="I132" i="6" s="1"/>
  <c r="J132" i="6" s="1"/>
  <c r="M111" i="6"/>
  <c r="O111" i="6"/>
  <c r="Q111" i="6"/>
  <c r="S111" i="6"/>
  <c r="U111" i="6"/>
  <c r="W111" i="6"/>
  <c r="Y111" i="6"/>
  <c r="AA111" i="6"/>
  <c r="AC111" i="6"/>
  <c r="AE111" i="6"/>
  <c r="U112" i="6"/>
  <c r="W112" i="6"/>
  <c r="Y112" i="6"/>
  <c r="AA112" i="6"/>
  <c r="AC112" i="6"/>
  <c r="AE112" i="6"/>
  <c r="K111" i="6" l="1"/>
  <c r="I111" i="6"/>
  <c r="E172" i="6"/>
  <c r="C209" i="25"/>
  <c r="C209" i="27" s="1"/>
  <c r="B209" i="27"/>
  <c r="C314" i="25"/>
  <c r="C314" i="27" s="1"/>
  <c r="B314" i="27"/>
  <c r="K132" i="6"/>
  <c r="B31" i="8"/>
  <c r="B32" i="8"/>
  <c r="BH20" i="24"/>
  <c r="BG20" i="24"/>
  <c r="BF20" i="24"/>
  <c r="BE20" i="24"/>
  <c r="BD20" i="24"/>
  <c r="BC20" i="24"/>
  <c r="BB20" i="24"/>
  <c r="BA20" i="24"/>
  <c r="AZ20" i="24"/>
  <c r="AX20" i="24"/>
  <c r="AW20" i="24"/>
  <c r="AT20" i="24"/>
  <c r="R20" i="24"/>
  <c r="D20" i="24"/>
  <c r="G20" i="24"/>
  <c r="H20" i="24"/>
  <c r="J20" i="24"/>
  <c r="K20" i="24"/>
  <c r="L20" i="24"/>
  <c r="M20" i="24"/>
  <c r="N20" i="24"/>
  <c r="O20" i="24"/>
  <c r="P20" i="24"/>
  <c r="Q20" i="24"/>
  <c r="L132" i="6" l="1"/>
  <c r="AA36" i="24" l="1"/>
  <c r="AC36" i="24"/>
  <c r="AE36" i="24"/>
  <c r="AG36" i="24"/>
  <c r="AI36" i="24"/>
  <c r="AA37" i="24"/>
  <c r="AC37" i="24"/>
  <c r="AE37" i="24"/>
  <c r="AG37" i="24"/>
  <c r="AI37" i="24"/>
  <c r="AA38" i="24"/>
  <c r="AC38" i="24"/>
  <c r="AE38" i="24"/>
  <c r="AG38" i="24"/>
  <c r="AI38" i="24"/>
  <c r="AA39" i="24"/>
  <c r="AC39" i="24"/>
  <c r="AE39" i="24"/>
  <c r="AG39" i="24"/>
  <c r="AI39" i="24"/>
  <c r="AA40" i="24"/>
  <c r="AC40" i="24"/>
  <c r="AE40" i="24"/>
  <c r="AG40" i="24"/>
  <c r="AI40" i="24"/>
  <c r="AA41" i="24"/>
  <c r="AC41" i="24"/>
  <c r="AE41" i="24"/>
  <c r="AG41" i="24"/>
  <c r="AI41" i="24"/>
  <c r="AA42" i="24"/>
  <c r="AC42" i="24"/>
  <c r="AE42" i="24"/>
  <c r="AG42" i="24"/>
  <c r="AI42" i="24"/>
  <c r="Y37" i="24"/>
  <c r="Y38" i="24"/>
  <c r="Y39" i="24"/>
  <c r="Y40" i="24"/>
  <c r="Y41" i="24"/>
  <c r="Y42" i="24"/>
  <c r="Y36" i="24"/>
  <c r="M106" i="27" l="1"/>
  <c r="L106" i="27"/>
  <c r="K106" i="27"/>
  <c r="J106" i="27"/>
  <c r="I106" i="27"/>
  <c r="H106" i="27"/>
  <c r="G106" i="27"/>
  <c r="F106" i="27"/>
  <c r="E106" i="27"/>
  <c r="D106" i="27"/>
  <c r="C106" i="27"/>
  <c r="B106" i="27"/>
  <c r="V3" i="27" l="1"/>
  <c r="C313" i="27" l="1"/>
  <c r="C312" i="27"/>
  <c r="C311" i="27"/>
  <c r="C310" i="27"/>
  <c r="C309" i="27"/>
  <c r="C308" i="27"/>
  <c r="C307" i="27"/>
  <c r="C306" i="27"/>
  <c r="C305" i="27"/>
  <c r="C304" i="27"/>
  <c r="C303" i="27"/>
  <c r="C302" i="27"/>
  <c r="C301" i="27"/>
  <c r="C300" i="27"/>
  <c r="C299" i="27"/>
  <c r="C298" i="27"/>
  <c r="C297" i="27"/>
  <c r="C296" i="27"/>
  <c r="C295" i="27"/>
  <c r="C294" i="27"/>
  <c r="C293" i="27"/>
  <c r="C292" i="27"/>
  <c r="C291" i="27"/>
  <c r="C290" i="27"/>
  <c r="C289" i="27"/>
  <c r="C288" i="27"/>
  <c r="C287" i="27"/>
  <c r="C286" i="27"/>
  <c r="C285" i="27"/>
  <c r="C284" i="27"/>
  <c r="C283" i="27"/>
  <c r="C282" i="27"/>
  <c r="C281" i="27"/>
  <c r="C280" i="27"/>
  <c r="C279" i="27"/>
  <c r="C278" i="27"/>
  <c r="C277" i="27"/>
  <c r="C276" i="27"/>
  <c r="C275" i="27"/>
  <c r="C274" i="27"/>
  <c r="C273" i="27"/>
  <c r="C272" i="27"/>
  <c r="C271" i="27"/>
  <c r="C270" i="27"/>
  <c r="C269" i="27"/>
  <c r="C268" i="27"/>
  <c r="C267" i="27"/>
  <c r="C266" i="27"/>
  <c r="C265" i="27"/>
  <c r="C264" i="27"/>
  <c r="C263" i="27"/>
  <c r="C262" i="27"/>
  <c r="C261" i="27"/>
  <c r="C260" i="27"/>
  <c r="C259" i="27"/>
  <c r="C258" i="27"/>
  <c r="C257" i="27"/>
  <c r="C256" i="27"/>
  <c r="C255" i="27"/>
  <c r="C254" i="27"/>
  <c r="C253" i="27"/>
  <c r="C252" i="27"/>
  <c r="C251" i="27"/>
  <c r="C250" i="27"/>
  <c r="C249" i="27"/>
  <c r="C248" i="27"/>
  <c r="C247" i="27"/>
  <c r="C246" i="27"/>
  <c r="C245" i="27"/>
  <c r="C244" i="27"/>
  <c r="C243" i="27"/>
  <c r="C242" i="27"/>
  <c r="C241" i="27"/>
  <c r="C240" i="27"/>
  <c r="C239" i="27"/>
  <c r="C238" i="27"/>
  <c r="C237" i="27"/>
  <c r="C236" i="27"/>
  <c r="C235" i="27"/>
  <c r="C234" i="27"/>
  <c r="C233" i="27"/>
  <c r="C232" i="27"/>
  <c r="C231" i="27"/>
  <c r="C230" i="27"/>
  <c r="C229" i="27"/>
  <c r="C228" i="27"/>
  <c r="C227" i="27"/>
  <c r="C226" i="27"/>
  <c r="C225" i="27"/>
  <c r="C224" i="27"/>
  <c r="C223" i="27"/>
  <c r="C222" i="27"/>
  <c r="C221" i="27"/>
  <c r="C220" i="27"/>
  <c r="C219" i="27"/>
  <c r="C218" i="27"/>
  <c r="C217" i="27"/>
  <c r="C216" i="27"/>
  <c r="C215" i="27"/>
  <c r="C214" i="27"/>
  <c r="C213" i="27"/>
  <c r="C214" i="25"/>
  <c r="C215" i="25"/>
  <c r="C216" i="25"/>
  <c r="C217" i="25"/>
  <c r="C218" i="25"/>
  <c r="C219" i="25"/>
  <c r="C220" i="25"/>
  <c r="C221" i="25"/>
  <c r="C222" i="25"/>
  <c r="C223" i="25"/>
  <c r="C224" i="25"/>
  <c r="C225" i="25"/>
  <c r="C226" i="25"/>
  <c r="C227" i="25"/>
  <c r="C228" i="25"/>
  <c r="C229" i="25"/>
  <c r="C230" i="25"/>
  <c r="C231" i="25"/>
  <c r="C232" i="25"/>
  <c r="C233" i="25"/>
  <c r="C234" i="25"/>
  <c r="C235" i="25"/>
  <c r="C236" i="25"/>
  <c r="C237" i="25"/>
  <c r="C238" i="25"/>
  <c r="C239" i="25"/>
  <c r="C240" i="25"/>
  <c r="C241" i="25"/>
  <c r="C242" i="25"/>
  <c r="C243" i="25"/>
  <c r="C244" i="25"/>
  <c r="C245" i="25"/>
  <c r="C246" i="25"/>
  <c r="C247" i="25"/>
  <c r="C248" i="25"/>
  <c r="C249" i="25"/>
  <c r="C250" i="25"/>
  <c r="C251" i="25"/>
  <c r="C252" i="25"/>
  <c r="C253" i="25"/>
  <c r="C254" i="25"/>
  <c r="C255" i="25"/>
  <c r="C256" i="25"/>
  <c r="C257" i="25"/>
  <c r="C258" i="25"/>
  <c r="C259" i="25"/>
  <c r="C260" i="25"/>
  <c r="C261" i="25"/>
  <c r="C262" i="25"/>
  <c r="C263" i="25"/>
  <c r="C264" i="25"/>
  <c r="C265" i="25"/>
  <c r="C266" i="25"/>
  <c r="C267" i="25"/>
  <c r="C268" i="25"/>
  <c r="C269" i="25"/>
  <c r="C270" i="25"/>
  <c r="C271" i="25"/>
  <c r="C272" i="25"/>
  <c r="C273" i="25"/>
  <c r="C274" i="25"/>
  <c r="C275" i="25"/>
  <c r="C276" i="25"/>
  <c r="C277" i="25"/>
  <c r="C278" i="25"/>
  <c r="C279" i="25"/>
  <c r="C280" i="25"/>
  <c r="C281" i="25"/>
  <c r="C282" i="25"/>
  <c r="C283" i="25"/>
  <c r="C284" i="25"/>
  <c r="C285" i="25"/>
  <c r="C286" i="25"/>
  <c r="C287" i="25"/>
  <c r="C288" i="25"/>
  <c r="C289" i="25"/>
  <c r="C290" i="25"/>
  <c r="C291" i="25"/>
  <c r="C292" i="25"/>
  <c r="C293" i="25"/>
  <c r="C294" i="25"/>
  <c r="C295" i="25"/>
  <c r="C296" i="25"/>
  <c r="C297" i="25"/>
  <c r="C298" i="25"/>
  <c r="C299" i="25"/>
  <c r="C300" i="25"/>
  <c r="C301" i="25"/>
  <c r="C302" i="25"/>
  <c r="C303" i="25"/>
  <c r="C304" i="25"/>
  <c r="C305" i="25"/>
  <c r="C306" i="25"/>
  <c r="C307" i="25"/>
  <c r="C308" i="25"/>
  <c r="C309" i="25"/>
  <c r="C310" i="25"/>
  <c r="C311" i="25"/>
  <c r="C312" i="25"/>
  <c r="C313" i="25"/>
  <c r="C213" i="25"/>
  <c r="BB19" i="24" l="1"/>
  <c r="BD19" i="24" s="1"/>
  <c r="BE19" i="24" s="1"/>
  <c r="BF19" i="24" s="1"/>
  <c r="BG19" i="24" s="1"/>
  <c r="BH19" i="24" s="1"/>
  <c r="AZ19" i="24"/>
  <c r="AX19" i="24"/>
  <c r="AV19" i="24"/>
  <c r="AT19" i="24"/>
  <c r="BB18" i="24"/>
  <c r="BD18" i="24" s="1"/>
  <c r="BE18" i="24" s="1"/>
  <c r="BF18" i="24" s="1"/>
  <c r="BG18" i="24" s="1"/>
  <c r="BH18" i="24" s="1"/>
  <c r="AZ18" i="24"/>
  <c r="AX18" i="24"/>
  <c r="AV18" i="24"/>
  <c r="AT18" i="24"/>
  <c r="BB17" i="24"/>
  <c r="BD17" i="24" s="1"/>
  <c r="BE17" i="24" s="1"/>
  <c r="BF17" i="24" s="1"/>
  <c r="BG17" i="24" s="1"/>
  <c r="BH17" i="24" s="1"/>
  <c r="AZ17" i="24"/>
  <c r="AX17" i="24"/>
  <c r="AV17" i="24"/>
  <c r="AT17" i="24"/>
  <c r="BB16" i="24"/>
  <c r="BD16" i="24" s="1"/>
  <c r="BE16" i="24" s="1"/>
  <c r="BF16" i="24" s="1"/>
  <c r="BG16" i="24" s="1"/>
  <c r="BH16" i="24" s="1"/>
  <c r="AZ16" i="24"/>
  <c r="AX16" i="24"/>
  <c r="AV16" i="24"/>
  <c r="AT16" i="24"/>
  <c r="BB15" i="24"/>
  <c r="BD15" i="24" s="1"/>
  <c r="BE15" i="24" s="1"/>
  <c r="BF15" i="24" s="1"/>
  <c r="BG15" i="24" s="1"/>
  <c r="BH15" i="24" s="1"/>
  <c r="AZ15" i="24"/>
  <c r="AX15" i="24"/>
  <c r="AV15" i="24"/>
  <c r="AT15" i="24"/>
  <c r="BB14" i="24"/>
  <c r="BD14" i="24" s="1"/>
  <c r="BE14" i="24" s="1"/>
  <c r="BF14" i="24" s="1"/>
  <c r="BG14" i="24" s="1"/>
  <c r="BH14" i="24" s="1"/>
  <c r="AZ14" i="24"/>
  <c r="AX14" i="24"/>
  <c r="AV14" i="24"/>
  <c r="AT14" i="24"/>
  <c r="BB13" i="24"/>
  <c r="BD13" i="24" s="1"/>
  <c r="BE13" i="24" s="1"/>
  <c r="BF13" i="24" s="1"/>
  <c r="BG13" i="24" s="1"/>
  <c r="BH13" i="24" s="1"/>
  <c r="AZ13" i="24"/>
  <c r="AX13" i="24"/>
  <c r="AV13" i="24"/>
  <c r="AT13" i="24"/>
  <c r="BB11" i="24"/>
  <c r="BD11" i="24" s="1"/>
  <c r="BE11" i="24" s="1"/>
  <c r="BF11" i="24" s="1"/>
  <c r="BG11" i="24" s="1"/>
  <c r="BH11" i="24" s="1"/>
  <c r="AZ11" i="24"/>
  <c r="AX11" i="24"/>
  <c r="AV11" i="24"/>
  <c r="AT11" i="24"/>
  <c r="BB10" i="24"/>
  <c r="BD10" i="24" s="1"/>
  <c r="BE10" i="24" s="1"/>
  <c r="BF10" i="24" s="1"/>
  <c r="BG10" i="24" s="1"/>
  <c r="BH10" i="24" s="1"/>
  <c r="AZ10" i="24"/>
  <c r="AX10" i="24"/>
  <c r="AV10" i="24"/>
  <c r="AT10" i="24"/>
  <c r="BB9" i="24"/>
  <c r="BD9" i="24" s="1"/>
  <c r="BE9" i="24" s="1"/>
  <c r="BF9" i="24" s="1"/>
  <c r="BG9" i="24" s="1"/>
  <c r="BH9" i="24" s="1"/>
  <c r="AZ9" i="24"/>
  <c r="AX9" i="24"/>
  <c r="AV9" i="24"/>
  <c r="AT9" i="24"/>
  <c r="BB8" i="24"/>
  <c r="BD8" i="24" s="1"/>
  <c r="BE8" i="24" s="1"/>
  <c r="BF8" i="24" s="1"/>
  <c r="BG8" i="24" s="1"/>
  <c r="BH8" i="24" s="1"/>
  <c r="AZ8" i="24"/>
  <c r="AX8" i="24"/>
  <c r="AV8" i="24"/>
  <c r="AT8" i="24"/>
  <c r="BB7" i="24"/>
  <c r="BD7" i="24" s="1"/>
  <c r="BE7" i="24" s="1"/>
  <c r="BF7" i="24" s="1"/>
  <c r="BG7" i="24" s="1"/>
  <c r="BH7" i="24" s="1"/>
  <c r="AZ7" i="24"/>
  <c r="AX7" i="24"/>
  <c r="AV7" i="24"/>
  <c r="AT7" i="24"/>
  <c r="BB6" i="24"/>
  <c r="BD6" i="24" s="1"/>
  <c r="BE6" i="24" s="1"/>
  <c r="BF6" i="24" s="1"/>
  <c r="BG6" i="24" s="1"/>
  <c r="BH6" i="24" s="1"/>
  <c r="AZ6" i="24"/>
  <c r="AX6" i="24"/>
  <c r="AV6" i="24"/>
  <c r="AT6" i="24"/>
  <c r="BB5" i="24"/>
  <c r="BD5" i="24" s="1"/>
  <c r="BE5" i="24" s="1"/>
  <c r="BF5" i="24" s="1"/>
  <c r="BG5" i="24" s="1"/>
  <c r="BH5" i="24" s="1"/>
  <c r="AZ5" i="24"/>
  <c r="AX5" i="24"/>
  <c r="AV5" i="24"/>
  <c r="AT5" i="24"/>
  <c r="AB13" i="15" l="1"/>
  <c r="D165" i="20" s="1"/>
  <c r="A13" i="15"/>
  <c r="AH19" i="24"/>
  <c r="AJ19" i="24" s="1"/>
  <c r="AK19" i="24" s="1"/>
  <c r="AL19" i="24" s="1"/>
  <c r="AM19" i="24" s="1"/>
  <c r="AN19" i="24" s="1"/>
  <c r="AF19" i="24"/>
  <c r="AD19" i="24"/>
  <c r="AB19" i="24"/>
  <c r="Z19" i="24"/>
  <c r="AH18" i="24"/>
  <c r="AJ18" i="24" s="1"/>
  <c r="AK18" i="24" s="1"/>
  <c r="AL18" i="24" s="1"/>
  <c r="AM18" i="24" s="1"/>
  <c r="AN18" i="24" s="1"/>
  <c r="AF18" i="24"/>
  <c r="AD18" i="24"/>
  <c r="AB18" i="24"/>
  <c r="Z18" i="24"/>
  <c r="AH17" i="24"/>
  <c r="AJ17" i="24" s="1"/>
  <c r="AK17" i="24" s="1"/>
  <c r="AL17" i="24" s="1"/>
  <c r="AM17" i="24" s="1"/>
  <c r="AN17" i="24" s="1"/>
  <c r="AF17" i="24"/>
  <c r="AD17" i="24"/>
  <c r="AB17" i="24"/>
  <c r="Z17" i="24"/>
  <c r="AH16" i="24"/>
  <c r="AF16" i="24"/>
  <c r="AD16" i="24"/>
  <c r="AB16" i="24"/>
  <c r="Z16" i="24"/>
  <c r="AH15" i="24"/>
  <c r="AJ15" i="24" s="1"/>
  <c r="AK15" i="24" s="1"/>
  <c r="AL15" i="24" s="1"/>
  <c r="AM15" i="24" s="1"/>
  <c r="AN15" i="24" s="1"/>
  <c r="AF15" i="24"/>
  <c r="AD15" i="24"/>
  <c r="AB15" i="24"/>
  <c r="Z15" i="24"/>
  <c r="AH14" i="24"/>
  <c r="AF14" i="24"/>
  <c r="AD14" i="24"/>
  <c r="AB14" i="24"/>
  <c r="Z14" i="24"/>
  <c r="AH13" i="24"/>
  <c r="AJ13" i="24" s="1"/>
  <c r="AK13" i="24" s="1"/>
  <c r="AF13" i="24"/>
  <c r="AD13" i="24"/>
  <c r="AB13" i="24"/>
  <c r="Z13" i="24"/>
  <c r="AH11" i="24"/>
  <c r="AF11" i="24"/>
  <c r="AD11" i="24"/>
  <c r="AB11" i="24"/>
  <c r="Z11" i="24"/>
  <c r="AH10" i="24"/>
  <c r="AF10" i="24"/>
  <c r="AD10" i="24"/>
  <c r="AB10" i="24"/>
  <c r="Z10" i="24"/>
  <c r="AH9" i="24"/>
  <c r="AF9" i="24"/>
  <c r="AD9" i="24"/>
  <c r="AB9" i="24"/>
  <c r="Z9" i="24"/>
  <c r="AH8" i="24"/>
  <c r="AF8" i="24"/>
  <c r="AD8" i="24"/>
  <c r="AB8" i="24"/>
  <c r="Z8" i="24"/>
  <c r="AH7" i="24"/>
  <c r="AF7" i="24"/>
  <c r="AD7" i="24"/>
  <c r="AB7" i="24"/>
  <c r="Z7" i="24"/>
  <c r="AH6" i="24"/>
  <c r="AF6" i="24"/>
  <c r="AD6" i="24"/>
  <c r="AB6" i="24"/>
  <c r="Z6" i="24"/>
  <c r="AH5" i="24"/>
  <c r="AF5" i="24"/>
  <c r="AD5" i="24"/>
  <c r="AB5" i="24"/>
  <c r="Z5" i="24"/>
  <c r="AV5" i="15" l="1"/>
  <c r="AW5" i="15" s="1"/>
  <c r="AB36" i="24"/>
  <c r="AF36" i="24"/>
  <c r="Z56" i="24"/>
  <c r="Z57" i="24" s="1"/>
  <c r="D419" i="25" s="1"/>
  <c r="AB38" i="24"/>
  <c r="Z39" i="24"/>
  <c r="AF40" i="24"/>
  <c r="AD41" i="24"/>
  <c r="AB42" i="24"/>
  <c r="AB58" i="24"/>
  <c r="AB59" i="24" s="1"/>
  <c r="F209" i="25" s="1"/>
  <c r="F209" i="27" s="1"/>
  <c r="AF58" i="24"/>
  <c r="AF59" i="24" s="1"/>
  <c r="J209" i="25" s="1"/>
  <c r="K209" i="25" s="1"/>
  <c r="K209" i="27" s="1"/>
  <c r="Z36" i="24"/>
  <c r="AD36" i="24"/>
  <c r="AF56" i="24"/>
  <c r="AF57" i="24" s="1"/>
  <c r="J419" i="25" s="1"/>
  <c r="Z38" i="24"/>
  <c r="AD38" i="24"/>
  <c r="AB39" i="24"/>
  <c r="AD40" i="24"/>
  <c r="AB41" i="24"/>
  <c r="AF41" i="24"/>
  <c r="Z42" i="24"/>
  <c r="AD42" i="24"/>
  <c r="Z58" i="24"/>
  <c r="Z59" i="24" s="1"/>
  <c r="D209" i="25" s="1"/>
  <c r="E209" i="25" s="1"/>
  <c r="E209" i="27" s="1"/>
  <c r="AD58" i="24"/>
  <c r="AD59" i="24" s="1"/>
  <c r="H209" i="25" s="1"/>
  <c r="H209" i="27" s="1"/>
  <c r="AH58" i="24"/>
  <c r="AH59" i="24" s="1"/>
  <c r="AH56" i="24"/>
  <c r="AJ5" i="24"/>
  <c r="AH36" i="24"/>
  <c r="AB56" i="24"/>
  <c r="AD56" i="24"/>
  <c r="Z37" i="24"/>
  <c r="AJ6" i="24"/>
  <c r="AH37" i="24"/>
  <c r="AF38" i="24"/>
  <c r="AD39" i="24"/>
  <c r="AB40" i="24"/>
  <c r="Z41" i="24"/>
  <c r="AJ10" i="24"/>
  <c r="AH41" i="24"/>
  <c r="AF42" i="24"/>
  <c r="AB37" i="24"/>
  <c r="AJ7" i="24"/>
  <c r="AH38" i="24"/>
  <c r="AF39" i="24"/>
  <c r="AJ11" i="24"/>
  <c r="AH42" i="24"/>
  <c r="AJ16" i="24"/>
  <c r="AK16" i="24" s="1"/>
  <c r="AL16" i="24" s="1"/>
  <c r="AM16" i="24" s="1"/>
  <c r="AN16" i="24" s="1"/>
  <c r="AF37" i="24"/>
  <c r="Z40" i="24"/>
  <c r="AJ9" i="24"/>
  <c r="AH40" i="24"/>
  <c r="AJ14" i="24"/>
  <c r="AD37" i="24"/>
  <c r="AJ8" i="24"/>
  <c r="AH39" i="24"/>
  <c r="AL13" i="24"/>
  <c r="Z13" i="15"/>
  <c r="O13" i="15"/>
  <c r="J13" i="15"/>
  <c r="H13" i="15" s="1"/>
  <c r="BB5" i="15" s="1"/>
  <c r="N397" i="27"/>
  <c r="B7" i="27"/>
  <c r="B11" i="27"/>
  <c r="B15" i="27"/>
  <c r="B19" i="27"/>
  <c r="B23" i="27"/>
  <c r="B27" i="27"/>
  <c r="B31" i="27"/>
  <c r="B37" i="27"/>
  <c r="B41" i="27"/>
  <c r="B43" i="27"/>
  <c r="B47" i="27"/>
  <c r="B49" i="27"/>
  <c r="C54" i="27"/>
  <c r="C58" i="27"/>
  <c r="C62" i="27"/>
  <c r="C66" i="27"/>
  <c r="C70" i="27"/>
  <c r="C74" i="27"/>
  <c r="C78" i="27"/>
  <c r="C82" i="27"/>
  <c r="C90" i="27"/>
  <c r="B6" i="27"/>
  <c r="C17" i="27"/>
  <c r="C23" i="27"/>
  <c r="C25" i="27"/>
  <c r="C27" i="27"/>
  <c r="C33" i="27"/>
  <c r="C35" i="27"/>
  <c r="C37" i="27"/>
  <c r="C39" i="27"/>
  <c r="C41" i="27"/>
  <c r="C43" i="27"/>
  <c r="C45" i="27"/>
  <c r="C47" i="27"/>
  <c r="C49" i="27"/>
  <c r="B51" i="27"/>
  <c r="B53" i="27"/>
  <c r="B55" i="27"/>
  <c r="B57" i="27"/>
  <c r="B59" i="27"/>
  <c r="B61" i="27"/>
  <c r="B63" i="27"/>
  <c r="B65" i="27"/>
  <c r="B67" i="27"/>
  <c r="B69" i="27"/>
  <c r="B71" i="27"/>
  <c r="B73" i="27"/>
  <c r="B75" i="27"/>
  <c r="B77" i="27"/>
  <c r="B79" i="27"/>
  <c r="B81" i="27"/>
  <c r="B83" i="27"/>
  <c r="B85" i="27"/>
  <c r="B87" i="27"/>
  <c r="B89" i="27"/>
  <c r="B91" i="27"/>
  <c r="B93" i="27"/>
  <c r="N365" i="27"/>
  <c r="B9" i="27"/>
  <c r="B13" i="27"/>
  <c r="B17" i="27"/>
  <c r="B21" i="27"/>
  <c r="B25" i="27"/>
  <c r="B29" i="27"/>
  <c r="B33" i="27"/>
  <c r="B35" i="27"/>
  <c r="B39" i="27"/>
  <c r="B45" i="27"/>
  <c r="C52" i="27"/>
  <c r="C56" i="27"/>
  <c r="C60" i="27"/>
  <c r="C64" i="27"/>
  <c r="C68" i="27"/>
  <c r="C72" i="27"/>
  <c r="C76" i="27"/>
  <c r="C80" i="27"/>
  <c r="C84" i="27"/>
  <c r="C86" i="27"/>
  <c r="C88" i="27"/>
  <c r="C92" i="27"/>
  <c r="C95" i="27"/>
  <c r="N349" i="27"/>
  <c r="N413" i="27"/>
  <c r="C9" i="27"/>
  <c r="C13" i="27"/>
  <c r="C19" i="27"/>
  <c r="C31" i="27"/>
  <c r="C5" i="27"/>
  <c r="C6" i="27"/>
  <c r="B8" i="27"/>
  <c r="B10" i="27"/>
  <c r="B12" i="27"/>
  <c r="B14" i="27"/>
  <c r="B16" i="27"/>
  <c r="B18" i="27"/>
  <c r="B20" i="27"/>
  <c r="B22" i="27"/>
  <c r="B24" i="27"/>
  <c r="B26" i="27"/>
  <c r="B28" i="27"/>
  <c r="B30" i="27"/>
  <c r="B32" i="27"/>
  <c r="B34" i="27"/>
  <c r="B36" i="27"/>
  <c r="B38" i="27"/>
  <c r="B40" i="27"/>
  <c r="B42" i="27"/>
  <c r="B44" i="27"/>
  <c r="B46" i="27"/>
  <c r="B48" i="27"/>
  <c r="B50" i="27"/>
  <c r="C51" i="27"/>
  <c r="C53" i="27"/>
  <c r="C55" i="27"/>
  <c r="C57" i="27"/>
  <c r="C59" i="27"/>
  <c r="C61" i="27"/>
  <c r="C63" i="27"/>
  <c r="C65" i="27"/>
  <c r="C67" i="27"/>
  <c r="C69" i="27"/>
  <c r="C71" i="27"/>
  <c r="C73" i="27"/>
  <c r="C75" i="27"/>
  <c r="C77" i="27"/>
  <c r="C79" i="27"/>
  <c r="C81" i="27"/>
  <c r="C83" i="27"/>
  <c r="C85" i="27"/>
  <c r="C87" i="27"/>
  <c r="C89" i="27"/>
  <c r="C91" i="27"/>
  <c r="C93" i="27"/>
  <c r="N381" i="27"/>
  <c r="B5" i="27"/>
  <c r="C7" i="27"/>
  <c r="C11" i="27"/>
  <c r="C15" i="27"/>
  <c r="C21" i="27"/>
  <c r="C29" i="27"/>
  <c r="C8" i="27"/>
  <c r="C10" i="27"/>
  <c r="C12" i="27"/>
  <c r="C14" i="27"/>
  <c r="C16" i="27"/>
  <c r="C18" i="27"/>
  <c r="C20" i="27"/>
  <c r="C22" i="27"/>
  <c r="C24" i="27"/>
  <c r="C26" i="27"/>
  <c r="C28" i="27"/>
  <c r="C30" i="27"/>
  <c r="C32" i="27"/>
  <c r="C34" i="27"/>
  <c r="C36" i="27"/>
  <c r="C38" i="27"/>
  <c r="C40" i="27"/>
  <c r="C42" i="27"/>
  <c r="C44" i="27"/>
  <c r="C46" i="27"/>
  <c r="C48" i="27"/>
  <c r="C50" i="27"/>
  <c r="B52" i="27"/>
  <c r="B54" i="27"/>
  <c r="B56" i="27"/>
  <c r="B58" i="27"/>
  <c r="B60" i="27"/>
  <c r="B62" i="27"/>
  <c r="B64" i="27"/>
  <c r="B66" i="27"/>
  <c r="B68" i="27"/>
  <c r="B70" i="27"/>
  <c r="B72" i="27"/>
  <c r="B74" i="27"/>
  <c r="B76" i="27"/>
  <c r="B78" i="27"/>
  <c r="B80" i="27"/>
  <c r="B82" i="27"/>
  <c r="B84" i="27"/>
  <c r="B86" i="27"/>
  <c r="B88" i="27"/>
  <c r="B90" i="27"/>
  <c r="B92" i="27"/>
  <c r="B94" i="27"/>
  <c r="N333" i="27"/>
  <c r="C104" i="27"/>
  <c r="V104" i="27" s="1"/>
  <c r="C103" i="27"/>
  <c r="C102" i="27"/>
  <c r="C101" i="27"/>
  <c r="C100" i="27"/>
  <c r="C99" i="27"/>
  <c r="C98" i="27"/>
  <c r="C97" i="27"/>
  <c r="C96" i="27"/>
  <c r="B104" i="27"/>
  <c r="B103" i="27"/>
  <c r="B102" i="27"/>
  <c r="B101" i="27"/>
  <c r="B100" i="27"/>
  <c r="B99" i="27"/>
  <c r="B98" i="27"/>
  <c r="B97" i="27"/>
  <c r="B96" i="27"/>
  <c r="B95" i="27"/>
  <c r="N321" i="27"/>
  <c r="N337" i="27"/>
  <c r="N353" i="27"/>
  <c r="N369" i="27"/>
  <c r="N385" i="27"/>
  <c r="N401" i="27"/>
  <c r="N417" i="27"/>
  <c r="N325" i="27"/>
  <c r="N341" i="27"/>
  <c r="N357" i="27"/>
  <c r="N373" i="27"/>
  <c r="N389" i="27"/>
  <c r="N405" i="27"/>
  <c r="C94" i="27"/>
  <c r="N329" i="27"/>
  <c r="N345" i="27"/>
  <c r="N361" i="27"/>
  <c r="N377" i="27"/>
  <c r="N393" i="27"/>
  <c r="N409" i="27"/>
  <c r="N318" i="27"/>
  <c r="N322" i="27"/>
  <c r="N326" i="27"/>
  <c r="N330" i="27"/>
  <c r="N334" i="27"/>
  <c r="N338" i="27"/>
  <c r="N342" i="27"/>
  <c r="N346" i="27"/>
  <c r="N350" i="27"/>
  <c r="N354" i="27"/>
  <c r="N358" i="27"/>
  <c r="N362" i="27"/>
  <c r="N366" i="27"/>
  <c r="N370" i="27"/>
  <c r="N374" i="27"/>
  <c r="N378" i="27"/>
  <c r="N382" i="27"/>
  <c r="N386" i="27"/>
  <c r="N390" i="27"/>
  <c r="N394" i="27"/>
  <c r="N398" i="27"/>
  <c r="N402" i="27"/>
  <c r="N406" i="27"/>
  <c r="N410" i="27"/>
  <c r="N414" i="27"/>
  <c r="N418" i="27"/>
  <c r="N319" i="27"/>
  <c r="N323" i="27"/>
  <c r="N327" i="27"/>
  <c r="N331" i="27"/>
  <c r="N335" i="27"/>
  <c r="N339" i="27"/>
  <c r="N343" i="27"/>
  <c r="N347" i="27"/>
  <c r="N351" i="27"/>
  <c r="N355" i="27"/>
  <c r="N359" i="27"/>
  <c r="N363" i="27"/>
  <c r="N367" i="27"/>
  <c r="N371" i="27"/>
  <c r="N375" i="27"/>
  <c r="N379" i="27"/>
  <c r="N383" i="27"/>
  <c r="N387" i="27"/>
  <c r="N391" i="27"/>
  <c r="N395" i="27"/>
  <c r="N399" i="27"/>
  <c r="N403" i="27"/>
  <c r="N407" i="27"/>
  <c r="N411" i="27"/>
  <c r="N415" i="27"/>
  <c r="N320" i="27"/>
  <c r="N324" i="27"/>
  <c r="N328" i="27"/>
  <c r="N332" i="27"/>
  <c r="N336" i="27"/>
  <c r="N340" i="27"/>
  <c r="N344" i="27"/>
  <c r="N348" i="27"/>
  <c r="N352" i="27"/>
  <c r="N356" i="27"/>
  <c r="N360" i="27"/>
  <c r="N364" i="27"/>
  <c r="N368" i="27"/>
  <c r="N372" i="27"/>
  <c r="N376" i="27"/>
  <c r="N380" i="27"/>
  <c r="N384" i="27"/>
  <c r="N388" i="27"/>
  <c r="N392" i="27"/>
  <c r="N396" i="27"/>
  <c r="N400" i="27"/>
  <c r="N404" i="27"/>
  <c r="N408" i="27"/>
  <c r="N412" i="27"/>
  <c r="N416" i="27"/>
  <c r="J209" i="27" l="1"/>
  <c r="D209" i="27"/>
  <c r="G209" i="25"/>
  <c r="G209" i="27" s="1"/>
  <c r="Z60" i="24"/>
  <c r="D314" i="25" s="1"/>
  <c r="E314" i="25" s="1"/>
  <c r="E314" i="27" s="1"/>
  <c r="AF60" i="24"/>
  <c r="J314" i="25" s="1"/>
  <c r="K314" i="25" s="1"/>
  <c r="K314" i="27" s="1"/>
  <c r="V90" i="27"/>
  <c r="AJ58" i="24"/>
  <c r="AJ59" i="24" s="1"/>
  <c r="I209" i="25"/>
  <c r="I209" i="27" s="1"/>
  <c r="AB60" i="24"/>
  <c r="F314" i="25" s="1"/>
  <c r="AB57" i="24"/>
  <c r="F419" i="25" s="1"/>
  <c r="AJ56" i="24"/>
  <c r="AD60" i="24"/>
  <c r="H314" i="25" s="1"/>
  <c r="AD57" i="24"/>
  <c r="H419" i="25" s="1"/>
  <c r="AH60" i="24"/>
  <c r="AH57" i="24"/>
  <c r="AK5" i="24"/>
  <c r="AJ36" i="24"/>
  <c r="E419" i="25"/>
  <c r="E419" i="27" s="1"/>
  <c r="D419" i="27"/>
  <c r="J419" i="27"/>
  <c r="K419" i="25"/>
  <c r="K419" i="27" s="1"/>
  <c r="D314" i="27"/>
  <c r="V27" i="27"/>
  <c r="V50" i="27"/>
  <c r="V79" i="27"/>
  <c r="V63" i="27"/>
  <c r="AK7" i="24"/>
  <c r="AJ38" i="24"/>
  <c r="AK8" i="24"/>
  <c r="AJ39" i="24"/>
  <c r="AK9" i="24"/>
  <c r="AJ40" i="24"/>
  <c r="AK10" i="24"/>
  <c r="AJ41" i="24"/>
  <c r="AK14" i="24"/>
  <c r="AK58" i="24" s="1"/>
  <c r="AK59" i="24" s="1"/>
  <c r="AK11" i="24"/>
  <c r="AJ42" i="24"/>
  <c r="AM13" i="24"/>
  <c r="AK6" i="24"/>
  <c r="AJ37" i="24"/>
  <c r="V44" i="27"/>
  <c r="V12" i="27"/>
  <c r="V85" i="27"/>
  <c r="V53" i="27"/>
  <c r="V8" i="27"/>
  <c r="V89" i="27"/>
  <c r="V81" i="27"/>
  <c r="V65" i="27"/>
  <c r="V23" i="27"/>
  <c r="V35" i="27"/>
  <c r="V20" i="27"/>
  <c r="V10" i="27"/>
  <c r="V77" i="27"/>
  <c r="V68" i="27"/>
  <c r="V61" i="27"/>
  <c r="V5" i="27"/>
  <c r="V18" i="27"/>
  <c r="V88" i="27"/>
  <c r="V75" i="27"/>
  <c r="V59" i="27"/>
  <c r="V47" i="27"/>
  <c r="V95" i="27"/>
  <c r="V42" i="27"/>
  <c r="V34" i="27"/>
  <c r="V9" i="27"/>
  <c r="V7" i="27"/>
  <c r="V83" i="27"/>
  <c r="V67" i="27"/>
  <c r="V51" i="27"/>
  <c r="V38" i="27"/>
  <c r="V21" i="27"/>
  <c r="V15" i="27"/>
  <c r="V25" i="27"/>
  <c r="V66" i="27"/>
  <c r="V82" i="27"/>
  <c r="V86" i="27"/>
  <c r="V72" i="27"/>
  <c r="V56" i="27"/>
  <c r="V24" i="27"/>
  <c r="V26" i="27"/>
  <c r="V74" i="27"/>
  <c r="V58" i="27"/>
  <c r="V45" i="27"/>
  <c r="V37" i="27"/>
  <c r="V29" i="27"/>
  <c r="V13" i="27"/>
  <c r="V71" i="27"/>
  <c r="V55" i="27"/>
  <c r="V76" i="27"/>
  <c r="V43" i="27"/>
  <c r="V11" i="27"/>
  <c r="V6" i="27"/>
  <c r="V36" i="27"/>
  <c r="V19" i="27"/>
  <c r="V57" i="27"/>
  <c r="V73" i="27"/>
  <c r="V39" i="27"/>
  <c r="V30" i="27"/>
  <c r="V52" i="27"/>
  <c r="V93" i="27"/>
  <c r="V99" i="27"/>
  <c r="V28" i="27"/>
  <c r="V69" i="27"/>
  <c r="V87" i="27"/>
  <c r="V31" i="27"/>
  <c r="V92" i="27"/>
  <c r="V80" i="27"/>
  <c r="V64" i="27"/>
  <c r="V49" i="27"/>
  <c r="V40" i="27"/>
  <c r="V32" i="27"/>
  <c r="V16" i="27"/>
  <c r="V78" i="27"/>
  <c r="V62" i="27"/>
  <c r="V102" i="27"/>
  <c r="V60" i="27"/>
  <c r="V84" i="27"/>
  <c r="V97" i="27"/>
  <c r="V101" i="27"/>
  <c r="V46" i="27"/>
  <c r="V22" i="27"/>
  <c r="V14" i="27"/>
  <c r="V100" i="27"/>
  <c r="V41" i="27"/>
  <c r="V33" i="27"/>
  <c r="V17" i="27"/>
  <c r="V54" i="27"/>
  <c r="V70" i="27"/>
  <c r="V91" i="27"/>
  <c r="V48" i="27"/>
  <c r="V103" i="27"/>
  <c r="V96" i="27"/>
  <c r="V94" i="27"/>
  <c r="V98" i="27"/>
  <c r="J314" i="27" l="1"/>
  <c r="AK56" i="24"/>
  <c r="AK60" i="24" s="1"/>
  <c r="AL5" i="24"/>
  <c r="AK36" i="24"/>
  <c r="I314" i="25"/>
  <c r="I314" i="27" s="1"/>
  <c r="H314" i="27"/>
  <c r="AJ60" i="24"/>
  <c r="AJ57" i="24"/>
  <c r="G419" i="25"/>
  <c r="G419" i="27" s="1"/>
  <c r="F419" i="27"/>
  <c r="H419" i="27"/>
  <c r="I419" i="25"/>
  <c r="I419" i="27" s="1"/>
  <c r="G314" i="25"/>
  <c r="G314" i="27" s="1"/>
  <c r="F314" i="27"/>
  <c r="AL6" i="24"/>
  <c r="AK37" i="24"/>
  <c r="AL14" i="24"/>
  <c r="AL58" i="24" s="1"/>
  <c r="AL59" i="24" s="1"/>
  <c r="AL10" i="24"/>
  <c r="AK41" i="24"/>
  <c r="AL8" i="24"/>
  <c r="AK39" i="24"/>
  <c r="AL9" i="24"/>
  <c r="AK40" i="24"/>
  <c r="AL7" i="24"/>
  <c r="AK38" i="24"/>
  <c r="AN13" i="24"/>
  <c r="AL11" i="24"/>
  <c r="AK42" i="24"/>
  <c r="M106" i="25"/>
  <c r="K106" i="25"/>
  <c r="I106" i="25"/>
  <c r="G106" i="25"/>
  <c r="E106" i="25"/>
  <c r="L106" i="25"/>
  <c r="J106" i="25"/>
  <c r="H106" i="25"/>
  <c r="F106" i="25"/>
  <c r="D106" i="25"/>
  <c r="C106" i="25"/>
  <c r="B106" i="25"/>
  <c r="AK57" i="24" l="1"/>
  <c r="AM5" i="24"/>
  <c r="AL36" i="24"/>
  <c r="AL56" i="24"/>
  <c r="N208" i="25"/>
  <c r="N204" i="25"/>
  <c r="N200" i="25"/>
  <c r="N196" i="25"/>
  <c r="N192" i="25"/>
  <c r="N188" i="25"/>
  <c r="N184" i="25"/>
  <c r="N180" i="25"/>
  <c r="N176" i="25"/>
  <c r="N172" i="25"/>
  <c r="N168" i="25"/>
  <c r="N164" i="25"/>
  <c r="N160" i="25"/>
  <c r="N156" i="25"/>
  <c r="N152" i="25"/>
  <c r="N148" i="25"/>
  <c r="N144" i="25"/>
  <c r="N140" i="25"/>
  <c r="N136" i="25"/>
  <c r="N132" i="25"/>
  <c r="N128" i="25"/>
  <c r="N124" i="25"/>
  <c r="N120" i="25"/>
  <c r="N116" i="25"/>
  <c r="N112" i="25"/>
  <c r="N108" i="25"/>
  <c r="N310" i="25"/>
  <c r="N306" i="25"/>
  <c r="N302" i="25"/>
  <c r="N298" i="25"/>
  <c r="N294" i="25"/>
  <c r="N290" i="25"/>
  <c r="N286" i="25"/>
  <c r="N282" i="25"/>
  <c r="N278" i="25"/>
  <c r="N274" i="25"/>
  <c r="N270" i="25"/>
  <c r="N266" i="25"/>
  <c r="N262" i="25"/>
  <c r="N258" i="25"/>
  <c r="N254" i="25"/>
  <c r="N250" i="25"/>
  <c r="N246" i="25"/>
  <c r="N242" i="25"/>
  <c r="N238" i="25"/>
  <c r="N234" i="25"/>
  <c r="N230" i="25"/>
  <c r="N226" i="25"/>
  <c r="N222" i="25"/>
  <c r="N218" i="25"/>
  <c r="N214" i="25"/>
  <c r="N202" i="25"/>
  <c r="N190" i="25"/>
  <c r="N182" i="25"/>
  <c r="N174" i="25"/>
  <c r="N166" i="25"/>
  <c r="N158" i="25"/>
  <c r="N150" i="25"/>
  <c r="N142" i="25"/>
  <c r="N134" i="25"/>
  <c r="N126" i="25"/>
  <c r="N118" i="25"/>
  <c r="N110" i="25"/>
  <c r="N308" i="25"/>
  <c r="N304" i="25"/>
  <c r="N296" i="25"/>
  <c r="N288" i="25"/>
  <c r="N280" i="25"/>
  <c r="N272" i="25"/>
  <c r="N264" i="25"/>
  <c r="N256" i="25"/>
  <c r="N248" i="25"/>
  <c r="N240" i="25"/>
  <c r="N232" i="25"/>
  <c r="N228" i="25"/>
  <c r="N220" i="25"/>
  <c r="N197" i="25"/>
  <c r="N185" i="25"/>
  <c r="N177" i="25"/>
  <c r="N169" i="25"/>
  <c r="N161" i="25"/>
  <c r="N153" i="25"/>
  <c r="N145" i="25"/>
  <c r="N137" i="25"/>
  <c r="N129" i="25"/>
  <c r="N121" i="25"/>
  <c r="N113" i="25"/>
  <c r="N311" i="25"/>
  <c r="N303" i="25"/>
  <c r="N295" i="25"/>
  <c r="N287" i="25"/>
  <c r="N279" i="25"/>
  <c r="N271" i="25"/>
  <c r="N263" i="25"/>
  <c r="N255" i="25"/>
  <c r="N247" i="25"/>
  <c r="N239" i="25"/>
  <c r="N235" i="25"/>
  <c r="N227" i="25"/>
  <c r="N219" i="25"/>
  <c r="N207" i="25"/>
  <c r="N203" i="25"/>
  <c r="N199" i="25"/>
  <c r="N195" i="25"/>
  <c r="N191" i="25"/>
  <c r="N187" i="25"/>
  <c r="N183" i="25"/>
  <c r="N179" i="25"/>
  <c r="N175" i="25"/>
  <c r="N171" i="25"/>
  <c r="N167" i="25"/>
  <c r="N163" i="25"/>
  <c r="N159" i="25"/>
  <c r="N155" i="25"/>
  <c r="N151" i="25"/>
  <c r="N147" i="25"/>
  <c r="N143" i="25"/>
  <c r="N139" i="25"/>
  <c r="N135" i="25"/>
  <c r="N131" i="25"/>
  <c r="N127" i="25"/>
  <c r="N123" i="25"/>
  <c r="N119" i="25"/>
  <c r="N115" i="25"/>
  <c r="N111" i="25"/>
  <c r="N313" i="25"/>
  <c r="N309" i="25"/>
  <c r="N305" i="25"/>
  <c r="N301" i="25"/>
  <c r="N297" i="25"/>
  <c r="N293" i="25"/>
  <c r="N289" i="25"/>
  <c r="N285" i="25"/>
  <c r="N281" i="25"/>
  <c r="N277" i="25"/>
  <c r="N273" i="25"/>
  <c r="N269" i="25"/>
  <c r="N265" i="25"/>
  <c r="N261" i="25"/>
  <c r="N257" i="25"/>
  <c r="N253" i="25"/>
  <c r="N249" i="25"/>
  <c r="N245" i="25"/>
  <c r="N241" i="25"/>
  <c r="N237" i="25"/>
  <c r="N233" i="25"/>
  <c r="N229" i="25"/>
  <c r="N225" i="25"/>
  <c r="N221" i="25"/>
  <c r="N217" i="25"/>
  <c r="N213" i="25"/>
  <c r="N206" i="25"/>
  <c r="N198" i="25"/>
  <c r="N194" i="25"/>
  <c r="N186" i="25"/>
  <c r="N178" i="25"/>
  <c r="N170" i="25"/>
  <c r="N162" i="25"/>
  <c r="N154" i="25"/>
  <c r="N146" i="25"/>
  <c r="N138" i="25"/>
  <c r="N130" i="25"/>
  <c r="N122" i="25"/>
  <c r="N114" i="25"/>
  <c r="N312" i="25"/>
  <c r="N300" i="25"/>
  <c r="N292" i="25"/>
  <c r="N284" i="25"/>
  <c r="N276" i="25"/>
  <c r="N268" i="25"/>
  <c r="N260" i="25"/>
  <c r="N252" i="25"/>
  <c r="N244" i="25"/>
  <c r="N236" i="25"/>
  <c r="N224" i="25"/>
  <c r="N216" i="25"/>
  <c r="N205" i="25"/>
  <c r="N201" i="25"/>
  <c r="N193" i="25"/>
  <c r="N189" i="25"/>
  <c r="N181" i="25"/>
  <c r="N173" i="25"/>
  <c r="N165" i="25"/>
  <c r="N157" i="25"/>
  <c r="N149" i="25"/>
  <c r="N141" i="25"/>
  <c r="N133" i="25"/>
  <c r="N125" i="25"/>
  <c r="N117" i="25"/>
  <c r="N109" i="25"/>
  <c r="N307" i="25"/>
  <c r="N299" i="25"/>
  <c r="N291" i="25"/>
  <c r="N283" i="25"/>
  <c r="N275" i="25"/>
  <c r="N267" i="25"/>
  <c r="N259" i="25"/>
  <c r="N251" i="25"/>
  <c r="N243" i="25"/>
  <c r="N231" i="25"/>
  <c r="N223" i="25"/>
  <c r="N215" i="25"/>
  <c r="AM11" i="24"/>
  <c r="AL42" i="24"/>
  <c r="AM9" i="24"/>
  <c r="AL40" i="24"/>
  <c r="AM8" i="24"/>
  <c r="AL39" i="24"/>
  <c r="AM6" i="24"/>
  <c r="AL37" i="24"/>
  <c r="AM7" i="24"/>
  <c r="AL38" i="24"/>
  <c r="AM10" i="24"/>
  <c r="AL41" i="24"/>
  <c r="AM14" i="24"/>
  <c r="AM58" i="24" s="1"/>
  <c r="AM59" i="24" s="1"/>
  <c r="N321" i="25"/>
  <c r="N325" i="25"/>
  <c r="N329" i="25"/>
  <c r="N333" i="25"/>
  <c r="N337" i="25"/>
  <c r="N341" i="25"/>
  <c r="N345" i="25"/>
  <c r="N349" i="25"/>
  <c r="N353" i="25"/>
  <c r="N357" i="25"/>
  <c r="N361" i="25"/>
  <c r="N365" i="25"/>
  <c r="N369" i="25"/>
  <c r="N373" i="25"/>
  <c r="N377" i="25"/>
  <c r="N381" i="25"/>
  <c r="N385" i="25"/>
  <c r="N389" i="25"/>
  <c r="N393" i="25"/>
  <c r="N401" i="25"/>
  <c r="N405" i="25"/>
  <c r="N409" i="25"/>
  <c r="N413" i="25"/>
  <c r="N417" i="25"/>
  <c r="N322" i="25"/>
  <c r="N326" i="25"/>
  <c r="N330" i="25"/>
  <c r="N334" i="25"/>
  <c r="N338" i="25"/>
  <c r="N342" i="25"/>
  <c r="N346" i="25"/>
  <c r="N350" i="25"/>
  <c r="N354" i="25"/>
  <c r="N358" i="25"/>
  <c r="N362" i="25"/>
  <c r="N366" i="25"/>
  <c r="N370" i="25"/>
  <c r="N374" i="25"/>
  <c r="N378" i="25"/>
  <c r="N382" i="25"/>
  <c r="N386" i="25"/>
  <c r="N390" i="25"/>
  <c r="N394" i="25"/>
  <c r="N398" i="25"/>
  <c r="N402" i="25"/>
  <c r="N406" i="25"/>
  <c r="N410" i="25"/>
  <c r="N414" i="25"/>
  <c r="N418" i="25"/>
  <c r="N319" i="25"/>
  <c r="N323" i="25"/>
  <c r="N327" i="25"/>
  <c r="N331" i="25"/>
  <c r="N335" i="25"/>
  <c r="N339" i="25"/>
  <c r="N343" i="25"/>
  <c r="N347" i="25"/>
  <c r="N351" i="25"/>
  <c r="N355" i="25"/>
  <c r="N359" i="25"/>
  <c r="N363" i="25"/>
  <c r="N367" i="25"/>
  <c r="N371" i="25"/>
  <c r="N375" i="25"/>
  <c r="N379" i="25"/>
  <c r="N383" i="25"/>
  <c r="N387" i="25"/>
  <c r="N391" i="25"/>
  <c r="N395" i="25"/>
  <c r="N399" i="25"/>
  <c r="N403" i="25"/>
  <c r="N407" i="25"/>
  <c r="N411" i="25"/>
  <c r="N415" i="25"/>
  <c r="N318" i="25"/>
  <c r="N320" i="25"/>
  <c r="N324" i="25"/>
  <c r="N328" i="25"/>
  <c r="N332" i="25"/>
  <c r="N336" i="25"/>
  <c r="N340" i="25"/>
  <c r="N344" i="25"/>
  <c r="N348" i="25"/>
  <c r="N352" i="25"/>
  <c r="N356" i="25"/>
  <c r="N360" i="25"/>
  <c r="N364" i="25"/>
  <c r="N368" i="25"/>
  <c r="N372" i="25"/>
  <c r="N376" i="25"/>
  <c r="N380" i="25"/>
  <c r="N384" i="25"/>
  <c r="N388" i="25"/>
  <c r="N392" i="25"/>
  <c r="N396" i="25"/>
  <c r="N400" i="25"/>
  <c r="N404" i="25"/>
  <c r="N408" i="25"/>
  <c r="N412" i="25"/>
  <c r="N416" i="25"/>
  <c r="N397" i="25"/>
  <c r="B5" i="25"/>
  <c r="B6" i="25"/>
  <c r="C7" i="25"/>
  <c r="B10" i="25"/>
  <c r="C11" i="25"/>
  <c r="B14" i="25"/>
  <c r="C15" i="25"/>
  <c r="B18" i="25"/>
  <c r="C19" i="25"/>
  <c r="B22" i="25"/>
  <c r="C23" i="25"/>
  <c r="B26" i="25"/>
  <c r="C27" i="25"/>
  <c r="B30" i="25"/>
  <c r="C31" i="25"/>
  <c r="B34" i="25"/>
  <c r="C35" i="25"/>
  <c r="B38" i="25"/>
  <c r="C39" i="25"/>
  <c r="B42" i="25"/>
  <c r="C43" i="25"/>
  <c r="B46" i="25"/>
  <c r="C47" i="25"/>
  <c r="B50" i="25"/>
  <c r="C51" i="25"/>
  <c r="B54" i="25"/>
  <c r="C55" i="25"/>
  <c r="B58" i="25"/>
  <c r="C59" i="25"/>
  <c r="B62" i="25"/>
  <c r="C63" i="25"/>
  <c r="B66" i="25"/>
  <c r="C67" i="25"/>
  <c r="B70" i="25"/>
  <c r="C71" i="25"/>
  <c r="B74" i="25"/>
  <c r="C75" i="25"/>
  <c r="B78" i="25"/>
  <c r="C79" i="25"/>
  <c r="B82" i="25"/>
  <c r="C83" i="25"/>
  <c r="B86" i="25"/>
  <c r="C87" i="25"/>
  <c r="B90" i="25"/>
  <c r="C91" i="25"/>
  <c r="B94" i="25"/>
  <c r="C95" i="25"/>
  <c r="B98" i="25"/>
  <c r="C99" i="25"/>
  <c r="B102" i="25"/>
  <c r="C103" i="25"/>
  <c r="C6" i="25"/>
  <c r="B9" i="25"/>
  <c r="C10" i="25"/>
  <c r="B13" i="25"/>
  <c r="C14" i="25"/>
  <c r="B17" i="25"/>
  <c r="C18" i="25"/>
  <c r="B21" i="25"/>
  <c r="C22" i="25"/>
  <c r="B25" i="25"/>
  <c r="C26" i="25"/>
  <c r="B29" i="25"/>
  <c r="C30" i="25"/>
  <c r="B33" i="25"/>
  <c r="C34" i="25"/>
  <c r="B37" i="25"/>
  <c r="C38" i="25"/>
  <c r="B41" i="25"/>
  <c r="C42" i="25"/>
  <c r="B45" i="25"/>
  <c r="C46" i="25"/>
  <c r="B49" i="25"/>
  <c r="C50" i="25"/>
  <c r="B53" i="25"/>
  <c r="C54" i="25"/>
  <c r="B57" i="25"/>
  <c r="C58" i="25"/>
  <c r="B61" i="25"/>
  <c r="C62" i="25"/>
  <c r="B65" i="25"/>
  <c r="C66" i="25"/>
  <c r="B69" i="25"/>
  <c r="C70" i="25"/>
  <c r="B73" i="25"/>
  <c r="C74" i="25"/>
  <c r="B77" i="25"/>
  <c r="C78" i="25"/>
  <c r="B81" i="25"/>
  <c r="C82" i="25"/>
  <c r="B85" i="25"/>
  <c r="C86" i="25"/>
  <c r="B89" i="25"/>
  <c r="C90" i="25"/>
  <c r="B93" i="25"/>
  <c r="C94" i="25"/>
  <c r="B97" i="25"/>
  <c r="C98" i="25"/>
  <c r="B101" i="25"/>
  <c r="C102" i="25"/>
  <c r="C8" i="25"/>
  <c r="C12" i="25"/>
  <c r="B15" i="25"/>
  <c r="C20" i="25"/>
  <c r="C24" i="25"/>
  <c r="B27" i="25"/>
  <c r="B31" i="25"/>
  <c r="B8" i="25"/>
  <c r="C9" i="25"/>
  <c r="B12" i="25"/>
  <c r="C13" i="25"/>
  <c r="B16" i="25"/>
  <c r="C17" i="25"/>
  <c r="B20" i="25"/>
  <c r="C21" i="25"/>
  <c r="B24" i="25"/>
  <c r="C25" i="25"/>
  <c r="B28" i="25"/>
  <c r="C29" i="25"/>
  <c r="B32" i="25"/>
  <c r="C33" i="25"/>
  <c r="B36" i="25"/>
  <c r="C37" i="25"/>
  <c r="B40" i="25"/>
  <c r="C41" i="25"/>
  <c r="B44" i="25"/>
  <c r="C45" i="25"/>
  <c r="B48" i="25"/>
  <c r="C49" i="25"/>
  <c r="B52" i="25"/>
  <c r="C53" i="25"/>
  <c r="B56" i="25"/>
  <c r="C57" i="25"/>
  <c r="B60" i="25"/>
  <c r="C61" i="25"/>
  <c r="B64" i="25"/>
  <c r="C65" i="25"/>
  <c r="B68" i="25"/>
  <c r="C69" i="25"/>
  <c r="B72" i="25"/>
  <c r="C73" i="25"/>
  <c r="B76" i="25"/>
  <c r="C77" i="25"/>
  <c r="B80" i="25"/>
  <c r="C81" i="25"/>
  <c r="B84" i="25"/>
  <c r="C85" i="25"/>
  <c r="B88" i="25"/>
  <c r="C89" i="25"/>
  <c r="B92" i="25"/>
  <c r="C93" i="25"/>
  <c r="B96" i="25"/>
  <c r="C97" i="25"/>
  <c r="B100" i="25"/>
  <c r="C101" i="25"/>
  <c r="B104" i="25"/>
  <c r="C5" i="25"/>
  <c r="B7" i="25"/>
  <c r="B11" i="25"/>
  <c r="C16" i="25"/>
  <c r="B19" i="25"/>
  <c r="C28" i="25"/>
  <c r="C32" i="25"/>
  <c r="B23" i="25"/>
  <c r="B39" i="25"/>
  <c r="C44" i="25"/>
  <c r="B55" i="25"/>
  <c r="C60" i="25"/>
  <c r="B71" i="25"/>
  <c r="C76" i="25"/>
  <c r="B87" i="25"/>
  <c r="C92" i="25"/>
  <c r="B103" i="25"/>
  <c r="B59" i="25"/>
  <c r="B75" i="25"/>
  <c r="B91" i="25"/>
  <c r="B35" i="25"/>
  <c r="C40" i="25"/>
  <c r="B51" i="25"/>
  <c r="C56" i="25"/>
  <c r="B67" i="25"/>
  <c r="C72" i="25"/>
  <c r="B83" i="25"/>
  <c r="C88" i="25"/>
  <c r="B99" i="25"/>
  <c r="C104" i="25"/>
  <c r="C48" i="25"/>
  <c r="C64" i="25"/>
  <c r="C80" i="25"/>
  <c r="C36" i="25"/>
  <c r="B47" i="25"/>
  <c r="C52" i="25"/>
  <c r="B63" i="25"/>
  <c r="C68" i="25"/>
  <c r="B79" i="25"/>
  <c r="C84" i="25"/>
  <c r="B95" i="25"/>
  <c r="C100" i="25"/>
  <c r="B43" i="25"/>
  <c r="C96" i="25"/>
  <c r="AN5" i="24" l="1"/>
  <c r="AN36" i="24" s="1"/>
  <c r="AM36" i="24"/>
  <c r="AM56" i="24"/>
  <c r="AL60" i="24"/>
  <c r="AL57" i="24"/>
  <c r="AN8" i="24"/>
  <c r="AN39" i="24" s="1"/>
  <c r="AM39" i="24"/>
  <c r="AN7" i="24"/>
  <c r="AN38" i="24" s="1"/>
  <c r="AM38" i="24"/>
  <c r="AN14" i="24"/>
  <c r="AN58" i="24" s="1"/>
  <c r="AN59" i="24" s="1"/>
  <c r="L209" i="25" s="1"/>
  <c r="AN10" i="24"/>
  <c r="AN41" i="24" s="1"/>
  <c r="AM41" i="24"/>
  <c r="AN11" i="24"/>
  <c r="AN42" i="24" s="1"/>
  <c r="AM42" i="24"/>
  <c r="AN6" i="24"/>
  <c r="AM37" i="24"/>
  <c r="AN9" i="24"/>
  <c r="AN40" i="24" s="1"/>
  <c r="AM40" i="24"/>
  <c r="K13" i="10"/>
  <c r="K12" i="10"/>
  <c r="J10" i="10"/>
  <c r="J8" i="10"/>
  <c r="J6" i="10"/>
  <c r="B23" i="10"/>
  <c r="AN56" i="24" l="1"/>
  <c r="AN60" i="24" s="1"/>
  <c r="L209" i="27"/>
  <c r="M209" i="25"/>
  <c r="M209" i="27" s="1"/>
  <c r="AM60" i="24"/>
  <c r="AM57" i="24"/>
  <c r="AN37" i="24"/>
  <c r="AB78" i="15"/>
  <c r="A78" i="15"/>
  <c r="AD78" i="15" s="1"/>
  <c r="J78" i="15" l="1"/>
  <c r="H78" i="15" s="1"/>
  <c r="BB7" i="15" s="1"/>
  <c r="AV7" i="15"/>
  <c r="AW7" i="15" s="1"/>
  <c r="L314" i="25"/>
  <c r="L314" i="27" s="1"/>
  <c r="AN57" i="24"/>
  <c r="L419" i="25" s="1"/>
  <c r="AE78" i="15"/>
  <c r="Z78" i="15"/>
  <c r="Q78" i="15"/>
  <c r="A16" i="15"/>
  <c r="AB17" i="15"/>
  <c r="J17" i="15" s="1"/>
  <c r="BB6" i="15" s="1"/>
  <c r="AB16" i="15"/>
  <c r="AV6" i="15" s="1"/>
  <c r="BB33" i="15" l="1"/>
  <c r="H19" i="33" s="1"/>
  <c r="AW6" i="15"/>
  <c r="M314" i="25"/>
  <c r="M314" i="27" s="1"/>
  <c r="M419" i="25"/>
  <c r="M419" i="27" s="1"/>
  <c r="L419" i="27"/>
  <c r="AE16" i="15"/>
  <c r="AA17" i="15"/>
  <c r="A17" i="15" s="1"/>
  <c r="Z16" i="15"/>
  <c r="L19" i="24"/>
  <c r="N19" i="24" s="1"/>
  <c r="O19" i="24" s="1"/>
  <c r="P19" i="24" s="1"/>
  <c r="Q19" i="24" s="1"/>
  <c r="R19" i="24" s="1"/>
  <c r="L18" i="24"/>
  <c r="N18" i="24" s="1"/>
  <c r="O18" i="24" s="1"/>
  <c r="P18" i="24" s="1"/>
  <c r="Q18" i="24" s="1"/>
  <c r="R18" i="24" s="1"/>
  <c r="L17" i="24"/>
  <c r="N17" i="24" s="1"/>
  <c r="O17" i="24" s="1"/>
  <c r="P17" i="24" s="1"/>
  <c r="Q17" i="24" s="1"/>
  <c r="R17" i="24" s="1"/>
  <c r="L16" i="24"/>
  <c r="N16" i="24" s="1"/>
  <c r="O16" i="24" s="1"/>
  <c r="P16" i="24" s="1"/>
  <c r="Q16" i="24" s="1"/>
  <c r="R16" i="24" s="1"/>
  <c r="L15" i="24"/>
  <c r="N15" i="24" s="1"/>
  <c r="O15" i="24" s="1"/>
  <c r="P15" i="24" s="1"/>
  <c r="Q15" i="24" s="1"/>
  <c r="R15" i="24" s="1"/>
  <c r="L14" i="24"/>
  <c r="N14" i="24" s="1"/>
  <c r="O14" i="24" s="1"/>
  <c r="L13" i="24"/>
  <c r="N13" i="24" s="1"/>
  <c r="O13" i="24" s="1"/>
  <c r="P13" i="24" s="1"/>
  <c r="J19" i="24"/>
  <c r="J18" i="24"/>
  <c r="J17" i="24"/>
  <c r="J16" i="24"/>
  <c r="J15" i="24"/>
  <c r="J14" i="24"/>
  <c r="J13" i="24"/>
  <c r="H19" i="24"/>
  <c r="H18" i="24"/>
  <c r="H17" i="24"/>
  <c r="H16" i="24"/>
  <c r="H15" i="24"/>
  <c r="H14" i="24"/>
  <c r="H13" i="24"/>
  <c r="F19" i="24"/>
  <c r="F18" i="24"/>
  <c r="F17" i="24"/>
  <c r="F16" i="24"/>
  <c r="F15" i="24"/>
  <c r="F14" i="24"/>
  <c r="F13" i="24"/>
  <c r="D19" i="24"/>
  <c r="D18" i="24"/>
  <c r="D17" i="24"/>
  <c r="D16" i="24"/>
  <c r="D15" i="24"/>
  <c r="D14" i="24"/>
  <c r="D13" i="24"/>
  <c r="L11" i="24"/>
  <c r="N11" i="24" s="1"/>
  <c r="O11" i="24" s="1"/>
  <c r="P11" i="24" s="1"/>
  <c r="Q11" i="24" s="1"/>
  <c r="R11" i="24" s="1"/>
  <c r="L10" i="24"/>
  <c r="N10" i="24" s="1"/>
  <c r="O10" i="24" s="1"/>
  <c r="P10" i="24" s="1"/>
  <c r="Q10" i="24" s="1"/>
  <c r="R10" i="24" s="1"/>
  <c r="L9" i="24"/>
  <c r="N9" i="24" s="1"/>
  <c r="O9" i="24" s="1"/>
  <c r="P9" i="24" s="1"/>
  <c r="Q9" i="24" s="1"/>
  <c r="R9" i="24" s="1"/>
  <c r="L8" i="24"/>
  <c r="N8" i="24" s="1"/>
  <c r="O8" i="24" s="1"/>
  <c r="P8" i="24" s="1"/>
  <c r="Q8" i="24" s="1"/>
  <c r="R8" i="24" s="1"/>
  <c r="L7" i="24"/>
  <c r="N7" i="24" s="1"/>
  <c r="O7" i="24" s="1"/>
  <c r="P7" i="24" s="1"/>
  <c r="Q7" i="24" s="1"/>
  <c r="R7" i="24" s="1"/>
  <c r="L6" i="24"/>
  <c r="N6" i="24" s="1"/>
  <c r="O6" i="24" s="1"/>
  <c r="P6" i="24" s="1"/>
  <c r="Q6" i="24" s="1"/>
  <c r="R6" i="24" s="1"/>
  <c r="L5" i="24"/>
  <c r="N5" i="24" s="1"/>
  <c r="O5" i="24" s="1"/>
  <c r="P5" i="24" s="1"/>
  <c r="Q5" i="24" s="1"/>
  <c r="R5" i="24" s="1"/>
  <c r="J11" i="24"/>
  <c r="J10" i="24"/>
  <c r="J9" i="24"/>
  <c r="J8" i="24"/>
  <c r="J7" i="24"/>
  <c r="J6" i="24"/>
  <c r="J5" i="24"/>
  <c r="H11" i="24"/>
  <c r="H10" i="24"/>
  <c r="H9" i="24"/>
  <c r="H8" i="24"/>
  <c r="H7" i="24"/>
  <c r="H6" i="24"/>
  <c r="H5" i="24"/>
  <c r="F11" i="24"/>
  <c r="F10" i="24"/>
  <c r="F9" i="24"/>
  <c r="F8" i="24"/>
  <c r="F7" i="24"/>
  <c r="F6" i="24"/>
  <c r="F5" i="24"/>
  <c r="D11" i="24"/>
  <c r="D10" i="24"/>
  <c r="D9" i="24"/>
  <c r="D8" i="24"/>
  <c r="D7" i="24"/>
  <c r="D6" i="24"/>
  <c r="D5" i="24"/>
  <c r="B19" i="33" l="1"/>
  <c r="N419" i="27"/>
  <c r="Q13" i="24"/>
  <c r="P14" i="24"/>
  <c r="Q14" i="24" s="1"/>
  <c r="R14" i="24" s="1"/>
  <c r="R13" i="24" l="1"/>
  <c r="H265" i="5" l="1"/>
  <c r="M155" i="31" s="1"/>
  <c r="G265" i="5"/>
  <c r="D265" i="5"/>
  <c r="L155" i="31" l="1"/>
  <c r="J265" i="5"/>
  <c r="E9" i="14"/>
  <c r="E8" i="14"/>
  <c r="E7" i="14"/>
  <c r="E6" i="14"/>
  <c r="F266" i="5" l="1"/>
  <c r="O155" i="31"/>
  <c r="E265" i="5"/>
  <c r="N155" i="31" l="1"/>
  <c r="F317" i="5" l="1"/>
  <c r="E249" i="5" l="1"/>
  <c r="F231" i="5"/>
  <c r="I17" i="11" l="1"/>
  <c r="B17" i="11"/>
  <c r="D59" i="18"/>
  <c r="E59" i="18"/>
  <c r="H59" i="18" l="1"/>
  <c r="R59" i="18"/>
  <c r="U59" i="18" s="1"/>
  <c r="J59" i="18"/>
  <c r="AA59" i="18" s="1"/>
  <c r="L59" i="18"/>
  <c r="AB59" i="18" s="1"/>
  <c r="V59" i="18"/>
  <c r="W59" i="18" s="1"/>
  <c r="G59" i="18"/>
  <c r="Q59" i="18"/>
  <c r="T59" i="18" s="1"/>
  <c r="A80" i="15"/>
  <c r="AD80" i="15" s="1"/>
  <c r="A76" i="15"/>
  <c r="AD76" i="15" s="1"/>
  <c r="Y59" i="18" l="1"/>
  <c r="Z59" i="18" s="1"/>
  <c r="F59" i="18"/>
  <c r="I59" i="18" s="1"/>
  <c r="S59" i="18"/>
  <c r="X59" i="18"/>
  <c r="P59" i="18"/>
  <c r="N59" i="18"/>
  <c r="AA47" i="15"/>
  <c r="AA52" i="15"/>
  <c r="AA37" i="15"/>
  <c r="AA36" i="15"/>
  <c r="AB36" i="15" s="1"/>
  <c r="AV15" i="15" s="1"/>
  <c r="AB11" i="15"/>
  <c r="AB10" i="15"/>
  <c r="A14" i="15"/>
  <c r="AD14" i="15" s="1"/>
  <c r="AB14" i="15"/>
  <c r="AX15" i="15" l="1"/>
  <c r="AW15" i="15"/>
  <c r="Z14" i="15"/>
  <c r="AV10" i="15"/>
  <c r="O59" i="18"/>
  <c r="AB37" i="15"/>
  <c r="AV16" i="15" s="1"/>
  <c r="A52" i="15"/>
  <c r="AD52" i="15" s="1"/>
  <c r="A47" i="15"/>
  <c r="AD47" i="15" s="1"/>
  <c r="AW16" i="15" l="1"/>
  <c r="AX16" i="15"/>
  <c r="Z37" i="15"/>
  <c r="E266" i="5"/>
  <c r="AA58" i="15" l="1"/>
  <c r="AA57" i="15"/>
  <c r="AA46" i="15"/>
  <c r="AA51" i="15"/>
  <c r="J37" i="15"/>
  <c r="H37" i="15" s="1"/>
  <c r="BB16" i="15" s="1"/>
  <c r="A51" i="15" l="1"/>
  <c r="AD51" i="15" s="1"/>
  <c r="A57" i="15"/>
  <c r="AD57" i="15" s="1"/>
  <c r="A46" i="15"/>
  <c r="AD46" i="15" s="1"/>
  <c r="A58" i="15"/>
  <c r="AD58" i="15" s="1"/>
  <c r="F13" i="5" l="1"/>
  <c r="F12" i="5" l="1"/>
  <c r="F74" i="5" l="1"/>
  <c r="H58" i="15" l="1"/>
  <c r="BB24" i="15" s="1"/>
  <c r="H60" i="15"/>
  <c r="BB25" i="15" s="1"/>
  <c r="H57" i="15"/>
  <c r="BB23" i="15" s="1"/>
  <c r="H54" i="15"/>
  <c r="BB22" i="15" s="1"/>
  <c r="H52" i="15"/>
  <c r="H51" i="15"/>
  <c r="H50" i="15"/>
  <c r="H47" i="15"/>
  <c r="H46" i="15"/>
  <c r="H45" i="15"/>
  <c r="H36" i="15"/>
  <c r="BB15" i="15" s="1"/>
  <c r="H26" i="15"/>
  <c r="BB12" i="15" s="1"/>
  <c r="H49" i="15" l="1"/>
  <c r="BB21" i="15" s="1"/>
  <c r="H44" i="15"/>
  <c r="BB20" i="15" s="1"/>
  <c r="AI11" i="4" l="1"/>
  <c r="B201" i="5" l="1"/>
  <c r="B183" i="5"/>
  <c r="B90" i="5"/>
  <c r="B53" i="5"/>
  <c r="F77" i="5" l="1"/>
  <c r="F57"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99" i="5" l="1"/>
  <c r="E312" i="5" s="1"/>
  <c r="F62" i="5" l="1"/>
  <c r="F312" i="5"/>
  <c r="E309" i="5"/>
  <c r="F309"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AA60" i="15" l="1"/>
  <c r="A60" i="15" l="1"/>
  <c r="AD60" i="15" s="1"/>
  <c r="AB60" i="15"/>
  <c r="E76" i="18"/>
  <c r="D76" i="18"/>
  <c r="AA54" i="15"/>
  <c r="Z60" i="15" l="1"/>
  <c r="AV25" i="15"/>
  <c r="A54" i="15"/>
  <c r="AD54" i="15" s="1"/>
  <c r="AB54" i="15"/>
  <c r="AX25" i="15" l="1"/>
  <c r="AW25" i="15"/>
  <c r="Z54" i="15"/>
  <c r="AV22" i="15"/>
  <c r="I15" i="11"/>
  <c r="I14" i="11"/>
  <c r="B15" i="11"/>
  <c r="AW22" i="15" l="1"/>
  <c r="AX22" i="15"/>
  <c r="F322" i="5"/>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X66" i="18" l="1"/>
  <c r="Y66" i="18"/>
  <c r="Z66" i="18" s="1"/>
  <c r="Y67" i="18"/>
  <c r="Z67" i="18" s="1"/>
  <c r="X67" i="18"/>
  <c r="O13" i="18"/>
  <c r="O12" i="18"/>
  <c r="O11" i="18"/>
  <c r="AB67" i="18"/>
  <c r="N67" i="18"/>
  <c r="F67" i="18"/>
  <c r="I67" i="18" s="1"/>
  <c r="T66" i="18"/>
  <c r="S66" i="18" s="1"/>
  <c r="P66" i="18"/>
  <c r="AB66" i="18"/>
  <c r="N66" i="18"/>
  <c r="F66" i="18"/>
  <c r="I66" i="18" s="1"/>
  <c r="T67" i="18"/>
  <c r="S67" i="18" s="1"/>
  <c r="P67" i="18"/>
  <c r="O66" i="18" l="1"/>
  <c r="O67" i="18"/>
  <c r="AA35" i="15" l="1"/>
  <c r="H4" i="14"/>
  <c r="J90" i="6" l="1"/>
  <c r="A40" i="15"/>
  <c r="AD40" i="15" s="1"/>
  <c r="J40" i="15"/>
  <c r="H40" i="15" l="1"/>
  <c r="BB18" i="15" s="1"/>
  <c r="Z40" i="15"/>
  <c r="F31" i="17"/>
  <c r="F32" i="17"/>
  <c r="F30" i="17"/>
  <c r="F29" i="17"/>
  <c r="F28" i="17"/>
  <c r="F27" i="17"/>
  <c r="C36" i="17" l="1"/>
  <c r="C85" i="17"/>
  <c r="E36" i="17" l="1"/>
  <c r="C45" i="10" l="1"/>
  <c r="D48" i="4"/>
  <c r="D139" i="20" l="1"/>
  <c r="D184" i="20"/>
  <c r="D186"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56" i="5" l="1"/>
  <c r="B57" i="5" s="1"/>
  <c r="B58" i="5" l="1"/>
  <c r="B59" i="5" s="1"/>
  <c r="B60" i="5" s="1"/>
  <c r="B61" i="5" s="1"/>
  <c r="B62" i="5" s="1"/>
  <c r="B63" i="5" s="1"/>
  <c r="B64" i="5" s="1"/>
  <c r="B65" i="5" s="1"/>
  <c r="B66" i="5" s="1"/>
  <c r="B67" i="5" s="1"/>
  <c r="B68" i="5" s="1"/>
  <c r="B69" i="5" s="1"/>
  <c r="B70" i="5" s="1"/>
  <c r="B71" i="5" s="1"/>
  <c r="B72" i="5" s="1"/>
  <c r="B73" i="5" s="1"/>
  <c r="B74" i="5" s="1"/>
  <c r="B75" i="5" s="1"/>
  <c r="B76" i="5" s="1"/>
  <c r="B77" i="5" s="1"/>
  <c r="B81" i="5" s="1"/>
  <c r="B82" i="5" s="1"/>
  <c r="B83" i="5" s="1"/>
  <c r="B84" i="5" s="1"/>
  <c r="B85" i="5" s="1"/>
  <c r="B86" i="5" s="1"/>
  <c r="B87" i="5" s="1"/>
  <c r="B94" i="5" s="1"/>
  <c r="B95" i="5" s="1"/>
  <c r="B96" i="5" s="1"/>
  <c r="B99" i="5" s="1"/>
  <c r="D99" i="5" s="1"/>
  <c r="B110" i="5" s="1"/>
  <c r="D110" i="5" s="1"/>
  <c r="B118" i="5" s="1"/>
  <c r="B119" i="5" s="1"/>
  <c r="B120" i="5" s="1"/>
  <c r="B121" i="5" s="1"/>
  <c r="I58" i="5"/>
  <c r="I59" i="5"/>
  <c r="I60" i="5"/>
  <c r="B122" i="5" l="1"/>
  <c r="F21" i="14"/>
  <c r="B127" i="5" l="1"/>
  <c r="B128" i="5" s="1"/>
  <c r="B129" i="5" s="1"/>
  <c r="B130" i="5" s="1"/>
  <c r="B131" i="5" s="1"/>
  <c r="B132" i="5" s="1"/>
  <c r="B135" i="5" s="1"/>
  <c r="B144" i="5" s="1"/>
  <c r="B145" i="5" s="1"/>
  <c r="B151" i="5" s="1"/>
  <c r="B152" i="5" s="1"/>
  <c r="B153" i="5" s="1"/>
  <c r="B154" i="5" s="1"/>
  <c r="B155" i="5" s="1"/>
  <c r="B156" i="5" s="1"/>
  <c r="B159" i="5" s="1"/>
  <c r="B160" i="5" s="1"/>
  <c r="B161" i="5" s="1"/>
  <c r="B162" i="5" s="1"/>
  <c r="B165" i="5" s="1"/>
  <c r="B166" i="5" s="1"/>
  <c r="B167" i="5" s="1"/>
  <c r="B168" i="5" s="1"/>
  <c r="B169" i="5" s="1"/>
  <c r="B170" i="5" s="1"/>
  <c r="B171" i="5" s="1"/>
  <c r="B172" i="5" s="1"/>
  <c r="B173" i="5" s="1"/>
  <c r="AB57" i="18"/>
  <c r="AB17" i="18"/>
  <c r="AB35" i="18"/>
  <c r="AB36" i="18"/>
  <c r="AB37" i="18"/>
  <c r="AB38" i="18"/>
  <c r="AB39" i="18"/>
  <c r="AB40" i="18"/>
  <c r="AB41" i="18"/>
  <c r="B174" i="5" l="1"/>
  <c r="B175" i="5" s="1"/>
  <c r="B176" i="5" s="1"/>
  <c r="B179" i="5" s="1"/>
  <c r="B180" i="5" s="1"/>
  <c r="B185" i="5" s="1"/>
  <c r="B186" i="5" s="1"/>
  <c r="B187" i="5" s="1"/>
  <c r="B188" i="5" s="1"/>
  <c r="B192" i="5" s="1"/>
  <c r="C93"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C100" i="18" l="1"/>
  <c r="C99" i="18"/>
  <c r="C98" i="18" s="1"/>
  <c r="B193" i="5"/>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97" i="5" l="1"/>
  <c r="B198" i="5" s="1"/>
  <c r="AA72" i="18"/>
  <c r="F72" i="18"/>
  <c r="I72" i="18" s="1"/>
  <c r="AB72" i="18"/>
  <c r="X72" i="18"/>
  <c r="N72" i="18"/>
  <c r="Y72" i="18"/>
  <c r="Z72" i="18" s="1"/>
  <c r="S72" i="18"/>
  <c r="P72" i="18"/>
  <c r="B202" i="5" l="1"/>
  <c r="E10" i="17"/>
  <c r="E11" i="17"/>
  <c r="E12" i="17"/>
  <c r="E13" i="17"/>
  <c r="E14" i="17"/>
  <c r="E9" i="17"/>
  <c r="E4" i="17"/>
  <c r="E5" i="17"/>
  <c r="E3" i="17"/>
  <c r="B206" i="5" l="1"/>
  <c r="B207" i="5" s="1"/>
  <c r="D43" i="4"/>
  <c r="D41" i="4"/>
  <c r="D39" i="4"/>
  <c r="D38" i="4"/>
  <c r="D37" i="4"/>
  <c r="D36" i="4"/>
  <c r="D35" i="4"/>
  <c r="D34" i="4"/>
  <c r="D33" i="4"/>
  <c r="D32" i="4"/>
  <c r="D31" i="4"/>
  <c r="B218" i="5" l="1"/>
  <c r="B219" i="5" s="1"/>
  <c r="B220" i="5" s="1"/>
  <c r="B221" i="5" s="1"/>
  <c r="B222" i="5" s="1"/>
  <c r="B223" i="5" s="1"/>
  <c r="B224" i="5" s="1"/>
  <c r="B225" i="5" s="1"/>
  <c r="B226" i="5" s="1"/>
  <c r="B227" i="5" s="1"/>
  <c r="B228" i="5" s="1"/>
  <c r="B236" i="5" s="1"/>
  <c r="B237" i="5" s="1"/>
  <c r="B238" i="5" s="1"/>
  <c r="B239" i="5" s="1"/>
  <c r="B240" i="5" s="1"/>
  <c r="B241" i="5" s="1"/>
  <c r="B242" i="5" s="1"/>
  <c r="B243" i="5" s="1"/>
  <c r="B244" i="5" s="1"/>
  <c r="B245" i="5" s="1"/>
  <c r="B246" i="5" s="1"/>
  <c r="B247" i="5" s="1"/>
  <c r="B253" i="5" s="1"/>
  <c r="B254" i="5" s="1"/>
  <c r="B255" i="5" s="1"/>
  <c r="B256" i="5" s="1"/>
  <c r="B257" i="5" s="1"/>
  <c r="B258" i="5" s="1"/>
  <c r="B259" i="5" s="1"/>
  <c r="B260" i="5" s="1"/>
  <c r="B261" i="5" s="1"/>
  <c r="B262" i="5" s="1"/>
  <c r="B263" i="5" s="1"/>
  <c r="B264" i="5" s="1"/>
  <c r="B273" i="5" s="1"/>
  <c r="B274" i="5" s="1"/>
  <c r="B275" i="5" s="1"/>
  <c r="B276" i="5" s="1"/>
  <c r="B277" i="5" s="1"/>
  <c r="B278" i="5" s="1"/>
  <c r="B279" i="5" s="1"/>
  <c r="B280" i="5" s="1"/>
  <c r="B281" i="5" s="1"/>
  <c r="B282" i="5" s="1"/>
  <c r="B283" i="5" s="1"/>
  <c r="B284" i="5" s="1"/>
  <c r="B290" i="5" s="1"/>
  <c r="B291" i="5" s="1"/>
  <c r="B292" i="5" s="1"/>
  <c r="B293" i="5" s="1"/>
  <c r="B294" i="5" s="1"/>
  <c r="B295" i="5" s="1"/>
  <c r="B296" i="5" s="1"/>
  <c r="B297" i="5" s="1"/>
  <c r="B298" i="5" s="1"/>
  <c r="B299" i="5" s="1"/>
  <c r="B300" i="5" s="1"/>
  <c r="B301" i="5" s="1"/>
  <c r="C94" i="18"/>
  <c r="G74" i="5" s="1"/>
  <c r="M58" i="31" s="1"/>
  <c r="C95" i="18"/>
  <c r="C82" i="18"/>
  <c r="AA22" i="15"/>
  <c r="C92" i="18"/>
  <c r="G72" i="5" s="1"/>
  <c r="M56" i="31" s="1"/>
  <c r="C93" i="18"/>
  <c r="G73" i="5" s="1"/>
  <c r="M57" i="31" s="1"/>
  <c r="C91" i="18"/>
  <c r="C51" i="5"/>
  <c r="D52" i="5" s="1"/>
  <c r="C26" i="8"/>
  <c r="C23" i="8"/>
  <c r="C25" i="8"/>
  <c r="AA65" i="15"/>
  <c r="AA70" i="15"/>
  <c r="AA64" i="15"/>
  <c r="AA71" i="15"/>
  <c r="AA66" i="15"/>
  <c r="AA24" i="15"/>
  <c r="AA23" i="15"/>
  <c r="C24" i="8"/>
  <c r="C145" i="6"/>
  <c r="D188" i="6"/>
  <c r="B32" i="11"/>
  <c r="D14" i="17"/>
  <c r="C14" i="17"/>
  <c r="D13" i="17"/>
  <c r="C13" i="17"/>
  <c r="D12" i="17"/>
  <c r="C12" i="17"/>
  <c r="E409" i="11"/>
  <c r="D409" i="11"/>
  <c r="C409" i="11"/>
  <c r="E408" i="11"/>
  <c r="D408" i="11"/>
  <c r="C408" i="11"/>
  <c r="B409" i="11"/>
  <c r="B408" i="11"/>
  <c r="B398" i="11"/>
  <c r="C398" i="11"/>
  <c r="D398" i="11"/>
  <c r="E398" i="11"/>
  <c r="B399" i="11"/>
  <c r="C399" i="11"/>
  <c r="D399" i="11"/>
  <c r="E399" i="11"/>
  <c r="C86" i="18" l="1"/>
  <c r="C90" i="18"/>
  <c r="C28" i="8"/>
  <c r="A64" i="15"/>
  <c r="AD64" i="15" s="1"/>
  <c r="D113" i="20"/>
  <c r="I75" i="5"/>
  <c r="I73" i="5"/>
  <c r="I72" i="5"/>
  <c r="I68" i="5"/>
  <c r="I67" i="5"/>
  <c r="I66" i="5"/>
  <c r="I65" i="5"/>
  <c r="I55" i="5"/>
  <c r="I77" i="5"/>
  <c r="I76" i="5"/>
  <c r="I74" i="5"/>
  <c r="I71" i="5"/>
  <c r="I64" i="5"/>
  <c r="I62" i="5"/>
  <c r="I61" i="5"/>
  <c r="I57" i="5"/>
  <c r="I56" i="5"/>
  <c r="C84" i="18" l="1"/>
  <c r="C83" i="18" s="1"/>
  <c r="L20" i="18"/>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W265" i="5" l="1"/>
  <c r="Q265" i="5"/>
  <c r="O42" i="18"/>
  <c r="AE60" i="15" l="1"/>
  <c r="B18" i="11" l="1"/>
  <c r="Z34" i="15" l="1"/>
  <c r="AA45" i="15" l="1"/>
  <c r="AA50" i="15"/>
  <c r="D171" i="6"/>
  <c r="D169" i="20" s="1"/>
  <c r="I21" i="11"/>
  <c r="B13" i="11"/>
  <c r="E15" i="5"/>
  <c r="D15" i="5"/>
  <c r="A50" i="15" l="1"/>
  <c r="AD50" i="15" s="1"/>
  <c r="A45" i="15"/>
  <c r="AD45" i="15" s="1"/>
  <c r="V264" i="5"/>
  <c r="V263" i="5"/>
  <c r="V262" i="5"/>
  <c r="V261" i="5"/>
  <c r="V260" i="5"/>
  <c r="V259" i="5"/>
  <c r="V258" i="5"/>
  <c r="V257" i="5"/>
  <c r="V256" i="5"/>
  <c r="V255" i="5"/>
  <c r="V254" i="5"/>
  <c r="V253" i="5"/>
  <c r="V265" i="5" l="1"/>
  <c r="H153" i="31" l="1"/>
  <c r="J153" i="31"/>
  <c r="AD90" i="6"/>
  <c r="D22" i="17"/>
  <c r="D23" i="17"/>
  <c r="D21" i="17"/>
  <c r="D9" i="17"/>
  <c r="D11" i="17"/>
  <c r="D10" i="17"/>
  <c r="I6" i="11" l="1"/>
  <c r="I5" i="11"/>
  <c r="H147" i="31" l="1"/>
  <c r="J147" i="31"/>
  <c r="R90" i="6"/>
  <c r="H145" i="31"/>
  <c r="J145" i="31"/>
  <c r="N90" i="6"/>
  <c r="H154" i="31"/>
  <c r="J154" i="31"/>
  <c r="AF90" i="6"/>
  <c r="H146" i="31"/>
  <c r="J146" i="31"/>
  <c r="P90" i="6"/>
  <c r="H144" i="31"/>
  <c r="J144" i="31"/>
  <c r="L90" i="6"/>
  <c r="H152" i="31"/>
  <c r="J152" i="31"/>
  <c r="AB90" i="6"/>
  <c r="C112" i="6"/>
  <c r="R148" i="20" l="1"/>
  <c r="AE93" i="20" s="1"/>
  <c r="Q148" i="20"/>
  <c r="AC93" i="20" s="1"/>
  <c r="J148" i="20"/>
  <c r="O93" i="20" s="1"/>
  <c r="H148" i="20"/>
  <c r="K93" i="20" s="1"/>
  <c r="G148"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L70" i="18" s="1"/>
  <c r="D71" i="18"/>
  <c r="E71" i="18"/>
  <c r="D73" i="18"/>
  <c r="E73" i="18"/>
  <c r="D74" i="18"/>
  <c r="E74" i="18"/>
  <c r="E55" i="18"/>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35" i="18"/>
  <c r="Z36" i="18"/>
  <c r="Z38" i="18"/>
  <c r="Z39" i="18"/>
  <c r="Z41" i="18"/>
  <c r="Y17" i="18"/>
  <c r="Z17" i="18" s="1"/>
  <c r="X17" i="18"/>
  <c r="Y37" i="18"/>
  <c r="Z37" i="18" s="1"/>
  <c r="X37" i="18"/>
  <c r="V55" i="18" l="1"/>
  <c r="L55" i="18"/>
  <c r="R56" i="18"/>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Y55" i="18" l="1"/>
  <c r="Z55" i="18" s="1"/>
  <c r="X55" i="18"/>
  <c r="AB55" i="18"/>
  <c r="N14" i="18"/>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W55" i="18"/>
  <c r="Q55" i="18"/>
  <c r="Y10" i="18"/>
  <c r="X10" i="18"/>
  <c r="Q10" i="18"/>
  <c r="L10" i="18"/>
  <c r="C10" i="18"/>
  <c r="Y9" i="18"/>
  <c r="X9" i="18"/>
  <c r="W9" i="18"/>
  <c r="Q9" i="18"/>
  <c r="L9" i="18"/>
  <c r="C9" i="18"/>
  <c r="Y8" i="18"/>
  <c r="X8" i="18"/>
  <c r="W8" i="18"/>
  <c r="Q8" i="18"/>
  <c r="L8" i="18"/>
  <c r="C8" i="18"/>
  <c r="Y7" i="18"/>
  <c r="X7" i="18"/>
  <c r="W7" i="18"/>
  <c r="Q7" i="18"/>
  <c r="C7" i="18"/>
  <c r="AB56" i="18" l="1"/>
  <c r="X56" i="18"/>
  <c r="N47" i="18"/>
  <c r="AB47" i="18"/>
  <c r="F69" i="18"/>
  <c r="AB69" i="18"/>
  <c r="S56" i="18"/>
  <c r="F49" i="18"/>
  <c r="S48" i="18"/>
  <c r="S49" i="18"/>
  <c r="Z69" i="18"/>
  <c r="Z71" i="18"/>
  <c r="X47" i="18"/>
  <c r="Y47" i="18"/>
  <c r="Z47" i="18" s="1"/>
  <c r="F47" i="18"/>
  <c r="F56" i="18"/>
  <c r="Y56" i="18"/>
  <c r="Z56" i="18" s="1"/>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K102" i="6" s="1"/>
  <c r="T61" i="18"/>
  <c r="U61" i="18"/>
  <c r="U31" i="18"/>
  <c r="U32" i="18"/>
  <c r="W102" i="6" l="1"/>
  <c r="AE102" i="6"/>
  <c r="Y102" i="6"/>
  <c r="AA102" i="6"/>
  <c r="AC102" i="6"/>
  <c r="Q102" i="6"/>
  <c r="I102" i="6"/>
  <c r="O102" i="6"/>
  <c r="U102" i="6"/>
  <c r="M102" i="6"/>
  <c r="S102" i="6"/>
  <c r="S61" i="18"/>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5" i="15"/>
  <c r="I61" i="18"/>
  <c r="A75" i="15" l="1"/>
  <c r="AD75" i="15" s="1"/>
  <c r="AB75" i="15"/>
  <c r="F10" i="10"/>
  <c r="F7" i="10"/>
  <c r="F8" i="10"/>
  <c r="C111" i="6"/>
  <c r="C113" i="6"/>
  <c r="I25" i="11"/>
  <c r="I24" i="11"/>
  <c r="I50" i="18"/>
  <c r="Z75" i="15" l="1"/>
  <c r="AV28" i="15"/>
  <c r="I113" i="6"/>
  <c r="M113" i="6"/>
  <c r="Q113" i="6"/>
  <c r="K113" i="6"/>
  <c r="O113" i="6"/>
  <c r="S113" i="6"/>
  <c r="W113" i="6"/>
  <c r="AA113" i="6"/>
  <c r="AE113" i="6"/>
  <c r="U113" i="6"/>
  <c r="Y113" i="6"/>
  <c r="AC113" i="6"/>
  <c r="U69" i="18"/>
  <c r="U47" i="18"/>
  <c r="I64" i="18"/>
  <c r="C106" i="6"/>
  <c r="I106" i="6" s="1"/>
  <c r="P47" i="18"/>
  <c r="T47" i="18"/>
  <c r="I71" i="18"/>
  <c r="N69" i="18"/>
  <c r="I69" i="18"/>
  <c r="P69" i="18"/>
  <c r="T69" i="18"/>
  <c r="K106" i="6" l="1"/>
  <c r="AE114" i="6"/>
  <c r="AC114" i="6"/>
  <c r="S47" i="18"/>
  <c r="S69" i="18"/>
  <c r="O69" i="18" s="1"/>
  <c r="M106" i="6" l="1"/>
  <c r="O47" i="18"/>
  <c r="I22" i="11"/>
  <c r="B22" i="11"/>
  <c r="I20" i="11"/>
  <c r="I29" i="11"/>
  <c r="I30" i="11"/>
  <c r="O106" i="6" l="1"/>
  <c r="U63" i="18"/>
  <c r="I56" i="18"/>
  <c r="N63" i="18"/>
  <c r="P63" i="18"/>
  <c r="F20" i="14"/>
  <c r="J28" i="33" s="1"/>
  <c r="F19" i="14"/>
  <c r="F17" i="14"/>
  <c r="F16" i="14"/>
  <c r="I7" i="11"/>
  <c r="B16" i="11"/>
  <c r="E314" i="5" l="1"/>
  <c r="F314" i="5" s="1"/>
  <c r="E169" i="5"/>
  <c r="Q106" i="6"/>
  <c r="C146" i="5"/>
  <c r="AA41" i="15"/>
  <c r="AB41" i="15" s="1"/>
  <c r="G13" i="14"/>
  <c r="F14" i="14" s="1"/>
  <c r="B11" i="14" s="1"/>
  <c r="S63" i="18"/>
  <c r="O63" i="18" s="1"/>
  <c r="P20" i="18"/>
  <c r="AV19" i="15" l="1"/>
  <c r="J41" i="15"/>
  <c r="H41" i="15" s="1"/>
  <c r="BB19" i="15" s="1"/>
  <c r="S106" i="6"/>
  <c r="A41" i="15"/>
  <c r="AD41" i="15" s="1"/>
  <c r="Z41" i="15"/>
  <c r="U106" i="6"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W106" i="6" l="1"/>
  <c r="Y106" i="6" l="1"/>
  <c r="U26" i="18"/>
  <c r="U25" i="18"/>
  <c r="U27" i="18"/>
  <c r="N27" i="18"/>
  <c r="P27" i="18"/>
  <c r="P26" i="18"/>
  <c r="N26" i="18"/>
  <c r="N25" i="18"/>
  <c r="P25" i="18"/>
  <c r="AA106" i="6" l="1"/>
  <c r="S27" i="18"/>
  <c r="S26" i="18"/>
  <c r="S25" i="18"/>
  <c r="E24" i="18"/>
  <c r="V24" i="18" s="1"/>
  <c r="W24" i="18" s="1"/>
  <c r="D24" i="18"/>
  <c r="AC106" i="6" l="1"/>
  <c r="R24" i="18"/>
  <c r="O25" i="18"/>
  <c r="O27" i="18"/>
  <c r="O26" i="18"/>
  <c r="J24" i="18"/>
  <c r="AA24" i="18" s="1"/>
  <c r="C24" i="18"/>
  <c r="L24" i="18"/>
  <c r="AB24" i="18" s="1"/>
  <c r="G24" i="18"/>
  <c r="H24" i="18"/>
  <c r="Q24" i="18"/>
  <c r="T21" i="18"/>
  <c r="U21" i="18"/>
  <c r="N21" i="18"/>
  <c r="P21" i="18"/>
  <c r="AE106" i="6" l="1"/>
  <c r="R265" i="5"/>
  <c r="N24" i="18"/>
  <c r="F24" i="18"/>
  <c r="Y24" i="18"/>
  <c r="Z24" i="18" s="1"/>
  <c r="X24" i="18"/>
  <c r="T24" i="18"/>
  <c r="S21" i="18"/>
  <c r="U24" i="18"/>
  <c r="P24" i="18"/>
  <c r="O21" i="18" l="1"/>
  <c r="I24" i="18"/>
  <c r="S24" i="18"/>
  <c r="Y40" i="18"/>
  <c r="Z40" i="18" s="1"/>
  <c r="X40" i="18"/>
  <c r="O24" i="18" l="1"/>
  <c r="K148" i="20"/>
  <c r="Q93" i="20" s="1"/>
  <c r="H148" i="31" l="1"/>
  <c r="J148" i="31"/>
  <c r="T90" i="6"/>
  <c r="H149" i="31"/>
  <c r="J149" i="31"/>
  <c r="V90" i="6"/>
  <c r="H151" i="31"/>
  <c r="J151" i="31"/>
  <c r="Z90" i="6"/>
  <c r="D133" i="5"/>
  <c r="M148" i="20"/>
  <c r="U93" i="20" s="1"/>
  <c r="L148" i="20"/>
  <c r="S93" i="20" s="1"/>
  <c r="O148" i="20"/>
  <c r="Y93" i="20" s="1"/>
  <c r="N148" i="20"/>
  <c r="W93" i="20" s="1"/>
  <c r="F248" i="5" l="1"/>
  <c r="E313" i="5"/>
  <c r="F313" i="5" s="1"/>
  <c r="J150" i="31"/>
  <c r="F249" i="5"/>
  <c r="X90" i="6"/>
  <c r="M149" i="20"/>
  <c r="L149" i="20"/>
  <c r="H150" i="31" l="1"/>
  <c r="D248" i="5"/>
  <c r="H155" i="31" s="1"/>
  <c r="J155" i="31"/>
  <c r="F230" i="5"/>
  <c r="L236" i="5"/>
  <c r="D90" i="6"/>
  <c r="AE117" i="20"/>
  <c r="AC117" i="20"/>
  <c r="AA117" i="20"/>
  <c r="Y117" i="20"/>
  <c r="W117" i="20"/>
  <c r="U117" i="20"/>
  <c r="S117" i="20"/>
  <c r="Q117" i="20"/>
  <c r="O117" i="20"/>
  <c r="M117" i="20"/>
  <c r="K117" i="20"/>
  <c r="I117" i="20"/>
  <c r="J343" i="11" l="1"/>
  <c r="J341" i="11"/>
  <c r="J342" i="11"/>
  <c r="J340" i="11"/>
  <c r="C30" i="17" l="1"/>
  <c r="C31" i="17"/>
  <c r="C32" i="17"/>
  <c r="C4" i="17"/>
  <c r="C5" i="17"/>
  <c r="C9" i="17"/>
  <c r="C10" i="17"/>
  <c r="C11" i="17"/>
  <c r="C15" i="17"/>
  <c r="C16" i="17"/>
  <c r="C17" i="17"/>
  <c r="C21" i="17"/>
  <c r="C22" i="17"/>
  <c r="C23" i="17"/>
  <c r="C27" i="17"/>
  <c r="C3" i="17"/>
  <c r="D175" i="20" l="1"/>
  <c r="D174" i="20"/>
  <c r="D154" i="20"/>
  <c r="N132" i="20"/>
  <c r="T113" i="20"/>
  <c r="D26" i="20"/>
  <c r="B26" i="20"/>
  <c r="A8" i="15"/>
  <c r="AD8" i="15" s="1"/>
  <c r="Q54" i="15" l="1"/>
  <c r="AE54" i="15"/>
  <c r="AD113" i="20"/>
  <c r="Z113" i="20"/>
  <c r="V113" i="20"/>
  <c r="R113" i="20"/>
  <c r="N113" i="20"/>
  <c r="J113" i="20"/>
  <c r="X113" i="20"/>
  <c r="AB113" i="20"/>
  <c r="L113" i="20"/>
  <c r="AF113" i="20"/>
  <c r="P113" i="20"/>
  <c r="O132" i="20"/>
  <c r="P132" i="20" l="1"/>
  <c r="Q132" i="20" l="1"/>
  <c r="R132" i="20" l="1"/>
  <c r="G132" i="20" l="1"/>
  <c r="H132" i="20" l="1"/>
  <c r="I132" i="20" l="1"/>
  <c r="J132" i="20" l="1"/>
  <c r="K132" i="20" l="1"/>
  <c r="L132" i="20" l="1"/>
  <c r="S38" i="18" l="1"/>
  <c r="U70" i="18"/>
  <c r="AB70" i="18"/>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8" i="20"/>
  <c r="AA93" i="20" s="1"/>
  <c r="O8" i="18" l="1"/>
  <c r="O10" i="18"/>
  <c r="O7" i="18"/>
  <c r="O90" i="20"/>
  <c r="M90" i="20" l="1"/>
  <c r="AA90" i="20"/>
  <c r="AC90" i="20"/>
  <c r="AE90" i="20"/>
  <c r="K90" i="20"/>
  <c r="I90" i="20"/>
  <c r="S90" i="20" l="1"/>
  <c r="Q90" i="20"/>
  <c r="U90" i="20" l="1"/>
  <c r="W90" i="20" l="1"/>
  <c r="Y90" i="20"/>
  <c r="AG7" i="4" l="1"/>
  <c r="AG8" i="4"/>
  <c r="AG9" i="4"/>
  <c r="AG4" i="4"/>
  <c r="AG5" i="4"/>
  <c r="AG6" i="4"/>
  <c r="C90" i="20" l="1"/>
  <c r="D95" i="6"/>
  <c r="AB15" i="15" l="1"/>
  <c r="J9" i="15" s="1"/>
  <c r="AB70" i="15"/>
  <c r="AB65" i="15"/>
  <c r="AB30" i="15"/>
  <c r="AB23" i="15"/>
  <c r="A65" i="15" l="1"/>
  <c r="AD65" i="15" s="1"/>
  <c r="AB71" i="15"/>
  <c r="AB66" i="15"/>
  <c r="AB64" i="15" s="1"/>
  <c r="AB31" i="15"/>
  <c r="AB24" i="15"/>
  <c r="C3" i="2"/>
  <c r="Z64" i="15" l="1"/>
  <c r="AV26" i="15"/>
  <c r="AB9" i="15"/>
  <c r="A9" i="15"/>
  <c r="AD9" i="15" s="1"/>
  <c r="AE64" i="15"/>
  <c r="AV8" i="15" l="1"/>
  <c r="AW8" i="15" s="1"/>
  <c r="AA11" i="15"/>
  <c r="AA10" i="15"/>
  <c r="Z9" i="15"/>
  <c r="AE9" i="15"/>
  <c r="AA12" i="15"/>
  <c r="C26" i="6"/>
  <c r="B26" i="6"/>
  <c r="AX8" i="15" l="1"/>
  <c r="A10" i="15"/>
  <c r="AD10" i="15" s="1"/>
  <c r="A11" i="15"/>
  <c r="AD11" i="15" s="1"/>
  <c r="AB12" i="15"/>
  <c r="AV9" i="15" s="1"/>
  <c r="A12" i="15"/>
  <c r="AD12" i="15" s="1"/>
  <c r="AX10" i="15" l="1"/>
  <c r="AW10" i="15"/>
  <c r="AX9" i="15"/>
  <c r="AW9" i="15"/>
  <c r="Z12" i="15"/>
  <c r="I36" i="18"/>
  <c r="I35" i="18"/>
  <c r="S36" i="18" l="1"/>
  <c r="O36" i="18" s="1"/>
  <c r="A68" i="15" l="1"/>
  <c r="AB39" i="15"/>
  <c r="AV17" i="15" s="1"/>
  <c r="AB76" i="15"/>
  <c r="AV29" i="15" s="1"/>
  <c r="AB80" i="15"/>
  <c r="J75" i="15"/>
  <c r="H75" i="15" s="1"/>
  <c r="BB28" i="15" s="1"/>
  <c r="A63" i="15"/>
  <c r="AV30" i="15" l="1"/>
  <c r="Q80" i="15"/>
  <c r="Z80" i="15"/>
  <c r="J76" i="15"/>
  <c r="H76" i="15" s="1"/>
  <c r="BB29" i="15" s="1"/>
  <c r="Z76" i="15"/>
  <c r="Q76" i="15"/>
  <c r="J39" i="15"/>
  <c r="H39" i="15" s="1"/>
  <c r="BB17" i="15" s="1"/>
  <c r="Z39" i="15"/>
  <c r="C35" i="15"/>
  <c r="J34" i="15"/>
  <c r="H34" i="15" s="1"/>
  <c r="BB14" i="15" s="1"/>
  <c r="J80" i="15"/>
  <c r="H80" i="15" s="1"/>
  <c r="BB30" i="15" s="1"/>
  <c r="J90" i="20"/>
  <c r="P90" i="20"/>
  <c r="AD90" i="20"/>
  <c r="AF90" i="20"/>
  <c r="AB90" i="20"/>
  <c r="N90" i="20"/>
  <c r="L90" i="20"/>
  <c r="T90" i="20"/>
  <c r="R90" i="20"/>
  <c r="V90" i="20"/>
  <c r="Z90" i="20"/>
  <c r="X90" i="20"/>
  <c r="A35" i="15"/>
  <c r="C145" i="20"/>
  <c r="D186" i="20"/>
  <c r="D90" i="20"/>
  <c r="AE12" i="15"/>
  <c r="AE75" i="15"/>
  <c r="AE41" i="15"/>
  <c r="AE76" i="15"/>
  <c r="AE80" i="15"/>
  <c r="AE39" i="15"/>
  <c r="AE14" i="15"/>
  <c r="A34" i="15"/>
  <c r="AD34" i="15" s="1"/>
  <c r="AA15" i="15"/>
  <c r="A39" i="15"/>
  <c r="AD39" i="15" s="1"/>
  <c r="A73" i="15"/>
  <c r="A21" i="15"/>
  <c r="A28" i="15"/>
  <c r="AX30" i="15" l="1"/>
  <c r="AW30" i="15"/>
  <c r="P37" i="15"/>
  <c r="A15" i="15"/>
  <c r="AD15" i="15" s="1"/>
  <c r="A7" i="15" s="1"/>
  <c r="C54" i="10"/>
  <c r="G69" i="10"/>
  <c r="F69" i="10"/>
  <c r="E69" i="10"/>
  <c r="D69" i="10"/>
  <c r="C69" i="10"/>
  <c r="C63" i="10"/>
  <c r="C60" i="10"/>
  <c r="C44" i="10"/>
  <c r="C38" i="10"/>
  <c r="C39" i="10" s="1"/>
  <c r="B30" i="10"/>
  <c r="B29" i="10"/>
  <c r="B28" i="10"/>
  <c r="D26" i="10"/>
  <c r="C26" i="10"/>
  <c r="B26" i="10"/>
  <c r="P48" i="18" l="1"/>
  <c r="E41" i="18"/>
  <c r="R41" i="18" s="1"/>
  <c r="V41" i="18" l="1"/>
  <c r="W41" i="18" s="1"/>
  <c r="Q41" i="18"/>
  <c r="T41" i="18" s="1"/>
  <c r="H41" i="18"/>
  <c r="G41" i="18"/>
  <c r="C41" i="18"/>
  <c r="E46" i="18"/>
  <c r="V46" i="18" s="1"/>
  <c r="D46" i="18"/>
  <c r="E40" i="18"/>
  <c r="V40" i="18" s="1"/>
  <c r="W40" i="18" s="1"/>
  <c r="D40" i="18"/>
  <c r="D37" i="18"/>
  <c r="E30" i="18"/>
  <c r="V30" i="18" s="1"/>
  <c r="W30" i="18" s="1"/>
  <c r="D30" i="18"/>
  <c r="E29" i="18"/>
  <c r="V29" i="18" s="1"/>
  <c r="W29" i="18" s="1"/>
  <c r="D29" i="18"/>
  <c r="E33" i="18"/>
  <c r="L33" i="18" s="1"/>
  <c r="D33" i="18"/>
  <c r="D28" i="18"/>
  <c r="R28" i="18" s="1"/>
  <c r="E34" i="18"/>
  <c r="L34" i="18" s="1"/>
  <c r="D34" i="18"/>
  <c r="E23" i="18"/>
  <c r="V23" i="18" s="1"/>
  <c r="W23" i="18" s="1"/>
  <c r="D23" i="18"/>
  <c r="E22" i="18"/>
  <c r="V22" i="18" s="1"/>
  <c r="W22" i="18" s="1"/>
  <c r="D22" i="18"/>
  <c r="E17" i="18"/>
  <c r="D17" i="18"/>
  <c r="E15" i="18"/>
  <c r="V15" i="18" s="1"/>
  <c r="W15" i="18" s="1"/>
  <c r="D15" i="18"/>
  <c r="B2" i="18"/>
  <c r="R15" i="18" l="1"/>
  <c r="U15" i="18" s="1"/>
  <c r="R22" i="18"/>
  <c r="R34" i="18"/>
  <c r="R46" i="18"/>
  <c r="R29" i="18"/>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C40" i="18"/>
  <c r="T62" i="18"/>
  <c r="Q17" i="18"/>
  <c r="T17" i="18" s="1"/>
  <c r="U62" i="18"/>
  <c r="N71" i="18"/>
  <c r="N62" i="18"/>
  <c r="N61" i="18"/>
  <c r="O61" i="18" s="1"/>
  <c r="N56" i="18"/>
  <c r="O56" i="18" s="1"/>
  <c r="U35" i="18"/>
  <c r="U39" i="18"/>
  <c r="I17" i="18"/>
  <c r="T35" i="18"/>
  <c r="U41" i="18"/>
  <c r="P41" i="18"/>
  <c r="P62" i="18"/>
  <c r="P71" i="18"/>
  <c r="P35" i="18"/>
  <c r="P56" i="18"/>
  <c r="P36" i="18"/>
  <c r="P39" i="18"/>
  <c r="P61" i="18"/>
  <c r="F76" i="18" l="1"/>
  <c r="G55" i="5" s="1"/>
  <c r="A1" i="15" s="1"/>
  <c r="N76" i="18"/>
  <c r="G61" i="5" s="1"/>
  <c r="M43" i="31" s="1"/>
  <c r="K76" i="18"/>
  <c r="M76" i="18"/>
  <c r="G59" i="5" s="1"/>
  <c r="M41" i="31" s="1"/>
  <c r="O76" i="18"/>
  <c r="Q76" i="18"/>
  <c r="G63" i="5" s="1"/>
  <c r="R76" i="18"/>
  <c r="G66" i="5" s="1"/>
  <c r="M51" i="31" s="1"/>
  <c r="T76" i="18"/>
  <c r="G64" i="5" s="1"/>
  <c r="M45" i="31" s="1"/>
  <c r="L76" i="18"/>
  <c r="G58" i="5" s="1"/>
  <c r="M40" i="31" s="1"/>
  <c r="U76" i="18"/>
  <c r="G67" i="5" s="1"/>
  <c r="M46" i="31" s="1"/>
  <c r="V76" i="18"/>
  <c r="W76" i="18"/>
  <c r="X76" i="18"/>
  <c r="G71" i="5" s="1"/>
  <c r="M55" i="31" s="1"/>
  <c r="G76" i="18"/>
  <c r="G56" i="5" s="1"/>
  <c r="H76" i="18"/>
  <c r="G57" i="5" s="1"/>
  <c r="M39" i="31" s="1"/>
  <c r="N17" i="18"/>
  <c r="X33" i="18"/>
  <c r="AB33" i="18"/>
  <c r="P30" i="18"/>
  <c r="N23" i="18"/>
  <c r="AB23" i="18"/>
  <c r="N15" i="18"/>
  <c r="AB15" i="18"/>
  <c r="X34" i="18"/>
  <c r="AB34" i="18"/>
  <c r="N28" i="18"/>
  <c r="AA28" i="18"/>
  <c r="N40" i="18"/>
  <c r="AA40" i="18"/>
  <c r="N33" i="18"/>
  <c r="N30" i="18"/>
  <c r="C47" i="4"/>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E33" i="5" l="1"/>
  <c r="F63" i="5"/>
  <c r="G69" i="5"/>
  <c r="M53" i="31" s="1"/>
  <c r="M49" i="31"/>
  <c r="M37" i="31"/>
  <c r="H5" i="33"/>
  <c r="H8" i="33" s="1"/>
  <c r="M38" i="31"/>
  <c r="B140" i="6"/>
  <c r="F22" i="15" s="1"/>
  <c r="B141" i="6"/>
  <c r="G76" i="5"/>
  <c r="C138" i="6"/>
  <c r="F15" i="15"/>
  <c r="J15" i="15" s="1"/>
  <c r="H15" i="15" s="1"/>
  <c r="BB10" i="15" s="1"/>
  <c r="G77" i="5"/>
  <c r="B138" i="6"/>
  <c r="B142" i="6"/>
  <c r="AB76" i="18"/>
  <c r="S76" i="18"/>
  <c r="I76" i="18"/>
  <c r="B137" i="6"/>
  <c r="C78" i="5"/>
  <c r="P76" i="18"/>
  <c r="D181" i="6"/>
  <c r="O41" i="18"/>
  <c r="I34" i="18"/>
  <c r="I33" i="18"/>
  <c r="I46" i="18"/>
  <c r="I29" i="18"/>
  <c r="I30" i="18"/>
  <c r="I23" i="18"/>
  <c r="I22" i="18"/>
  <c r="I15" i="18"/>
  <c r="S15" i="18"/>
  <c r="S34" i="18"/>
  <c r="O34" i="18" s="1"/>
  <c r="S28" i="18"/>
  <c r="S30" i="18"/>
  <c r="S33" i="18"/>
  <c r="O33" i="18" s="1"/>
  <c r="S29" i="18"/>
  <c r="S17" i="18"/>
  <c r="S22" i="18"/>
  <c r="S23" i="18"/>
  <c r="S46" i="18"/>
  <c r="S40" i="18"/>
  <c r="S37" i="18"/>
  <c r="O37" i="18" s="1"/>
  <c r="H87" i="33" l="1"/>
  <c r="J19" i="33"/>
  <c r="K220" i="33"/>
  <c r="Q220" i="33" s="1"/>
  <c r="K204" i="33"/>
  <c r="Q204" i="33" s="1"/>
  <c r="K212" i="33"/>
  <c r="Q212" i="33" s="1"/>
  <c r="K196" i="33"/>
  <c r="Q196" i="33" s="1"/>
  <c r="K216" i="33"/>
  <c r="Q216" i="33" s="1"/>
  <c r="K208" i="33"/>
  <c r="Q208" i="33" s="1"/>
  <c r="K200" i="33"/>
  <c r="Q200" i="33" s="1"/>
  <c r="K189" i="33"/>
  <c r="Q189" i="33" s="1"/>
  <c r="K218" i="33"/>
  <c r="Q218" i="33" s="1"/>
  <c r="K214" i="33"/>
  <c r="Q214" i="33" s="1"/>
  <c r="K210" i="33"/>
  <c r="Q210" i="33" s="1"/>
  <c r="K206" i="33"/>
  <c r="Q206" i="33" s="1"/>
  <c r="K202" i="33"/>
  <c r="Q202" i="33" s="1"/>
  <c r="K198" i="33"/>
  <c r="Q198" i="33" s="1"/>
  <c r="K193" i="33"/>
  <c r="Q193" i="33" s="1"/>
  <c r="K185" i="33"/>
  <c r="Q185" i="33" s="1"/>
  <c r="K219" i="33"/>
  <c r="Q219" i="33" s="1"/>
  <c r="K217" i="33"/>
  <c r="Q217" i="33" s="1"/>
  <c r="K215" i="33"/>
  <c r="Q215" i="33" s="1"/>
  <c r="K213" i="33"/>
  <c r="Q213" i="33" s="1"/>
  <c r="K211" i="33"/>
  <c r="Q211" i="33" s="1"/>
  <c r="K209" i="33"/>
  <c r="Q209" i="33" s="1"/>
  <c r="K207" i="33"/>
  <c r="Q207" i="33" s="1"/>
  <c r="K205" i="33"/>
  <c r="Q205" i="33" s="1"/>
  <c r="K203" i="33"/>
  <c r="Q203" i="33" s="1"/>
  <c r="K201" i="33"/>
  <c r="Q201" i="33" s="1"/>
  <c r="K199" i="33"/>
  <c r="Q199" i="33" s="1"/>
  <c r="K197" i="33"/>
  <c r="Q197" i="33" s="1"/>
  <c r="K195" i="33"/>
  <c r="Q195" i="33" s="1"/>
  <c r="K191" i="33"/>
  <c r="Q191" i="33" s="1"/>
  <c r="K187" i="33"/>
  <c r="Q187" i="33" s="1"/>
  <c r="J17" i="33"/>
  <c r="K194" i="33"/>
  <c r="Q194" i="33" s="1"/>
  <c r="K192" i="33"/>
  <c r="Q192" i="33" s="1"/>
  <c r="K190" i="33"/>
  <c r="Q190" i="33" s="1"/>
  <c r="K188" i="33"/>
  <c r="Q188" i="33" s="1"/>
  <c r="K186" i="33"/>
  <c r="Q186" i="33" s="1"/>
  <c r="K183" i="33"/>
  <c r="Q183" i="33" s="1"/>
  <c r="B145" i="6"/>
  <c r="M48" i="31"/>
  <c r="M54" i="31"/>
  <c r="G70" i="5"/>
  <c r="M47" i="31" s="1"/>
  <c r="F29" i="15"/>
  <c r="D187" i="6"/>
  <c r="D185" i="20" s="1"/>
  <c r="O30" i="18"/>
  <c r="O28" i="18"/>
  <c r="O23" i="18"/>
  <c r="O15" i="18"/>
  <c r="O29" i="18"/>
  <c r="O17" i="18"/>
  <c r="O22" i="18"/>
  <c r="O46" i="18"/>
  <c r="O40" i="18"/>
  <c r="U259" i="5"/>
  <c r="D176" i="6"/>
  <c r="D177" i="6"/>
  <c r="U258" i="5"/>
  <c r="U260" i="5"/>
  <c r="U261" i="5"/>
  <c r="U262" i="5"/>
  <c r="U263" i="5"/>
  <c r="U264" i="5"/>
  <c r="U253" i="5"/>
  <c r="U254" i="5"/>
  <c r="U255" i="5"/>
  <c r="U256" i="5"/>
  <c r="U257" i="5"/>
  <c r="D9" i="14"/>
  <c r="C9" i="14" s="1"/>
  <c r="D8" i="14"/>
  <c r="C8" i="14" s="1"/>
  <c r="L220" i="33" l="1"/>
  <c r="L204" i="33"/>
  <c r="L196" i="33"/>
  <c r="L193" i="33"/>
  <c r="L212" i="33"/>
  <c r="L189" i="33"/>
  <c r="L208" i="33"/>
  <c r="L200" i="33"/>
  <c r="L216" i="33"/>
  <c r="L206" i="33"/>
  <c r="L198" i="33"/>
  <c r="L214" i="33"/>
  <c r="L202" i="33"/>
  <c r="L210" i="33"/>
  <c r="L218" i="33"/>
  <c r="L185" i="33"/>
  <c r="L205" i="33"/>
  <c r="L191" i="33"/>
  <c r="L197" i="33"/>
  <c r="L213" i="33"/>
  <c r="L201" i="33"/>
  <c r="L209" i="33"/>
  <c r="L217" i="33"/>
  <c r="L187" i="33"/>
  <c r="L195" i="33"/>
  <c r="L199" i="33"/>
  <c r="L203" i="33"/>
  <c r="L207" i="33"/>
  <c r="L211" i="33"/>
  <c r="L215" i="33"/>
  <c r="L219" i="33"/>
  <c r="L190" i="33"/>
  <c r="L186" i="33"/>
  <c r="L194" i="33"/>
  <c r="L188" i="33"/>
  <c r="L192" i="33"/>
  <c r="B139" i="6"/>
  <c r="C138" i="20"/>
  <c r="U265" i="5"/>
  <c r="O61" i="10"/>
  <c r="F61" i="10"/>
  <c r="N61" i="10"/>
  <c r="G61" i="10"/>
  <c r="I61" i="10"/>
  <c r="E61" i="10"/>
  <c r="M61" i="10"/>
  <c r="J61" i="10"/>
  <c r="H61" i="10"/>
  <c r="P61" i="10"/>
  <c r="L61" i="10"/>
  <c r="K61" i="10"/>
  <c r="C11" i="14"/>
  <c r="F15" i="14"/>
  <c r="F7" i="8"/>
  <c r="F6" i="8"/>
  <c r="F5" i="8"/>
  <c r="F4" i="8"/>
  <c r="D161" i="6"/>
  <c r="M217" i="33" l="1"/>
  <c r="M218" i="33" s="1"/>
  <c r="M219" i="33" s="1"/>
  <c r="M220" i="33" s="1"/>
  <c r="M205" i="33"/>
  <c r="M206" i="33" s="1"/>
  <c r="M207" i="33" s="1"/>
  <c r="M208" i="33" s="1"/>
  <c r="M209" i="33" s="1"/>
  <c r="M210" i="33" s="1"/>
  <c r="M193" i="33"/>
  <c r="M194" i="33" s="1"/>
  <c r="M195" i="33" s="1"/>
  <c r="M196" i="33" s="1"/>
  <c r="M197" i="33" s="1"/>
  <c r="M198" i="33" s="1"/>
  <c r="M199" i="33" s="1"/>
  <c r="M200" i="33" s="1"/>
  <c r="M201" i="33" s="1"/>
  <c r="M202" i="33" s="1"/>
  <c r="M203" i="33" s="1"/>
  <c r="M204" i="33" s="1"/>
  <c r="M211" i="33"/>
  <c r="M212" i="33" s="1"/>
  <c r="M213" i="33" s="1"/>
  <c r="M214" i="33" s="1"/>
  <c r="M215" i="33" s="1"/>
  <c r="M216" i="33" s="1"/>
  <c r="B82" i="15"/>
  <c r="D158" i="6"/>
  <c r="H5" i="8"/>
  <c r="H6" i="8"/>
  <c r="D16" i="14"/>
  <c r="D14" i="14"/>
  <c r="D15" i="14"/>
  <c r="D17" i="14"/>
  <c r="C17" i="14"/>
  <c r="C15" i="14"/>
  <c r="C14" i="14"/>
  <c r="B17" i="14"/>
  <c r="B15" i="14"/>
  <c r="B14" i="14"/>
  <c r="D7" i="14"/>
  <c r="C7" i="14" s="1"/>
  <c r="D6" i="14"/>
  <c r="C6" i="14" s="1"/>
  <c r="D5" i="14"/>
  <c r="F9" i="8"/>
  <c r="F10" i="8"/>
  <c r="H10" i="8" s="1"/>
  <c r="F11" i="8"/>
  <c r="J170" i="6" l="1"/>
  <c r="J168" i="20" s="1"/>
  <c r="K170" i="6"/>
  <c r="K168" i="20" s="1"/>
  <c r="P170" i="6"/>
  <c r="P168" i="20" s="1"/>
  <c r="N170" i="6"/>
  <c r="N168" i="20" s="1"/>
  <c r="O170" i="6"/>
  <c r="O168" i="20" s="1"/>
  <c r="I170" i="6"/>
  <c r="I168" i="20" s="1"/>
  <c r="R170" i="6"/>
  <c r="H170" i="6"/>
  <c r="H168" i="20" s="1"/>
  <c r="M170" i="6"/>
  <c r="M168" i="20" s="1"/>
  <c r="G170" i="6"/>
  <c r="G168" i="20" s="1"/>
  <c r="L170" i="6"/>
  <c r="L168" i="20" s="1"/>
  <c r="Q170" i="6"/>
  <c r="Q168" i="20" s="1"/>
  <c r="L237" i="5"/>
  <c r="G236" i="5" s="1"/>
  <c r="H11" i="8"/>
  <c r="D15" i="8" s="1"/>
  <c r="R168" i="20"/>
  <c r="D170" i="6"/>
  <c r="C90" i="6" s="1"/>
  <c r="H4" i="8"/>
  <c r="H7" i="8" s="1"/>
  <c r="H9" i="8"/>
  <c r="C5" i="14"/>
  <c r="E12" i="14"/>
  <c r="C16" i="8"/>
  <c r="C12" i="8"/>
  <c r="C8" i="8"/>
  <c r="C4" i="8"/>
  <c r="C11" i="8"/>
  <c r="C18" i="8"/>
  <c r="C14" i="8"/>
  <c r="C6" i="8"/>
  <c r="C17" i="8"/>
  <c r="C9" i="8"/>
  <c r="C19" i="8"/>
  <c r="C15" i="8"/>
  <c r="C7" i="8"/>
  <c r="C10" i="8"/>
  <c r="C13" i="8"/>
  <c r="C5" i="8"/>
  <c r="D19" i="8" l="1"/>
  <c r="D7" i="8"/>
  <c r="D12" i="8"/>
  <c r="F4" i="15"/>
  <c r="D17" i="8"/>
  <c r="D13" i="8"/>
  <c r="D16" i="8"/>
  <c r="D14" i="8"/>
  <c r="D18" i="8"/>
  <c r="D168"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8" i="6"/>
  <c r="G217" i="5" s="1"/>
  <c r="D103" i="5"/>
  <c r="B27" i="8"/>
  <c r="B26" i="8"/>
  <c r="B24" i="8"/>
  <c r="B23" i="8"/>
  <c r="B19" i="8"/>
  <c r="B18" i="8"/>
  <c r="B17" i="8"/>
  <c r="B16" i="8"/>
  <c r="B15" i="8"/>
  <c r="B14" i="8"/>
  <c r="B13" i="8"/>
  <c r="B12" i="8"/>
  <c r="B11" i="8"/>
  <c r="B10" i="8"/>
  <c r="B9" i="8"/>
  <c r="B8" i="8"/>
  <c r="B7" i="8"/>
  <c r="B4" i="8"/>
  <c r="B5" i="8"/>
  <c r="B6" i="8"/>
  <c r="I236" i="5" l="1"/>
  <c r="L222" i="5"/>
  <c r="L223" i="5"/>
  <c r="L224" i="5"/>
  <c r="L221" i="5"/>
  <c r="K218" i="5"/>
  <c r="J218" i="5" s="1"/>
  <c r="K222" i="5"/>
  <c r="J222" i="5" s="1"/>
  <c r="K226" i="5"/>
  <c r="J226" i="5" s="1"/>
  <c r="K224" i="5"/>
  <c r="J224" i="5" s="1"/>
  <c r="K221" i="5"/>
  <c r="J221" i="5" s="1"/>
  <c r="K217" i="5"/>
  <c r="K223" i="5"/>
  <c r="J223" i="5" s="1"/>
  <c r="K227" i="5"/>
  <c r="J227" i="5" s="1"/>
  <c r="K220" i="5"/>
  <c r="J220" i="5" s="1"/>
  <c r="K228" i="5"/>
  <c r="J228" i="5" s="1"/>
  <c r="K225" i="5"/>
  <c r="J225" i="5" s="1"/>
  <c r="L4" i="15"/>
  <c r="D158" i="20"/>
  <c r="N91" i="20"/>
  <c r="N92"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2" i="6"/>
  <c r="D162" i="20"/>
  <c r="D176" i="20"/>
  <c r="G235" i="5" l="1"/>
  <c r="J86" i="6"/>
  <c r="J85" i="6" s="1"/>
  <c r="J217" i="5"/>
  <c r="K149" i="20"/>
  <c r="S36" i="6"/>
  <c r="P86" i="6"/>
  <c r="Y36" i="6"/>
  <c r="Y74" i="6" s="1"/>
  <c r="T86" i="6"/>
  <c r="V36" i="6"/>
  <c r="V13" i="6" s="1"/>
  <c r="R86" i="6"/>
  <c r="M36" i="6"/>
  <c r="L86" i="6"/>
  <c r="AN36" i="6"/>
  <c r="AD86" i="6"/>
  <c r="AH36" i="6"/>
  <c r="Z86" i="6"/>
  <c r="AB36" i="6"/>
  <c r="V86" i="6"/>
  <c r="AE36" i="6"/>
  <c r="X86" i="6"/>
  <c r="AQ36" i="6"/>
  <c r="AQ13" i="6" s="1"/>
  <c r="AF86" i="6"/>
  <c r="AK36" i="6"/>
  <c r="AK35" i="6" s="1"/>
  <c r="AB86" i="6"/>
  <c r="D92" i="20"/>
  <c r="N41" i="14"/>
  <c r="N40" i="14"/>
  <c r="N39" i="14"/>
  <c r="N38" i="14"/>
  <c r="E35" i="14"/>
  <c r="D35" i="14"/>
  <c r="E34" i="14"/>
  <c r="D34" i="14"/>
  <c r="E33" i="14"/>
  <c r="D33" i="14"/>
  <c r="J36" i="6" l="1"/>
  <c r="J13" i="6" s="1"/>
  <c r="J16" i="6"/>
  <c r="K16" i="6" s="1"/>
  <c r="AQ35" i="6"/>
  <c r="AQ12" i="6" s="1"/>
  <c r="V35" i="6"/>
  <c r="V12" i="6" s="1"/>
  <c r="V74" i="6"/>
  <c r="M13" i="6"/>
  <c r="M35" i="6"/>
  <c r="AN13" i="6"/>
  <c r="Y35" i="6"/>
  <c r="Y12" i="6" s="1"/>
  <c r="R85" i="6"/>
  <c r="V16" i="6"/>
  <c r="W16" i="6" s="1"/>
  <c r="S13" i="6"/>
  <c r="S35" i="6"/>
  <c r="AN35" i="6"/>
  <c r="AN12" i="6" s="1"/>
  <c r="Y13" i="6"/>
  <c r="J15" i="6"/>
  <c r="S16" i="6"/>
  <c r="T16" i="6" s="1"/>
  <c r="P85" i="6"/>
  <c r="M16" i="6"/>
  <c r="N16" i="6" s="1"/>
  <c r="L85" i="6"/>
  <c r="T85" i="6"/>
  <c r="Y16" i="6"/>
  <c r="Z16" i="6" s="1"/>
  <c r="AK13" i="6"/>
  <c r="AB85" i="6"/>
  <c r="AK16" i="6"/>
  <c r="AL16" i="6" s="1"/>
  <c r="AE16" i="6"/>
  <c r="AF16" i="6" s="1"/>
  <c r="X85" i="6"/>
  <c r="AH16" i="6"/>
  <c r="AI16" i="6" s="1"/>
  <c r="Z85" i="6"/>
  <c r="AD85" i="6"/>
  <c r="AN16" i="6"/>
  <c r="AO16" i="6" s="1"/>
  <c r="AE13" i="6"/>
  <c r="AE35" i="6"/>
  <c r="AE74" i="6"/>
  <c r="AH13" i="6"/>
  <c r="AH35" i="6"/>
  <c r="AH74" i="6"/>
  <c r="AF85" i="6"/>
  <c r="AQ16" i="6"/>
  <c r="AR16" i="6" s="1"/>
  <c r="AB16" i="6"/>
  <c r="AC16" i="6" s="1"/>
  <c r="V85" i="6"/>
  <c r="AB13" i="6"/>
  <c r="AB35" i="6"/>
  <c r="AB74" i="6"/>
  <c r="AK12" i="6"/>
  <c r="I20" i="24"/>
  <c r="L38" i="14"/>
  <c r="L39" i="14"/>
  <c r="L40" i="14"/>
  <c r="L41" i="14"/>
  <c r="J35" i="6" l="1"/>
  <c r="J12" i="6" s="1"/>
  <c r="Y15" i="6"/>
  <c r="Z15" i="6" s="1"/>
  <c r="S12" i="6"/>
  <c r="V15" i="6"/>
  <c r="W15" i="6" s="1"/>
  <c r="S15" i="6"/>
  <c r="K15" i="6"/>
  <c r="M12" i="6"/>
  <c r="M15" i="6"/>
  <c r="AB12" i="6"/>
  <c r="AN15" i="6"/>
  <c r="AO15" i="6" s="1"/>
  <c r="AB15" i="6"/>
  <c r="AQ15" i="6"/>
  <c r="AR15" i="6" s="1"/>
  <c r="AH15" i="6"/>
  <c r="AE15" i="6"/>
  <c r="AK15" i="6"/>
  <c r="AL15" i="6" s="1"/>
  <c r="AH12" i="6"/>
  <c r="AE12" i="6"/>
  <c r="BA548" i="2"/>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1" i="35" s="1"/>
  <c r="G11" i="35" s="1"/>
  <c r="D154" i="6"/>
  <c r="AK9" i="6" l="1"/>
  <c r="AK10" i="6" s="1"/>
  <c r="AN9" i="6"/>
  <c r="AN10" i="6" s="1"/>
  <c r="I148" i="6"/>
  <c r="R148" i="6"/>
  <c r="Q149" i="6"/>
  <c r="Q148" i="6"/>
  <c r="I149" i="6"/>
  <c r="R149" i="6"/>
  <c r="N149" i="6"/>
  <c r="N148" i="6"/>
  <c r="J149" i="6"/>
  <c r="P149" i="6"/>
  <c r="G148" i="6"/>
  <c r="J148" i="6"/>
  <c r="H149" i="6"/>
  <c r="O149" i="6"/>
  <c r="O148" i="6"/>
  <c r="P148" i="6"/>
  <c r="G149" i="6"/>
  <c r="H148" i="6"/>
  <c r="K149" i="6"/>
  <c r="K148" i="6"/>
  <c r="L148" i="6"/>
  <c r="L149" i="6"/>
  <c r="V9" i="6"/>
  <c r="V10" i="6" s="1"/>
  <c r="AQ9" i="6"/>
  <c r="AQ10" i="6" s="1"/>
  <c r="Y9" i="6"/>
  <c r="Y10" i="6" s="1"/>
  <c r="N15" i="6"/>
  <c r="T15" i="6"/>
  <c r="S9" i="6"/>
  <c r="M9" i="6"/>
  <c r="J9" i="6"/>
  <c r="AI15" i="6"/>
  <c r="AH9" i="6"/>
  <c r="AF15" i="6"/>
  <c r="AE9" i="6"/>
  <c r="AC15" i="6"/>
  <c r="AB9" i="6"/>
  <c r="AY20" i="24"/>
  <c r="H2" i="2"/>
  <c r="A23" i="15"/>
  <c r="AD23" i="15" s="1"/>
  <c r="A24" i="15"/>
  <c r="AD24" i="15" s="1"/>
  <c r="D149" i="6"/>
  <c r="I475" i="2"/>
  <c r="A70" i="15"/>
  <c r="AD70" i="15" s="1"/>
  <c r="A66" i="15"/>
  <c r="AD66" i="15" s="1"/>
  <c r="AA69" i="15"/>
  <c r="AA29" i="15"/>
  <c r="AA26" i="15"/>
  <c r="M425" i="2"/>
  <c r="N425" i="2" s="1"/>
  <c r="D147" i="20"/>
  <c r="M20" i="2"/>
  <c r="N20" i="2" s="1"/>
  <c r="E23" i="8"/>
  <c r="G2" i="2"/>
  <c r="C27" i="30" s="1"/>
  <c r="BC2" i="2"/>
  <c r="D278" i="5" s="1"/>
  <c r="AX2" i="2"/>
  <c r="F276" i="5" s="1"/>
  <c r="AS2" i="2"/>
  <c r="AM2" i="2"/>
  <c r="D274" i="5" s="1"/>
  <c r="AH2" i="2"/>
  <c r="F284" i="5" s="1"/>
  <c r="AC2" i="2"/>
  <c r="W2" i="2"/>
  <c r="D282" i="5" s="1"/>
  <c r="R2" i="2"/>
  <c r="F280" i="5" s="1"/>
  <c r="K2" i="2"/>
  <c r="D279" i="5" s="1"/>
  <c r="AY2" i="2"/>
  <c r="D277" i="5" s="1"/>
  <c r="AI2" i="2"/>
  <c r="D273" i="5" s="1"/>
  <c r="S2" i="2"/>
  <c r="D281" i="5" s="1"/>
  <c r="F2" i="2"/>
  <c r="D285" i="5" s="1"/>
  <c r="BB2" i="2"/>
  <c r="AW2" i="2"/>
  <c r="AQ2" i="2"/>
  <c r="D275" i="5" s="1"/>
  <c r="AL2" i="2"/>
  <c r="F273" i="5" s="1"/>
  <c r="AG2" i="2"/>
  <c r="AA2" i="2"/>
  <c r="D283" i="5" s="1"/>
  <c r="V2" i="2"/>
  <c r="F281" i="5" s="1"/>
  <c r="Q2" i="2"/>
  <c r="BE2" i="2"/>
  <c r="AO2" i="2"/>
  <c r="Y2" i="2"/>
  <c r="E2" i="2"/>
  <c r="F11" i="5" s="1"/>
  <c r="BF2" i="2"/>
  <c r="F278" i="5" s="1"/>
  <c r="H278" i="5" s="1"/>
  <c r="Z36" i="6" s="1"/>
  <c r="BA2" i="2"/>
  <c r="AU2" i="2"/>
  <c r="D276" i="5" s="1"/>
  <c r="AP2" i="2"/>
  <c r="F274" i="5" s="1"/>
  <c r="AK2" i="2"/>
  <c r="AE2" i="2"/>
  <c r="D284" i="5" s="1"/>
  <c r="Z2" i="2"/>
  <c r="F282" i="5" s="1"/>
  <c r="U2" i="2"/>
  <c r="O2" i="2"/>
  <c r="D280" i="5" s="1"/>
  <c r="AD2" i="2"/>
  <c r="F283" i="5" s="1"/>
  <c r="I2" i="2"/>
  <c r="F285" i="5" s="1"/>
  <c r="M395" i="2"/>
  <c r="N395" i="2" s="1"/>
  <c r="M417" i="2"/>
  <c r="N417" i="2" s="1"/>
  <c r="D147" i="6"/>
  <c r="B47" i="11" s="1"/>
  <c r="D148" i="6"/>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75"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Z35" i="6" l="1"/>
  <c r="Z12" i="6" s="1"/>
  <c r="Z9" i="6" s="1"/>
  <c r="Z10" i="6" s="1"/>
  <c r="Z13" i="6"/>
  <c r="Z74" i="6"/>
  <c r="T254" i="5"/>
  <c r="T256" i="5"/>
  <c r="T258" i="5"/>
  <c r="T260" i="5"/>
  <c r="S260" i="5" s="1"/>
  <c r="T262" i="5"/>
  <c r="T264" i="5"/>
  <c r="T255" i="5"/>
  <c r="T257" i="5"/>
  <c r="T259" i="5"/>
  <c r="T261" i="5"/>
  <c r="T263" i="5"/>
  <c r="T253" i="5"/>
  <c r="F277" i="5"/>
  <c r="H277" i="5" s="1"/>
  <c r="W36" i="6" s="1"/>
  <c r="I222" i="5"/>
  <c r="N149" i="20"/>
  <c r="O149" i="20"/>
  <c r="D150" i="31"/>
  <c r="L280" i="5"/>
  <c r="D146" i="31"/>
  <c r="L276" i="5"/>
  <c r="J149" i="20"/>
  <c r="D145" i="31"/>
  <c r="D151" i="31"/>
  <c r="L281" i="5"/>
  <c r="D147" i="31"/>
  <c r="L277" i="5"/>
  <c r="D144" i="31"/>
  <c r="L274" i="5"/>
  <c r="H149" i="20"/>
  <c r="D154" i="31"/>
  <c r="L284" i="5"/>
  <c r="R149" i="20"/>
  <c r="D153" i="31"/>
  <c r="L283" i="5"/>
  <c r="Q149" i="20"/>
  <c r="D143" i="31"/>
  <c r="G149" i="20"/>
  <c r="L273" i="5"/>
  <c r="D149" i="31"/>
  <c r="L279" i="5"/>
  <c r="D152" i="31"/>
  <c r="L282" i="5"/>
  <c r="P149" i="20"/>
  <c r="D148" i="31"/>
  <c r="L278" i="5"/>
  <c r="J17" i="11"/>
  <c r="K17" i="11" s="1"/>
  <c r="C2" i="11"/>
  <c r="B46" i="11" s="1"/>
  <c r="G65" i="5" s="1"/>
  <c r="M149" i="6"/>
  <c r="AA47" i="6" s="1"/>
  <c r="AA48" i="6" s="1"/>
  <c r="M148" i="6"/>
  <c r="U110" i="6" s="1"/>
  <c r="U108" i="6" s="1"/>
  <c r="X20" i="24"/>
  <c r="AA20" i="24" s="1"/>
  <c r="D95" i="27"/>
  <c r="D28" i="27"/>
  <c r="D13" i="27"/>
  <c r="D99" i="27"/>
  <c r="D104" i="27"/>
  <c r="D60" i="27"/>
  <c r="D78" i="27"/>
  <c r="D58" i="27"/>
  <c r="D88" i="27"/>
  <c r="D17" i="27"/>
  <c r="D5" i="27"/>
  <c r="D26" i="27"/>
  <c r="D89" i="27"/>
  <c r="D57" i="27"/>
  <c r="D29" i="27"/>
  <c r="D101" i="27"/>
  <c r="D40" i="27"/>
  <c r="D8" i="27"/>
  <c r="D79" i="27"/>
  <c r="D6" i="27"/>
  <c r="D75" i="27"/>
  <c r="D80" i="27"/>
  <c r="D30" i="27"/>
  <c r="D85" i="27"/>
  <c r="D53" i="27"/>
  <c r="D94" i="27"/>
  <c r="D20" i="27"/>
  <c r="D49" i="27"/>
  <c r="D62" i="27"/>
  <c r="D84" i="27"/>
  <c r="D52" i="27"/>
  <c r="D36" i="27"/>
  <c r="D103" i="27"/>
  <c r="D72" i="27"/>
  <c r="D91" i="27"/>
  <c r="D50" i="27"/>
  <c r="D18" i="27"/>
  <c r="D81" i="27"/>
  <c r="D47" i="27"/>
  <c r="D83" i="27"/>
  <c r="D82" i="27"/>
  <c r="D32" i="27"/>
  <c r="D35" i="27"/>
  <c r="D71" i="27"/>
  <c r="D43" i="27"/>
  <c r="D51" i="27"/>
  <c r="D64" i="27"/>
  <c r="D22" i="27"/>
  <c r="D77" i="27"/>
  <c r="D41" i="27"/>
  <c r="D70" i="27"/>
  <c r="D12" i="27"/>
  <c r="D37" i="27"/>
  <c r="D96" i="27"/>
  <c r="D76" i="27"/>
  <c r="D39" i="27"/>
  <c r="D90" i="27"/>
  <c r="D86" i="27"/>
  <c r="D56" i="27"/>
  <c r="D67" i="27"/>
  <c r="D42" i="27"/>
  <c r="D10" i="27"/>
  <c r="D73" i="27"/>
  <c r="D31" i="27"/>
  <c r="D59" i="27"/>
  <c r="D66" i="27"/>
  <c r="D24" i="27"/>
  <c r="D21" i="27"/>
  <c r="D63" i="27"/>
  <c r="D27" i="27"/>
  <c r="D98" i="27"/>
  <c r="D46" i="27"/>
  <c r="D14" i="27"/>
  <c r="D69" i="27"/>
  <c r="D23" i="27"/>
  <c r="D44" i="27"/>
  <c r="D45" i="27"/>
  <c r="D19" i="27"/>
  <c r="D100" i="27"/>
  <c r="D68" i="27"/>
  <c r="D25" i="27"/>
  <c r="D74" i="27"/>
  <c r="D54" i="27"/>
  <c r="D33" i="27"/>
  <c r="D92" i="27"/>
  <c r="D34" i="27"/>
  <c r="D9" i="27"/>
  <c r="D65" i="27"/>
  <c r="D15" i="27"/>
  <c r="D97" i="27"/>
  <c r="D48" i="27"/>
  <c r="D16" i="27"/>
  <c r="D87" i="27"/>
  <c r="D55" i="27"/>
  <c r="D11" i="27"/>
  <c r="D102" i="27"/>
  <c r="D38" i="27"/>
  <c r="D93" i="27"/>
  <c r="D61" i="27"/>
  <c r="D7" i="27"/>
  <c r="AG20" i="24"/>
  <c r="X12" i="24"/>
  <c r="AA12" i="24" s="1"/>
  <c r="I59" i="6"/>
  <c r="I60" i="6" s="1"/>
  <c r="I47" i="6"/>
  <c r="I48" i="6" s="1"/>
  <c r="R59" i="6"/>
  <c r="R60" i="6" s="1"/>
  <c r="R47" i="6"/>
  <c r="R48" i="6" s="1"/>
  <c r="AM59" i="6"/>
  <c r="AM60" i="6" s="1"/>
  <c r="AM47" i="6"/>
  <c r="AM48" i="6" s="1"/>
  <c r="S110" i="6"/>
  <c r="S108" i="6" s="1"/>
  <c r="L59" i="6"/>
  <c r="L60" i="6" s="1"/>
  <c r="L47" i="6"/>
  <c r="L48" i="6" s="1"/>
  <c r="AP59" i="6"/>
  <c r="AP60" i="6" s="1"/>
  <c r="AP47" i="6"/>
  <c r="AP48" i="6" s="1"/>
  <c r="Q110" i="6"/>
  <c r="Q108" i="6" s="1"/>
  <c r="AA110" i="6"/>
  <c r="AA108" i="6" s="1"/>
  <c r="O110" i="6"/>
  <c r="O108" i="6" s="1"/>
  <c r="O59" i="6"/>
  <c r="O60" i="6" s="1"/>
  <c r="O47" i="6"/>
  <c r="O48" i="6" s="1"/>
  <c r="AE110" i="6"/>
  <c r="AE108" i="6"/>
  <c r="U59" i="6"/>
  <c r="U60" i="6" s="1"/>
  <c r="U47" i="6"/>
  <c r="U48" i="6" s="1"/>
  <c r="Y110" i="6"/>
  <c r="Y108" i="6" s="1"/>
  <c r="I110" i="6"/>
  <c r="I108" i="6" s="1"/>
  <c r="W110" i="6"/>
  <c r="W108" i="6" s="1"/>
  <c r="M110" i="6"/>
  <c r="M108" i="6" s="1"/>
  <c r="X59" i="6"/>
  <c r="X60" i="6" s="1"/>
  <c r="X47" i="6"/>
  <c r="X48" i="6" s="1"/>
  <c r="K110" i="6"/>
  <c r="K108" i="6" s="1"/>
  <c r="AG59" i="6"/>
  <c r="AG60" i="6" s="1"/>
  <c r="AG47" i="6"/>
  <c r="AG48" i="6" s="1"/>
  <c r="AJ59" i="6"/>
  <c r="AJ60" i="6" s="1"/>
  <c r="AJ47" i="6"/>
  <c r="AJ48" i="6" s="1"/>
  <c r="AD59" i="6"/>
  <c r="AD60" i="6" s="1"/>
  <c r="AD47" i="6"/>
  <c r="AD48" i="6" s="1"/>
  <c r="AC110" i="6"/>
  <c r="AC108" i="6" s="1"/>
  <c r="J10" i="6"/>
  <c r="M10" i="6"/>
  <c r="S10" i="6"/>
  <c r="AE10" i="6"/>
  <c r="AB10" i="6"/>
  <c r="AH10" i="6"/>
  <c r="AB29" i="15"/>
  <c r="D69" i="15"/>
  <c r="A69" i="15"/>
  <c r="AD69" i="15" s="1"/>
  <c r="AB69" i="15"/>
  <c r="AV27" i="15" s="1"/>
  <c r="A29" i="15"/>
  <c r="AD29" i="15" s="1"/>
  <c r="AB26" i="15"/>
  <c r="D142" i="20" s="1"/>
  <c r="A22" i="15"/>
  <c r="AD22" i="15" s="1"/>
  <c r="AB22" i="15"/>
  <c r="Y76" i="18"/>
  <c r="B144" i="6" s="1"/>
  <c r="J15" i="11"/>
  <c r="K15" i="11" s="1"/>
  <c r="D169" i="6"/>
  <c r="C85" i="6" s="1"/>
  <c r="C93" i="6" s="1"/>
  <c r="D144" i="20"/>
  <c r="D144" i="6"/>
  <c r="D183" i="20"/>
  <c r="D185" i="6"/>
  <c r="J27" i="11"/>
  <c r="K27" i="11" s="1"/>
  <c r="J32" i="11"/>
  <c r="B415" i="11"/>
  <c r="B413" i="11"/>
  <c r="B412" i="11"/>
  <c r="C414" i="11"/>
  <c r="B414" i="11"/>
  <c r="C415" i="11"/>
  <c r="C413" i="11"/>
  <c r="C412" i="11"/>
  <c r="M2" i="2"/>
  <c r="A71" i="15"/>
  <c r="AD71" i="15" s="1"/>
  <c r="J18" i="11"/>
  <c r="K18" i="11" s="1"/>
  <c r="J9" i="11"/>
  <c r="K9" i="11" s="1"/>
  <c r="D32" i="5"/>
  <c r="M29" i="31" s="1"/>
  <c r="D152" i="6"/>
  <c r="F150" i="6" s="1"/>
  <c r="J13" i="11"/>
  <c r="K13" i="11" s="1"/>
  <c r="D141" i="6"/>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C141" i="6" s="1"/>
  <c r="B50" i="11"/>
  <c r="B48" i="11"/>
  <c r="C2" i="2"/>
  <c r="J2" i="2"/>
  <c r="M475" i="2"/>
  <c r="N475" i="2" s="1"/>
  <c r="J475" i="2"/>
  <c r="I221" i="5" l="1"/>
  <c r="AA59" i="6"/>
  <c r="AA60" i="6" s="1"/>
  <c r="Y20" i="24"/>
  <c r="H280" i="5"/>
  <c r="AF36" i="6" s="1"/>
  <c r="AF13" i="6" s="1"/>
  <c r="I225" i="5"/>
  <c r="I224" i="5"/>
  <c r="I226" i="5"/>
  <c r="I227" i="5"/>
  <c r="I228" i="5"/>
  <c r="I218" i="5"/>
  <c r="I217" i="5"/>
  <c r="I220" i="5"/>
  <c r="H281" i="5"/>
  <c r="AI36" i="6" s="1"/>
  <c r="AI35" i="6" s="1"/>
  <c r="AI12" i="6" s="1"/>
  <c r="AI9" i="6" s="1"/>
  <c r="AI10" i="6" s="1"/>
  <c r="H284" i="5"/>
  <c r="AR36" i="6" s="1"/>
  <c r="AR13" i="6" s="1"/>
  <c r="H274" i="5"/>
  <c r="N36" i="6" s="1"/>
  <c r="N35" i="6" s="1"/>
  <c r="N12" i="6" s="1"/>
  <c r="N9" i="6" s="1"/>
  <c r="N10" i="6" s="1"/>
  <c r="H276" i="5"/>
  <c r="T36" i="6" s="1"/>
  <c r="T35" i="6" s="1"/>
  <c r="T12" i="6" s="1"/>
  <c r="T9" i="6" s="1"/>
  <c r="T10" i="6" s="1"/>
  <c r="H273" i="5"/>
  <c r="K36" i="6" s="1"/>
  <c r="K13" i="6" s="1"/>
  <c r="H283" i="5"/>
  <c r="AO36" i="6" s="1"/>
  <c r="AO13" i="6" s="1"/>
  <c r="H282" i="5"/>
  <c r="AL36" i="6" s="1"/>
  <c r="AL35" i="6" s="1"/>
  <c r="AL12" i="6" s="1"/>
  <c r="AL9" i="6" s="1"/>
  <c r="AL10" i="6" s="1"/>
  <c r="C140" i="6"/>
  <c r="C140" i="20" s="1"/>
  <c r="O22" i="15" s="1"/>
  <c r="AW27" i="15"/>
  <c r="AX27" i="15"/>
  <c r="Z29" i="15"/>
  <c r="AV13" i="15"/>
  <c r="Z22" i="15"/>
  <c r="AV11" i="15"/>
  <c r="Z26" i="15"/>
  <c r="AV12" i="15"/>
  <c r="AC20" i="24"/>
  <c r="AF20" i="24"/>
  <c r="AC12" i="24"/>
  <c r="AF12" i="24"/>
  <c r="AB12" i="24"/>
  <c r="AN12" i="24"/>
  <c r="AB20" i="24"/>
  <c r="AN20" i="24"/>
  <c r="S259" i="5"/>
  <c r="U3" i="27"/>
  <c r="U42" i="27" s="1"/>
  <c r="M169" i="6"/>
  <c r="M173" i="6" s="1"/>
  <c r="G169" i="6"/>
  <c r="I85" i="6" s="1"/>
  <c r="J169" i="6"/>
  <c r="J175" i="6" s="1"/>
  <c r="K169" i="6"/>
  <c r="Q90" i="6" s="1"/>
  <c r="R91" i="6" s="1"/>
  <c r="R92" i="6" s="1"/>
  <c r="Q169" i="6"/>
  <c r="Q173" i="6" s="1"/>
  <c r="I169" i="6"/>
  <c r="M90" i="6" s="1"/>
  <c r="N91" i="6" s="1"/>
  <c r="N92" i="6" s="1"/>
  <c r="N169" i="6"/>
  <c r="W90" i="6" s="1"/>
  <c r="X91" i="6" s="1"/>
  <c r="X92" i="6" s="1"/>
  <c r="H169" i="6"/>
  <c r="H173" i="6" s="1"/>
  <c r="O169" i="6"/>
  <c r="O173" i="6" s="1"/>
  <c r="R169" i="6"/>
  <c r="R175" i="6" s="1"/>
  <c r="P169" i="6"/>
  <c r="P173" i="6" s="1"/>
  <c r="L169" i="6"/>
  <c r="S90" i="6" s="1"/>
  <c r="T91" i="6" s="1"/>
  <c r="T92" i="6" s="1"/>
  <c r="W3" i="27"/>
  <c r="C39" i="35" s="1"/>
  <c r="AG12" i="24"/>
  <c r="Y12" i="24"/>
  <c r="X44" i="24"/>
  <c r="AC100" i="6"/>
  <c r="AC109" i="6" s="1"/>
  <c r="M100" i="6"/>
  <c r="M109" i="6" s="1"/>
  <c r="W100" i="6"/>
  <c r="W109" i="6" s="1"/>
  <c r="AA100" i="6"/>
  <c r="AA109" i="6" s="1"/>
  <c r="S100" i="6"/>
  <c r="S109" i="6" s="1"/>
  <c r="U100" i="6"/>
  <c r="U109" i="6" s="1"/>
  <c r="I100" i="6"/>
  <c r="I109" i="6" s="1"/>
  <c r="K100" i="6"/>
  <c r="K109" i="6" s="1"/>
  <c r="Y100" i="6"/>
  <c r="Y109" i="6" s="1"/>
  <c r="AE100" i="6"/>
  <c r="AE109" i="6" s="1"/>
  <c r="O100" i="6"/>
  <c r="O109" i="6" s="1"/>
  <c r="Q100" i="6"/>
  <c r="Q109" i="6" s="1"/>
  <c r="W13" i="6"/>
  <c r="W74" i="6"/>
  <c r="W35" i="6"/>
  <c r="W12" i="6" s="1"/>
  <c r="W9" i="6" s="1"/>
  <c r="W10" i="6" s="1"/>
  <c r="O69" i="15"/>
  <c r="Z69" i="15"/>
  <c r="A62" i="15"/>
  <c r="J69" i="15"/>
  <c r="H69" i="15" s="1"/>
  <c r="BB27" i="15" s="1"/>
  <c r="AE69" i="15"/>
  <c r="AA31" i="15"/>
  <c r="AA30" i="15"/>
  <c r="A30" i="15" s="1"/>
  <c r="AD30" i="15" s="1"/>
  <c r="AE26" i="15"/>
  <c r="D161" i="20"/>
  <c r="D141" i="20" s="1"/>
  <c r="B141" i="20"/>
  <c r="O26" i="15" s="1"/>
  <c r="A26" i="15"/>
  <c r="AD26" i="15" s="1"/>
  <c r="AE22" i="15"/>
  <c r="J22" i="15"/>
  <c r="H22" i="15" s="1"/>
  <c r="BB11" i="15" s="1"/>
  <c r="J29" i="15"/>
  <c r="H29" i="15" s="1"/>
  <c r="BB13" i="15" s="1"/>
  <c r="AE29" i="15"/>
  <c r="C95" i="6"/>
  <c r="J11" i="11"/>
  <c r="J10" i="11"/>
  <c r="C142" i="6"/>
  <c r="C142" i="20" s="1"/>
  <c r="C141" i="20"/>
  <c r="C144" i="6"/>
  <c r="F69" i="15"/>
  <c r="B140" i="20"/>
  <c r="Z76" i="18"/>
  <c r="D175" i="6"/>
  <c r="D173" i="6"/>
  <c r="C52" i="10" s="1"/>
  <c r="C58" i="10" s="1"/>
  <c r="C64" i="10" s="1"/>
  <c r="S261" i="5"/>
  <c r="P260" i="5"/>
  <c r="I32" i="11"/>
  <c r="K32" i="11" s="1"/>
  <c r="I63" i="5"/>
  <c r="D179" i="20"/>
  <c r="D152" i="20"/>
  <c r="F150" i="20" s="1"/>
  <c r="B137" i="20"/>
  <c r="D151" i="6"/>
  <c r="D150" i="6" s="1"/>
  <c r="D151" i="20"/>
  <c r="D150" i="20" s="1"/>
  <c r="C137" i="6"/>
  <c r="C137" i="20" s="1"/>
  <c r="B45" i="11"/>
  <c r="B51" i="11"/>
  <c r="C143" i="6" s="1"/>
  <c r="C143" i="20" s="1"/>
  <c r="D160" i="6"/>
  <c r="D160" i="20" s="1"/>
  <c r="N2" i="2"/>
  <c r="AF74" i="6" l="1"/>
  <c r="F279" i="5"/>
  <c r="AF35" i="6"/>
  <c r="AF12" i="6" s="1"/>
  <c r="AF9" i="6" s="1"/>
  <c r="AF10" i="6" s="1"/>
  <c r="AO35" i="6"/>
  <c r="AO12" i="6" s="1"/>
  <c r="AO9" i="6" s="1"/>
  <c r="AO10" i="6" s="1"/>
  <c r="AI74" i="6"/>
  <c r="AI13" i="6"/>
  <c r="AR35" i="6"/>
  <c r="AR12" i="6" s="1"/>
  <c r="AR9" i="6" s="1"/>
  <c r="AR10" i="6" s="1"/>
  <c r="N13" i="6"/>
  <c r="T13" i="6"/>
  <c r="AL13" i="6"/>
  <c r="K35" i="6"/>
  <c r="K12" i="6" s="1"/>
  <c r="K9" i="6" s="1"/>
  <c r="K10" i="6" s="1"/>
  <c r="AX17" i="15"/>
  <c r="AW17" i="15"/>
  <c r="AO20" i="24"/>
  <c r="H175" i="6"/>
  <c r="Y90" i="6"/>
  <c r="Z91" i="6" s="1"/>
  <c r="Z92" i="6" s="1"/>
  <c r="U7" i="27"/>
  <c r="AX12" i="15"/>
  <c r="AW12" i="15"/>
  <c r="AW11" i="15"/>
  <c r="AX11" i="15"/>
  <c r="AX19" i="15"/>
  <c r="AW18" i="15"/>
  <c r="AX14" i="15"/>
  <c r="AX18" i="15"/>
  <c r="AW19" i="15"/>
  <c r="AW14" i="15"/>
  <c r="AW13" i="15"/>
  <c r="AX13" i="15"/>
  <c r="G75" i="5"/>
  <c r="U35" i="27"/>
  <c r="U18" i="27"/>
  <c r="U21" i="27"/>
  <c r="U12" i="27"/>
  <c r="U101" i="27"/>
  <c r="U94" i="27"/>
  <c r="U17" i="27"/>
  <c r="U80" i="27"/>
  <c r="U72" i="27"/>
  <c r="U25" i="27"/>
  <c r="U90" i="27"/>
  <c r="U84" i="27"/>
  <c r="U32" i="27"/>
  <c r="U45" i="27"/>
  <c r="U15" i="27"/>
  <c r="U75" i="27"/>
  <c r="U38" i="27"/>
  <c r="U74" i="27"/>
  <c r="U27" i="27"/>
  <c r="U59" i="27"/>
  <c r="U102" i="27"/>
  <c r="U69" i="27"/>
  <c r="U47" i="27"/>
  <c r="U78" i="27"/>
  <c r="AC85" i="6"/>
  <c r="AM15" i="6" s="1"/>
  <c r="AM16" i="6" s="1"/>
  <c r="U90" i="6"/>
  <c r="V91" i="6" s="1"/>
  <c r="V92" i="6" s="1"/>
  <c r="I173" i="6"/>
  <c r="K173" i="6"/>
  <c r="U61" i="27"/>
  <c r="U103" i="27"/>
  <c r="U89" i="27"/>
  <c r="U43" i="27"/>
  <c r="U87" i="27"/>
  <c r="U40" i="27"/>
  <c r="U34" i="27"/>
  <c r="U56" i="27"/>
  <c r="U77" i="27"/>
  <c r="U28" i="27"/>
  <c r="U48" i="27"/>
  <c r="U23" i="27"/>
  <c r="U70" i="27"/>
  <c r="U36" i="27"/>
  <c r="U64" i="27"/>
  <c r="U79" i="27"/>
  <c r="U68" i="27"/>
  <c r="U53" i="27"/>
  <c r="U9" i="27"/>
  <c r="U51" i="27"/>
  <c r="U22" i="27"/>
  <c r="U33" i="27"/>
  <c r="U92" i="27"/>
  <c r="U44" i="27"/>
  <c r="U67" i="27"/>
  <c r="AC90" i="6"/>
  <c r="AD91" i="6" s="1"/>
  <c r="AD92" i="6" s="1"/>
  <c r="U85" i="6"/>
  <c r="U86" i="6" s="1"/>
  <c r="V88" i="6" s="1"/>
  <c r="O175" i="6"/>
  <c r="I175" i="6"/>
  <c r="L173" i="6"/>
  <c r="M85" i="6"/>
  <c r="O15" i="6" s="1"/>
  <c r="O16" i="6" s="1"/>
  <c r="I90" i="6"/>
  <c r="J91" i="6" s="1"/>
  <c r="J92" i="6" s="1"/>
  <c r="R173" i="6"/>
  <c r="U52" i="27"/>
  <c r="U5" i="27"/>
  <c r="U63" i="27"/>
  <c r="U86" i="27"/>
  <c r="U71" i="27"/>
  <c r="U97" i="27"/>
  <c r="U57" i="27"/>
  <c r="U55" i="27"/>
  <c r="U6" i="27"/>
  <c r="U31" i="27"/>
  <c r="U50" i="27"/>
  <c r="U82" i="27"/>
  <c r="U24" i="27"/>
  <c r="U13" i="27"/>
  <c r="U26" i="27"/>
  <c r="U76" i="27"/>
  <c r="U39" i="27"/>
  <c r="U58" i="27"/>
  <c r="U98" i="27"/>
  <c r="U88" i="27"/>
  <c r="U60" i="27"/>
  <c r="U49" i="27"/>
  <c r="U83" i="27"/>
  <c r="U37" i="27"/>
  <c r="U66" i="27"/>
  <c r="U85" i="27"/>
  <c r="U29" i="27"/>
  <c r="U46" i="27"/>
  <c r="U10" i="27"/>
  <c r="U30" i="27"/>
  <c r="U11" i="27"/>
  <c r="U41" i="27"/>
  <c r="U20" i="27"/>
  <c r="U65" i="27"/>
  <c r="U93" i="27"/>
  <c r="U62" i="27"/>
  <c r="U8" i="27"/>
  <c r="U104" i="27"/>
  <c r="U16" i="27"/>
  <c r="U96" i="27"/>
  <c r="U95" i="27"/>
  <c r="U81" i="27"/>
  <c r="U19" i="27"/>
  <c r="U14" i="27"/>
  <c r="U91" i="27"/>
  <c r="U73" i="27"/>
  <c r="U99" i="27"/>
  <c r="U100" i="27"/>
  <c r="U54" i="27"/>
  <c r="Q175" i="6"/>
  <c r="M175" i="6"/>
  <c r="Y85" i="6"/>
  <c r="Y86" i="6" s="1"/>
  <c r="Z88" i="6" s="1"/>
  <c r="G175" i="6"/>
  <c r="G173" i="6"/>
  <c r="AE85" i="6"/>
  <c r="AP15" i="6" s="1"/>
  <c r="AP16" i="6" s="1"/>
  <c r="AE90" i="6"/>
  <c r="AF91" i="6" s="1"/>
  <c r="AF92" i="6" s="1"/>
  <c r="AA85" i="6"/>
  <c r="AA86" i="6" s="1"/>
  <c r="AB88" i="6" s="1"/>
  <c r="O85" i="6"/>
  <c r="P87" i="6" s="1"/>
  <c r="P89" i="6" s="1"/>
  <c r="N173" i="6"/>
  <c r="N175" i="6"/>
  <c r="O90" i="6"/>
  <c r="P91" i="6" s="1"/>
  <c r="P92" i="6" s="1"/>
  <c r="P175" i="6"/>
  <c r="N167" i="20"/>
  <c r="N171" i="20" s="1"/>
  <c r="N172" i="20" s="1"/>
  <c r="W85" i="6"/>
  <c r="AD15" i="6" s="1"/>
  <c r="AD16" i="6" s="1"/>
  <c r="J173" i="6"/>
  <c r="AA90" i="6"/>
  <c r="AB91" i="6" s="1"/>
  <c r="AB92" i="6" s="1"/>
  <c r="Q85" i="6"/>
  <c r="Q86" i="6" s="1"/>
  <c r="R88" i="6" s="1"/>
  <c r="L175" i="6"/>
  <c r="K85" i="6"/>
  <c r="L15" i="6" s="1"/>
  <c r="L16" i="6" s="1"/>
  <c r="K175" i="6"/>
  <c r="S85" i="6"/>
  <c r="T87" i="6" s="1"/>
  <c r="T89" i="6" s="1"/>
  <c r="K90" i="6"/>
  <c r="L91" i="6" s="1"/>
  <c r="L92" i="6" s="1"/>
  <c r="AO12" i="24"/>
  <c r="Z44" i="24"/>
  <c r="AD44" i="24"/>
  <c r="AH44" i="24"/>
  <c r="AL44" i="24"/>
  <c r="AA44" i="24"/>
  <c r="AA45" i="24" s="1"/>
  <c r="AE44" i="24"/>
  <c r="AI44" i="24"/>
  <c r="AI45" i="24" s="1"/>
  <c r="AM44" i="24"/>
  <c r="AB44" i="24"/>
  <c r="AF44" i="24"/>
  <c r="AJ44" i="24"/>
  <c r="AN44" i="24"/>
  <c r="AC44" i="24"/>
  <c r="AK44" i="24"/>
  <c r="Y44" i="24"/>
  <c r="AG44" i="24"/>
  <c r="X46" i="24"/>
  <c r="Q107" i="6"/>
  <c r="Q103" i="6"/>
  <c r="Q114" i="6"/>
  <c r="U18" i="6"/>
  <c r="AE107" i="6"/>
  <c r="AP18" i="6"/>
  <c r="AE103" i="6"/>
  <c r="K107" i="6"/>
  <c r="K103" i="6"/>
  <c r="K114" i="6"/>
  <c r="L18" i="6"/>
  <c r="U114" i="6"/>
  <c r="U107" i="6"/>
  <c r="AA18" i="6"/>
  <c r="U103" i="6"/>
  <c r="AA103" i="6"/>
  <c r="AA107" i="6"/>
  <c r="AA114" i="6"/>
  <c r="AJ18" i="6"/>
  <c r="M114" i="6"/>
  <c r="M107" i="6"/>
  <c r="O18" i="6"/>
  <c r="M103" i="6"/>
  <c r="O114" i="6"/>
  <c r="O107" i="6"/>
  <c r="R18" i="6"/>
  <c r="O103" i="6"/>
  <c r="Y107" i="6"/>
  <c r="Y103" i="6"/>
  <c r="Y114" i="6"/>
  <c r="AG18" i="6"/>
  <c r="I18" i="6"/>
  <c r="I114" i="6"/>
  <c r="I107" i="6"/>
  <c r="I103" i="6"/>
  <c r="X18" i="6"/>
  <c r="S114" i="6"/>
  <c r="S107" i="6"/>
  <c r="S103" i="6"/>
  <c r="I15" i="6"/>
  <c r="I16" i="6" s="1"/>
  <c r="I86" i="6"/>
  <c r="J88" i="6" s="1"/>
  <c r="J87" i="6"/>
  <c r="J89" i="6" s="1"/>
  <c r="W103" i="6"/>
  <c r="W114" i="6"/>
  <c r="AD18" i="6"/>
  <c r="W107" i="6"/>
  <c r="AC107" i="6"/>
  <c r="AM18" i="6"/>
  <c r="AC103" i="6"/>
  <c r="R53" i="6"/>
  <c r="I53" i="6"/>
  <c r="L53" i="6"/>
  <c r="L71" i="6"/>
  <c r="M71" i="6" s="1"/>
  <c r="I71" i="6"/>
  <c r="J71" i="6" s="1"/>
  <c r="R71" i="6"/>
  <c r="S71" i="6" s="1"/>
  <c r="O53" i="6"/>
  <c r="AG53" i="6"/>
  <c r="U53" i="6"/>
  <c r="X53" i="6"/>
  <c r="AD53" i="6"/>
  <c r="AA53" i="6"/>
  <c r="C144" i="20"/>
  <c r="AJ53" i="6"/>
  <c r="AM53" i="6"/>
  <c r="AM71" i="6"/>
  <c r="AN71" i="6" s="1"/>
  <c r="AJ71" i="6"/>
  <c r="AK71" i="6" s="1"/>
  <c r="AP71" i="6"/>
  <c r="AQ71" i="6" s="1"/>
  <c r="AP53" i="6"/>
  <c r="AB260" i="5"/>
  <c r="AA260" i="5"/>
  <c r="A31" i="15"/>
  <c r="AD31" i="15" s="1"/>
  <c r="E140" i="20"/>
  <c r="M140" i="20" s="1"/>
  <c r="E140" i="6"/>
  <c r="B142" i="20"/>
  <c r="AF260" i="5"/>
  <c r="X113" i="6" s="1"/>
  <c r="Z260" i="5"/>
  <c r="X102" i="6" s="1"/>
  <c r="D174" i="6"/>
  <c r="E174" i="6" s="1"/>
  <c r="C82" i="17" s="1"/>
  <c r="D82" i="17" s="1"/>
  <c r="W85" i="20"/>
  <c r="S85" i="20"/>
  <c r="O167" i="20"/>
  <c r="O173" i="20" s="1"/>
  <c r="M167" i="20"/>
  <c r="M171" i="20" s="1"/>
  <c r="S262" i="5"/>
  <c r="P261" i="5"/>
  <c r="P259" i="5"/>
  <c r="B138" i="20"/>
  <c r="B144" i="20"/>
  <c r="E144" i="6"/>
  <c r="C47" i="6"/>
  <c r="B145" i="20"/>
  <c r="E145" i="6"/>
  <c r="C59" i="6"/>
  <c r="E138" i="6"/>
  <c r="C71" i="6"/>
  <c r="C53" i="6"/>
  <c r="E142" i="6"/>
  <c r="F142" i="6" s="1"/>
  <c r="E141" i="6"/>
  <c r="I223" i="5" l="1"/>
  <c r="H279" i="5"/>
  <c r="AC36" i="6" s="1"/>
  <c r="D33" i="35"/>
  <c r="D34" i="35" s="1"/>
  <c r="D35" i="35"/>
  <c r="D36" i="35" s="1"/>
  <c r="D62" i="35"/>
  <c r="D63" i="35" s="1"/>
  <c r="C42" i="35" s="1"/>
  <c r="D64" i="35"/>
  <c r="D65" i="35" s="1"/>
  <c r="Y26" i="24"/>
  <c r="F159" i="31"/>
  <c r="C159" i="31"/>
  <c r="J159" i="31"/>
  <c r="B143" i="6"/>
  <c r="L56" i="6" s="1"/>
  <c r="L57" i="6" s="1"/>
  <c r="M59" i="31"/>
  <c r="P40" i="15"/>
  <c r="AE86" i="6"/>
  <c r="AF88" i="6" s="1"/>
  <c r="AC86" i="6"/>
  <c r="AD88" i="6" s="1"/>
  <c r="AD87" i="6"/>
  <c r="AD89" i="6" s="1"/>
  <c r="X15" i="6"/>
  <c r="X16" i="6" s="1"/>
  <c r="O86" i="6"/>
  <c r="P88" i="6" s="1"/>
  <c r="AF87" i="6"/>
  <c r="AF89" i="6" s="1"/>
  <c r="L87" i="6"/>
  <c r="L89" i="6" s="1"/>
  <c r="R15" i="6"/>
  <c r="R16" i="6" s="1"/>
  <c r="AA15" i="6"/>
  <c r="AA16" i="6" s="1"/>
  <c r="V87" i="6"/>
  <c r="V89" i="6" s="1"/>
  <c r="Z87" i="6"/>
  <c r="Z89" i="6" s="1"/>
  <c r="AJ15" i="6"/>
  <c r="AJ16" i="6" s="1"/>
  <c r="M86" i="6"/>
  <c r="AG15" i="6"/>
  <c r="AG16" i="6" s="1"/>
  <c r="AB87" i="6"/>
  <c r="AB89" i="6" s="1"/>
  <c r="Y27" i="24"/>
  <c r="Y24" i="24"/>
  <c r="K86" i="6"/>
  <c r="L88" i="6" s="1"/>
  <c r="K71" i="6"/>
  <c r="K72" i="6" s="1"/>
  <c r="J72" i="6"/>
  <c r="X87" i="6"/>
  <c r="X89" i="6" s="1"/>
  <c r="W86" i="6"/>
  <c r="X88" i="6" s="1"/>
  <c r="S86" i="6"/>
  <c r="T88" i="6" s="1"/>
  <c r="R87" i="6"/>
  <c r="R89" i="6" s="1"/>
  <c r="N173" i="20"/>
  <c r="U15" i="6"/>
  <c r="U16" i="6" s="1"/>
  <c r="AO71" i="6"/>
  <c r="AO72" i="6" s="1"/>
  <c r="AN72" i="6"/>
  <c r="N71" i="6"/>
  <c r="N72" i="6" s="1"/>
  <c r="M72" i="6"/>
  <c r="AQ72" i="6"/>
  <c r="AR71" i="6"/>
  <c r="AR72" i="6" s="1"/>
  <c r="AL71" i="6"/>
  <c r="AL72" i="6" s="1"/>
  <c r="AK72" i="6"/>
  <c r="T71" i="6"/>
  <c r="T72" i="6" s="1"/>
  <c r="S72" i="6"/>
  <c r="Y29" i="24"/>
  <c r="AO14" i="24"/>
  <c r="Y30" i="24"/>
  <c r="Y28" i="24"/>
  <c r="Y25" i="24"/>
  <c r="Y32" i="24"/>
  <c r="Y31" i="24"/>
  <c r="Z46" i="24"/>
  <c r="Z48" i="24" s="1"/>
  <c r="AD46" i="24"/>
  <c r="AH46" i="24"/>
  <c r="AH47" i="24" s="1"/>
  <c r="AL46" i="24"/>
  <c r="AL47" i="24" s="1"/>
  <c r="AA46" i="24"/>
  <c r="AE46" i="24"/>
  <c r="AE47" i="24" s="1"/>
  <c r="AI46" i="24"/>
  <c r="AM46" i="24"/>
  <c r="AM47" i="24" s="1"/>
  <c r="AB46" i="24"/>
  <c r="AF46" i="24"/>
  <c r="AF48" i="24" s="1"/>
  <c r="AJ46" i="24"/>
  <c r="AJ47" i="24" s="1"/>
  <c r="AN46" i="24"/>
  <c r="AN47" i="24" s="1"/>
  <c r="AG46" i="24"/>
  <c r="AG47" i="24" s="1"/>
  <c r="Y46" i="24"/>
  <c r="Y48" i="24" s="1"/>
  <c r="B315" i="27" s="1"/>
  <c r="C315" i="27" s="1"/>
  <c r="AC46" i="24"/>
  <c r="AC47" i="24" s="1"/>
  <c r="AK46" i="24"/>
  <c r="AK47" i="24" s="1"/>
  <c r="S101" i="6"/>
  <c r="I101" i="6"/>
  <c r="AC101" i="6"/>
  <c r="W101" i="6"/>
  <c r="K101" i="6"/>
  <c r="AM45" i="24"/>
  <c r="Z45" i="24"/>
  <c r="D420" i="27" s="1"/>
  <c r="AB45" i="24"/>
  <c r="AL45" i="24"/>
  <c r="AH45" i="24"/>
  <c r="Y45" i="24"/>
  <c r="B420" i="27" s="1"/>
  <c r="AG45" i="24"/>
  <c r="AK45" i="24"/>
  <c r="AF45" i="24"/>
  <c r="AC45" i="24"/>
  <c r="AE45" i="24"/>
  <c r="AN45" i="24"/>
  <c r="AJ45" i="24"/>
  <c r="AD45" i="24"/>
  <c r="X48" i="24"/>
  <c r="M101" i="6"/>
  <c r="U101" i="6"/>
  <c r="Q101" i="6"/>
  <c r="O101" i="6"/>
  <c r="Y101" i="6"/>
  <c r="AA101" i="6"/>
  <c r="H141" i="6"/>
  <c r="L141" i="6"/>
  <c r="P141" i="6"/>
  <c r="H142" i="6"/>
  <c r="L142" i="6"/>
  <c r="P142" i="6"/>
  <c r="J141" i="6"/>
  <c r="N141" i="6"/>
  <c r="R141" i="6"/>
  <c r="J142" i="6"/>
  <c r="N142" i="6"/>
  <c r="R142" i="6"/>
  <c r="K141" i="6"/>
  <c r="G142" i="6"/>
  <c r="O142" i="6"/>
  <c r="M141" i="6"/>
  <c r="I142" i="6"/>
  <c r="Q142" i="6"/>
  <c r="G141" i="6"/>
  <c r="O141" i="6"/>
  <c r="K142" i="6"/>
  <c r="I141" i="6"/>
  <c r="Q141" i="6"/>
  <c r="M142" i="6"/>
  <c r="F138" i="6"/>
  <c r="H138" i="6"/>
  <c r="L138" i="6"/>
  <c r="P138" i="6"/>
  <c r="I138" i="6"/>
  <c r="M138" i="6"/>
  <c r="J138" i="6"/>
  <c r="N138" i="6"/>
  <c r="R138" i="6"/>
  <c r="O138" i="6"/>
  <c r="Q138" i="6"/>
  <c r="G138" i="6"/>
  <c r="K138" i="6"/>
  <c r="O54" i="6"/>
  <c r="L68" i="6"/>
  <c r="L72" i="6"/>
  <c r="I44" i="6"/>
  <c r="R44" i="6"/>
  <c r="O44" i="6"/>
  <c r="L44" i="6"/>
  <c r="L54" i="6"/>
  <c r="H145" i="6"/>
  <c r="L145" i="6"/>
  <c r="P145" i="6"/>
  <c r="J145" i="6"/>
  <c r="N145" i="6"/>
  <c r="K145" i="6"/>
  <c r="R145" i="6"/>
  <c r="M145" i="6"/>
  <c r="I145" i="6"/>
  <c r="G145" i="6"/>
  <c r="O145" i="6"/>
  <c r="Q145" i="6"/>
  <c r="H144" i="6"/>
  <c r="L144" i="6"/>
  <c r="P144" i="6"/>
  <c r="J144" i="6"/>
  <c r="N144" i="6"/>
  <c r="R144" i="6"/>
  <c r="G144" i="6"/>
  <c r="O144" i="6"/>
  <c r="I144" i="6"/>
  <c r="Q144" i="6"/>
  <c r="K144" i="6"/>
  <c r="M144" i="6"/>
  <c r="R68" i="6"/>
  <c r="R72" i="6"/>
  <c r="I54" i="6"/>
  <c r="H140" i="6"/>
  <c r="L140" i="6"/>
  <c r="P140" i="6"/>
  <c r="J140" i="6"/>
  <c r="N140" i="6"/>
  <c r="R140" i="6"/>
  <c r="G140" i="6"/>
  <c r="O140" i="6"/>
  <c r="I140" i="6"/>
  <c r="Q140" i="6"/>
  <c r="K140" i="6"/>
  <c r="M140" i="6"/>
  <c r="I68" i="6"/>
  <c r="I72" i="6"/>
  <c r="R54" i="6"/>
  <c r="X54" i="6"/>
  <c r="U44" i="6"/>
  <c r="AG44" i="6"/>
  <c r="AA44" i="6"/>
  <c r="AD44" i="6"/>
  <c r="X44" i="6"/>
  <c r="U54" i="6"/>
  <c r="X106" i="6"/>
  <c r="W106" i="20" s="1"/>
  <c r="AA54" i="6"/>
  <c r="AC260" i="5"/>
  <c r="X108" i="6"/>
  <c r="W108" i="20" s="1"/>
  <c r="AD54" i="6"/>
  <c r="AG54" i="6"/>
  <c r="AM68" i="6"/>
  <c r="AM72" i="6"/>
  <c r="AJ72" i="6"/>
  <c r="AJ68" i="6"/>
  <c r="AP54" i="6"/>
  <c r="AM54" i="6"/>
  <c r="AP44" i="6"/>
  <c r="AM44" i="6"/>
  <c r="AJ44" i="6"/>
  <c r="AP72" i="6"/>
  <c r="AP68" i="6"/>
  <c r="AJ54" i="6"/>
  <c r="AE260" i="5"/>
  <c r="W102" i="20"/>
  <c r="Y260" i="5"/>
  <c r="X100" i="6" s="1"/>
  <c r="AD260" i="5"/>
  <c r="AB259" i="5"/>
  <c r="AD259" i="5" s="1"/>
  <c r="AA259" i="5"/>
  <c r="AB261" i="5"/>
  <c r="AA261" i="5"/>
  <c r="Y85" i="20"/>
  <c r="L140" i="20"/>
  <c r="G140" i="20"/>
  <c r="N140" i="20"/>
  <c r="H140" i="20"/>
  <c r="O140" i="20"/>
  <c r="R140" i="20"/>
  <c r="F140" i="20"/>
  <c r="Q140" i="20"/>
  <c r="J140" i="20"/>
  <c r="K140" i="20"/>
  <c r="P140" i="20"/>
  <c r="O171" i="20"/>
  <c r="O172" i="20" s="1"/>
  <c r="F140" i="6"/>
  <c r="E142" i="20"/>
  <c r="F142" i="20" s="1"/>
  <c r="AF261" i="5"/>
  <c r="Z113" i="6" s="1"/>
  <c r="Z261" i="5"/>
  <c r="Z102" i="6" s="1"/>
  <c r="AF259" i="5"/>
  <c r="V113" i="6" s="1"/>
  <c r="Z259" i="5"/>
  <c r="V102" i="6" s="1"/>
  <c r="E175" i="6"/>
  <c r="C83" i="17" s="1"/>
  <c r="L56" i="10"/>
  <c r="L53" i="10" s="1"/>
  <c r="L59" i="10" s="1"/>
  <c r="AC35" i="20"/>
  <c r="O35" i="20"/>
  <c r="I35" i="20"/>
  <c r="W15" i="20"/>
  <c r="AE85" i="20"/>
  <c r="AA85" i="20"/>
  <c r="AE35" i="20"/>
  <c r="O85" i="20"/>
  <c r="K85" i="20"/>
  <c r="Y15" i="20"/>
  <c r="Q85" i="20"/>
  <c r="S15" i="20"/>
  <c r="AA35" i="20"/>
  <c r="K35" i="20"/>
  <c r="I85" i="20"/>
  <c r="AC85" i="20"/>
  <c r="M173" i="20"/>
  <c r="P167" i="20"/>
  <c r="P173" i="20" s="1"/>
  <c r="E71" i="6"/>
  <c r="E72" i="6" s="1"/>
  <c r="D71" i="6"/>
  <c r="D72" i="6" s="1"/>
  <c r="S263" i="5"/>
  <c r="W113" i="20"/>
  <c r="X114" i="20" s="1"/>
  <c r="P262" i="5"/>
  <c r="F145" i="6"/>
  <c r="F141" i="6"/>
  <c r="F144" i="6"/>
  <c r="E138" i="20"/>
  <c r="O29" i="15"/>
  <c r="E144" i="20"/>
  <c r="E137" i="6"/>
  <c r="C44" i="6"/>
  <c r="E145" i="20"/>
  <c r="F145" i="20" s="1"/>
  <c r="E141" i="20"/>
  <c r="M172" i="20"/>
  <c r="K56" i="10"/>
  <c r="C68" i="6"/>
  <c r="C86" i="6"/>
  <c r="C94" i="6" s="1"/>
  <c r="C15" i="6"/>
  <c r="AA71" i="20"/>
  <c r="AB71" i="20" s="1"/>
  <c r="C54" i="6"/>
  <c r="AC71" i="20"/>
  <c r="AD71" i="20" s="1"/>
  <c r="C48" i="6"/>
  <c r="K55" i="10"/>
  <c r="K52" i="10" s="1"/>
  <c r="M55" i="10"/>
  <c r="M52" i="10" s="1"/>
  <c r="M58" i="10" s="1"/>
  <c r="C72" i="6"/>
  <c r="L55" i="10"/>
  <c r="L52" i="10" s="1"/>
  <c r="L58" i="10" s="1"/>
  <c r="N55" i="10"/>
  <c r="N52" i="10" s="1"/>
  <c r="N58" i="10" s="1"/>
  <c r="AC35" i="6" l="1"/>
  <c r="AC12" i="6" s="1"/>
  <c r="AC9" i="6" s="1"/>
  <c r="AC10" i="6" s="1"/>
  <c r="AC13" i="6"/>
  <c r="AC74" i="6"/>
  <c r="E20" i="24"/>
  <c r="C40" i="35"/>
  <c r="D32" i="35"/>
  <c r="E32" i="35" s="1"/>
  <c r="C41" i="35"/>
  <c r="C56" i="6"/>
  <c r="C57" i="6" s="1"/>
  <c r="B143" i="20"/>
  <c r="O64" i="15" s="1"/>
  <c r="O62" i="15" s="1"/>
  <c r="U56" i="6"/>
  <c r="U57" i="6" s="1"/>
  <c r="AM56" i="6"/>
  <c r="AM57" i="6" s="1"/>
  <c r="E143" i="6"/>
  <c r="L143" i="6" s="1"/>
  <c r="R56" i="6"/>
  <c r="R57" i="6" s="1"/>
  <c r="AP56" i="6"/>
  <c r="AP57" i="6" s="1"/>
  <c r="I56" i="6"/>
  <c r="I57" i="6" s="1"/>
  <c r="O56" i="6"/>
  <c r="O57" i="6" s="1"/>
  <c r="AA56" i="6"/>
  <c r="AA57" i="6" s="1"/>
  <c r="AD56" i="6"/>
  <c r="AD57" i="6" s="1"/>
  <c r="AJ56" i="6"/>
  <c r="AJ57" i="6" s="1"/>
  <c r="X56" i="6"/>
  <c r="X57" i="6" s="1"/>
  <c r="F64" i="15"/>
  <c r="J64" i="15" s="1"/>
  <c r="H64" i="15" s="1"/>
  <c r="BB26" i="15" s="1"/>
  <c r="AG56" i="6"/>
  <c r="AG57" i="6" s="1"/>
  <c r="C45" i="6"/>
  <c r="F44" i="6"/>
  <c r="H420" i="27"/>
  <c r="I420" i="27" s="1"/>
  <c r="J420" i="27"/>
  <c r="J421" i="27" s="1"/>
  <c r="B424" i="27"/>
  <c r="B428" i="27"/>
  <c r="B427" i="27"/>
  <c r="B426" i="27"/>
  <c r="B425" i="27"/>
  <c r="B423" i="27"/>
  <c r="B430" i="27"/>
  <c r="B429" i="27"/>
  <c r="E420" i="27"/>
  <c r="D430" i="27"/>
  <c r="D429" i="27"/>
  <c r="D428" i="27"/>
  <c r="D427" i="27"/>
  <c r="D426" i="27"/>
  <c r="D425" i="27"/>
  <c r="D424" i="27"/>
  <c r="D423" i="27"/>
  <c r="L420" i="27"/>
  <c r="L421" i="27" s="1"/>
  <c r="F420" i="27"/>
  <c r="F421" i="27" s="1"/>
  <c r="C420" i="27"/>
  <c r="AG48" i="24"/>
  <c r="J315" i="27" s="1"/>
  <c r="K315" i="27" s="1"/>
  <c r="AF47" i="24"/>
  <c r="J210" i="27" s="1"/>
  <c r="K210" i="27" s="1"/>
  <c r="AL48" i="24"/>
  <c r="AD47" i="24"/>
  <c r="H210" i="27" s="1"/>
  <c r="I210" i="27" s="1"/>
  <c r="AI48" i="24"/>
  <c r="AI47" i="24"/>
  <c r="L210" i="27" s="1"/>
  <c r="M210" i="27" s="1"/>
  <c r="AJ48" i="24"/>
  <c r="AE48" i="24"/>
  <c r="D421" i="27"/>
  <c r="AB47" i="24"/>
  <c r="F210" i="27" s="1"/>
  <c r="G210" i="27" s="1"/>
  <c r="Y47" i="24"/>
  <c r="B210" i="27" s="1"/>
  <c r="C210" i="27" s="1"/>
  <c r="AA48" i="24"/>
  <c r="D315" i="27" s="1"/>
  <c r="E315" i="27" s="1"/>
  <c r="AA47" i="24"/>
  <c r="AH48" i="24"/>
  <c r="AB48" i="24"/>
  <c r="AM48" i="24"/>
  <c r="Z47" i="24"/>
  <c r="AD48" i="24"/>
  <c r="H315" i="27" s="1"/>
  <c r="I315" i="27" s="1"/>
  <c r="AN48" i="24"/>
  <c r="AC48" i="24"/>
  <c r="AK48" i="24"/>
  <c r="E137" i="20"/>
  <c r="F137" i="20" s="1"/>
  <c r="O16" i="15"/>
  <c r="O45" i="6"/>
  <c r="R45" i="6"/>
  <c r="I69" i="6"/>
  <c r="R69" i="6"/>
  <c r="I45" i="6"/>
  <c r="H137" i="6"/>
  <c r="L137" i="6"/>
  <c r="P137" i="6"/>
  <c r="I137" i="6"/>
  <c r="M137" i="6"/>
  <c r="Q137" i="6"/>
  <c r="J137" i="6"/>
  <c r="N137" i="6"/>
  <c r="R137" i="6"/>
  <c r="K137" i="6"/>
  <c r="O137" i="6"/>
  <c r="G137" i="6"/>
  <c r="L45" i="6"/>
  <c r="L69" i="6"/>
  <c r="V106" i="6"/>
  <c r="U106" i="20" s="1"/>
  <c r="X109" i="6"/>
  <c r="X45" i="6"/>
  <c r="U45" i="6"/>
  <c r="AC259" i="5"/>
  <c r="V108" i="6"/>
  <c r="U108" i="20" s="1"/>
  <c r="AD45" i="6"/>
  <c r="Z106" i="6"/>
  <c r="Y106" i="20" s="1"/>
  <c r="AA45" i="6"/>
  <c r="AE261" i="5"/>
  <c r="Z108" i="6"/>
  <c r="Y108" i="20" s="1"/>
  <c r="AE18" i="6"/>
  <c r="X115" i="6"/>
  <c r="X116" i="6" s="1"/>
  <c r="X107" i="6"/>
  <c r="X114" i="6"/>
  <c r="AG45" i="6"/>
  <c r="X103" i="6"/>
  <c r="AJ45" i="6"/>
  <c r="AJ69" i="6"/>
  <c r="AM45" i="6"/>
  <c r="AP69" i="6"/>
  <c r="AP45" i="6"/>
  <c r="AM69" i="6"/>
  <c r="AE259" i="5"/>
  <c r="Y102" i="20"/>
  <c r="Y261" i="5"/>
  <c r="Z100" i="6" s="1"/>
  <c r="U102" i="20"/>
  <c r="Y259" i="5"/>
  <c r="V100" i="6" s="1"/>
  <c r="V103" i="6" s="1"/>
  <c r="AD261" i="5"/>
  <c r="AC261" i="5"/>
  <c r="AB262" i="5"/>
  <c r="AA262" i="5"/>
  <c r="M56" i="10"/>
  <c r="M53" i="10" s="1"/>
  <c r="M59" i="10" s="1"/>
  <c r="P171" i="20"/>
  <c r="N56" i="10" s="1"/>
  <c r="N53" i="10" s="1"/>
  <c r="N59" i="10" s="1"/>
  <c r="AF262" i="5"/>
  <c r="AB113" i="6" s="1"/>
  <c r="Z262" i="5"/>
  <c r="AB102" i="6" s="1"/>
  <c r="W100" i="20"/>
  <c r="O15" i="20"/>
  <c r="I15" i="20"/>
  <c r="AA12" i="20"/>
  <c r="AA15" i="20"/>
  <c r="O12" i="20"/>
  <c r="AC15" i="20"/>
  <c r="Q15" i="20"/>
  <c r="K15" i="20"/>
  <c r="U85" i="20"/>
  <c r="K12" i="20"/>
  <c r="AE12" i="20"/>
  <c r="AE15" i="20"/>
  <c r="I12" i="20"/>
  <c r="AC12" i="20"/>
  <c r="Q167" i="20"/>
  <c r="Q173" i="20" s="1"/>
  <c r="AD72" i="20"/>
  <c r="AB72" i="20"/>
  <c r="O142" i="20"/>
  <c r="F141" i="20"/>
  <c r="O144" i="20"/>
  <c r="F144" i="20"/>
  <c r="Y113" i="20"/>
  <c r="Z114" i="20" s="1"/>
  <c r="U113" i="20"/>
  <c r="V114" i="20" s="1"/>
  <c r="P263" i="5"/>
  <c r="N138" i="20"/>
  <c r="F138" i="20"/>
  <c r="O20" i="15"/>
  <c r="M138" i="20"/>
  <c r="Q138" i="20"/>
  <c r="K138" i="20"/>
  <c r="P138" i="20"/>
  <c r="O138" i="20"/>
  <c r="J138" i="20"/>
  <c r="H138" i="20"/>
  <c r="R138" i="20"/>
  <c r="G138" i="20"/>
  <c r="L138" i="20"/>
  <c r="F137" i="6"/>
  <c r="Q144" i="20"/>
  <c r="M144" i="20"/>
  <c r="R144" i="20"/>
  <c r="H144" i="20"/>
  <c r="J144" i="20"/>
  <c r="P144" i="20"/>
  <c r="N144" i="20"/>
  <c r="K144" i="20"/>
  <c r="L144" i="20"/>
  <c r="G144" i="20"/>
  <c r="O145" i="20"/>
  <c r="L145" i="20"/>
  <c r="H145" i="20"/>
  <c r="P145" i="20"/>
  <c r="K145" i="20"/>
  <c r="J145" i="20"/>
  <c r="Q145" i="20"/>
  <c r="G145" i="20"/>
  <c r="R145" i="20"/>
  <c r="N145" i="20"/>
  <c r="M145" i="20"/>
  <c r="O141" i="20"/>
  <c r="M142" i="20"/>
  <c r="H141" i="20"/>
  <c r="G142" i="20"/>
  <c r="P141" i="20"/>
  <c r="P142" i="20"/>
  <c r="R142" i="20"/>
  <c r="K141" i="20"/>
  <c r="Q141" i="20"/>
  <c r="L142" i="20"/>
  <c r="J142" i="20"/>
  <c r="L141" i="20"/>
  <c r="G141" i="20"/>
  <c r="N141" i="20"/>
  <c r="H142" i="20"/>
  <c r="Q142" i="20"/>
  <c r="K142" i="20"/>
  <c r="J141" i="20"/>
  <c r="R141" i="20"/>
  <c r="M141" i="20"/>
  <c r="N142" i="20"/>
  <c r="K58" i="10"/>
  <c r="K53" i="10"/>
  <c r="K59" i="10" s="1"/>
  <c r="C71" i="20"/>
  <c r="C27" i="6"/>
  <c r="C16" i="6"/>
  <c r="C69" i="6"/>
  <c r="D80" i="6"/>
  <c r="O55" i="10"/>
  <c r="O52" i="10" s="1"/>
  <c r="O58" i="10" s="1"/>
  <c r="E143" i="20" l="1"/>
  <c r="K143" i="20" s="1"/>
  <c r="K143" i="6"/>
  <c r="I143" i="6"/>
  <c r="P143" i="6"/>
  <c r="F143" i="6"/>
  <c r="G143" i="6"/>
  <c r="N143" i="6"/>
  <c r="H143" i="6"/>
  <c r="Q143" i="6"/>
  <c r="O143" i="6"/>
  <c r="M143" i="6"/>
  <c r="R143" i="6"/>
  <c r="J143" i="6"/>
  <c r="G137" i="20"/>
  <c r="H424" i="27"/>
  <c r="H425" i="27"/>
  <c r="H429" i="27"/>
  <c r="H426" i="27"/>
  <c r="H430" i="27"/>
  <c r="H428" i="27"/>
  <c r="H423" i="27"/>
  <c r="H427" i="27"/>
  <c r="C430" i="27"/>
  <c r="C429" i="27"/>
  <c r="C428" i="27"/>
  <c r="C427" i="27"/>
  <c r="C426" i="27"/>
  <c r="C425" i="27"/>
  <c r="C424" i="27"/>
  <c r="C423" i="27"/>
  <c r="I430" i="27"/>
  <c r="I429" i="27"/>
  <c r="I428" i="27"/>
  <c r="I427" i="27"/>
  <c r="I426" i="27"/>
  <c r="I425" i="27"/>
  <c r="I424" i="27"/>
  <c r="I423" i="27"/>
  <c r="G420" i="27"/>
  <c r="G421" i="27" s="1"/>
  <c r="F430" i="27"/>
  <c r="F427" i="27"/>
  <c r="F426" i="27"/>
  <c r="F425" i="27"/>
  <c r="F423" i="27"/>
  <c r="F429" i="27"/>
  <c r="F428" i="27"/>
  <c r="F424" i="27"/>
  <c r="M420" i="27"/>
  <c r="L430" i="27"/>
  <c r="L429" i="27"/>
  <c r="L428" i="27"/>
  <c r="L427" i="27"/>
  <c r="L426" i="27"/>
  <c r="L425" i="27"/>
  <c r="L424" i="27"/>
  <c r="L423" i="27"/>
  <c r="E430" i="27"/>
  <c r="E429" i="27"/>
  <c r="E428" i="27"/>
  <c r="E427" i="27"/>
  <c r="E426" i="27"/>
  <c r="E425" i="27"/>
  <c r="E424" i="27"/>
  <c r="E423" i="27"/>
  <c r="K420" i="27"/>
  <c r="K421" i="27" s="1"/>
  <c r="J429" i="27"/>
  <c r="J428" i="27"/>
  <c r="J424" i="27"/>
  <c r="J430" i="27"/>
  <c r="J423" i="27"/>
  <c r="J427" i="27"/>
  <c r="J426" i="27"/>
  <c r="J425" i="27"/>
  <c r="D210" i="27"/>
  <c r="E210" i="27" s="1"/>
  <c r="F315" i="27"/>
  <c r="G315" i="27" s="1"/>
  <c r="L315" i="27"/>
  <c r="M315" i="27" s="1"/>
  <c r="H316" i="27"/>
  <c r="J316" i="27"/>
  <c r="H211" i="27"/>
  <c r="F211" i="27"/>
  <c r="L211" i="27"/>
  <c r="J211" i="27"/>
  <c r="B421" i="27"/>
  <c r="H421" i="27"/>
  <c r="C421" i="27"/>
  <c r="B316" i="27"/>
  <c r="K316" i="27"/>
  <c r="C316" i="27"/>
  <c r="E421" i="27"/>
  <c r="D316" i="27"/>
  <c r="R137" i="20"/>
  <c r="P137" i="20"/>
  <c r="J137" i="20"/>
  <c r="H137" i="20"/>
  <c r="O137" i="20"/>
  <c r="K137" i="20"/>
  <c r="N137" i="20"/>
  <c r="L137" i="20"/>
  <c r="M137" i="20"/>
  <c r="Q137" i="20"/>
  <c r="X101" i="6"/>
  <c r="AH18" i="6"/>
  <c r="Z115" i="6"/>
  <c r="Z116" i="6" s="1"/>
  <c r="Z107" i="6"/>
  <c r="Z103" i="6"/>
  <c r="V107" i="6"/>
  <c r="AB106" i="6"/>
  <c r="AA106" i="20" s="1"/>
  <c r="AF18" i="6"/>
  <c r="AF6" i="6" s="1"/>
  <c r="AE6" i="6"/>
  <c r="AC262" i="5"/>
  <c r="AB108" i="6"/>
  <c r="AA108" i="20" s="1"/>
  <c r="AB18" i="6"/>
  <c r="V115" i="6"/>
  <c r="V116" i="6" s="1"/>
  <c r="Z109" i="6"/>
  <c r="Z114" i="6"/>
  <c r="V109" i="6"/>
  <c r="V114" i="6"/>
  <c r="AA102" i="20"/>
  <c r="Y262" i="5"/>
  <c r="AB100" i="6" s="1"/>
  <c r="AE262" i="5"/>
  <c r="AD262" i="5"/>
  <c r="AB263" i="5"/>
  <c r="AA263" i="5"/>
  <c r="P172" i="20"/>
  <c r="W18" i="20"/>
  <c r="AF263" i="5"/>
  <c r="AD113" i="6" s="1"/>
  <c r="Z263" i="5"/>
  <c r="AD102" i="6" s="1"/>
  <c r="U100" i="20"/>
  <c r="Q171" i="20"/>
  <c r="O56" i="10" s="1"/>
  <c r="O53" i="10" s="1"/>
  <c r="O59" i="10" s="1"/>
  <c r="Y100" i="20"/>
  <c r="I9" i="20"/>
  <c r="AE9" i="20"/>
  <c r="U15" i="20"/>
  <c r="O9" i="20"/>
  <c r="AA9" i="20"/>
  <c r="AC9" i="20"/>
  <c r="K9" i="20"/>
  <c r="C72" i="20"/>
  <c r="D72" i="20" s="1"/>
  <c r="D71" i="20"/>
  <c r="S264" i="5"/>
  <c r="AA113" i="20"/>
  <c r="AB114" i="20" s="1"/>
  <c r="R167" i="20"/>
  <c r="N64" i="10"/>
  <c r="K64" i="10"/>
  <c r="L64" i="10"/>
  <c r="M64" i="10"/>
  <c r="P55" i="10"/>
  <c r="P52" i="10" s="1"/>
  <c r="P58" i="10" s="1"/>
  <c r="AU20" i="24" l="1"/>
  <c r="M143" i="20"/>
  <c r="P143" i="20"/>
  <c r="N143" i="20"/>
  <c r="H143" i="20"/>
  <c r="F143" i="20"/>
  <c r="R143" i="20"/>
  <c r="L143" i="20"/>
  <c r="G143" i="20"/>
  <c r="O143" i="20"/>
  <c r="J143" i="20"/>
  <c r="Q143" i="20"/>
  <c r="K430" i="27"/>
  <c r="K429" i="27"/>
  <c r="K428" i="27"/>
  <c r="K427" i="27"/>
  <c r="K426" i="27"/>
  <c r="K425" i="27"/>
  <c r="K424" i="27"/>
  <c r="K423" i="27"/>
  <c r="G430" i="27"/>
  <c r="G429" i="27"/>
  <c r="G428" i="27"/>
  <c r="G427" i="27"/>
  <c r="G426" i="27"/>
  <c r="G425" i="27"/>
  <c r="G424" i="27"/>
  <c r="G423" i="27"/>
  <c r="M430" i="27"/>
  <c r="M429" i="27"/>
  <c r="M428" i="27"/>
  <c r="M427" i="27"/>
  <c r="M426" i="27"/>
  <c r="M425" i="27"/>
  <c r="M424" i="27"/>
  <c r="M423" i="27"/>
  <c r="P5" i="27"/>
  <c r="D211" i="27"/>
  <c r="I421" i="27"/>
  <c r="K211" i="27"/>
  <c r="M211" i="27"/>
  <c r="B211" i="27"/>
  <c r="I316" i="27"/>
  <c r="E211" i="27"/>
  <c r="N420" i="27"/>
  <c r="I211" i="27"/>
  <c r="M421" i="27"/>
  <c r="N421" i="27" s="1"/>
  <c r="L316" i="27"/>
  <c r="F316" i="27"/>
  <c r="G211" i="27"/>
  <c r="C211" i="27"/>
  <c r="V101" i="6"/>
  <c r="AD263" i="5"/>
  <c r="AD108" i="6"/>
  <c r="AK18" i="6"/>
  <c r="AB115" i="6"/>
  <c r="AB116" i="6" s="1"/>
  <c r="AB109" i="6"/>
  <c r="AE7" i="6"/>
  <c r="AE8" i="6"/>
  <c r="AE17" i="6"/>
  <c r="AE14" i="6"/>
  <c r="AE11" i="6"/>
  <c r="AB114" i="6"/>
  <c r="AF7" i="6"/>
  <c r="AF8" i="6"/>
  <c r="AF14" i="6"/>
  <c r="AF17" i="6"/>
  <c r="AF11" i="6"/>
  <c r="AI18" i="6"/>
  <c r="AI6" i="6" s="1"/>
  <c r="AH6" i="6"/>
  <c r="AD114" i="6"/>
  <c r="AB107" i="6"/>
  <c r="Z101" i="6"/>
  <c r="AB103" i="6"/>
  <c r="AD106" i="6"/>
  <c r="AC106" i="20" s="1"/>
  <c r="AC18" i="6"/>
  <c r="AC6" i="6" s="1"/>
  <c r="AB6" i="6"/>
  <c r="AC102" i="20"/>
  <c r="Y263" i="5"/>
  <c r="AD100" i="6" s="1"/>
  <c r="AE263" i="5"/>
  <c r="AC263" i="5"/>
  <c r="AC108" i="20"/>
  <c r="U18" i="20"/>
  <c r="Q172" i="20"/>
  <c r="Y18" i="20"/>
  <c r="S253" i="5"/>
  <c r="AA100" i="20"/>
  <c r="G167" i="20"/>
  <c r="G171" i="20" s="1"/>
  <c r="AC113" i="20"/>
  <c r="AD114" i="20" s="1"/>
  <c r="S254" i="5"/>
  <c r="P264" i="5"/>
  <c r="R171" i="20"/>
  <c r="R173" i="20"/>
  <c r="AE71" i="20"/>
  <c r="AF71" i="20" s="1"/>
  <c r="O64" i="10"/>
  <c r="E55" i="10"/>
  <c r="E52" i="10" s="1"/>
  <c r="E58" i="10" s="1"/>
  <c r="N427" i="27" l="1"/>
  <c r="N424" i="27"/>
  <c r="N428" i="27"/>
  <c r="N425" i="27"/>
  <c r="G28" i="27" s="1"/>
  <c r="N429" i="27"/>
  <c r="N426" i="27"/>
  <c r="N430" i="27"/>
  <c r="L72" i="27" s="1"/>
  <c r="N423" i="27"/>
  <c r="S5" i="27"/>
  <c r="S6" i="27" s="1"/>
  <c r="S7" i="27" s="1"/>
  <c r="S8" i="27" s="1"/>
  <c r="S9" i="27" s="1"/>
  <c r="S10" i="27" s="1"/>
  <c r="S11" i="27" s="1"/>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S81" i="27" s="1"/>
  <c r="S82" i="27" s="1"/>
  <c r="S83" i="27" s="1"/>
  <c r="S84" i="27" s="1"/>
  <c r="S85" i="27" s="1"/>
  <c r="S86" i="27" s="1"/>
  <c r="S87" i="27" s="1"/>
  <c r="S88" i="27" s="1"/>
  <c r="S89" i="27" s="1"/>
  <c r="S90" i="27" s="1"/>
  <c r="S91" i="27" s="1"/>
  <c r="S92" i="27" s="1"/>
  <c r="S93" i="27" s="1"/>
  <c r="S94" i="27" s="1"/>
  <c r="S95" i="27" s="1"/>
  <c r="S96" i="27" s="1"/>
  <c r="S97" i="27" s="1"/>
  <c r="S98" i="27" s="1"/>
  <c r="S99" i="27" s="1"/>
  <c r="S100" i="27" s="1"/>
  <c r="S101" i="27" s="1"/>
  <c r="S102" i="27" s="1"/>
  <c r="S103" i="27" s="1"/>
  <c r="S104" i="27" s="1"/>
  <c r="P6" i="27"/>
  <c r="P7" i="27" s="1"/>
  <c r="P8" i="27" s="1"/>
  <c r="P9" i="27" s="1"/>
  <c r="P10" i="27" s="1"/>
  <c r="P11" i="27" s="1"/>
  <c r="P12" i="27" s="1"/>
  <c r="P13" i="27" s="1"/>
  <c r="P14" i="27" s="1"/>
  <c r="P15" i="27" s="1"/>
  <c r="P16" i="27" s="1"/>
  <c r="P17" i="27" s="1"/>
  <c r="P18" i="27" s="1"/>
  <c r="P19" i="27" s="1"/>
  <c r="P20" i="27" s="1"/>
  <c r="P21" i="27" s="1"/>
  <c r="P22" i="27" s="1"/>
  <c r="P23" i="27" s="1"/>
  <c r="P24" i="27" s="1"/>
  <c r="P25" i="27" s="1"/>
  <c r="P26" i="27" s="1"/>
  <c r="P27" i="27" s="1"/>
  <c r="P28" i="27" s="1"/>
  <c r="P29" i="27" s="1"/>
  <c r="P30" i="27" s="1"/>
  <c r="P31" i="27" s="1"/>
  <c r="P32" i="27" s="1"/>
  <c r="P33" i="27" s="1"/>
  <c r="P34" i="27" s="1"/>
  <c r="P35" i="27" s="1"/>
  <c r="P36" i="27" s="1"/>
  <c r="P37" i="27" s="1"/>
  <c r="P38" i="27" s="1"/>
  <c r="P39" i="27" s="1"/>
  <c r="P40" i="27" s="1"/>
  <c r="P41" i="27" s="1"/>
  <c r="P42" i="27" s="1"/>
  <c r="P43" i="27" s="1"/>
  <c r="P44" i="27" s="1"/>
  <c r="P45" i="27" s="1"/>
  <c r="P46" i="27" s="1"/>
  <c r="P47" i="27" s="1"/>
  <c r="P48" i="27" s="1"/>
  <c r="P49" i="27" s="1"/>
  <c r="P50" i="27" s="1"/>
  <c r="P51" i="27" s="1"/>
  <c r="P52" i="27" s="1"/>
  <c r="P53" i="27" s="1"/>
  <c r="P54" i="27" s="1"/>
  <c r="P55" i="27" s="1"/>
  <c r="P56" i="27" s="1"/>
  <c r="P57" i="27" s="1"/>
  <c r="P58" i="27" s="1"/>
  <c r="P59" i="27" s="1"/>
  <c r="P60" i="27" s="1"/>
  <c r="P61" i="27" s="1"/>
  <c r="P62" i="27" s="1"/>
  <c r="P63" i="27" s="1"/>
  <c r="P64" i="27" s="1"/>
  <c r="P65" i="27" s="1"/>
  <c r="P66" i="27" s="1"/>
  <c r="P67" i="27" s="1"/>
  <c r="P68" i="27" s="1"/>
  <c r="P69" i="27" s="1"/>
  <c r="P70" i="27" s="1"/>
  <c r="P71" i="27" s="1"/>
  <c r="P72" i="27" s="1"/>
  <c r="P73" i="27" s="1"/>
  <c r="P74" i="27" s="1"/>
  <c r="P75" i="27" s="1"/>
  <c r="P76" i="27" s="1"/>
  <c r="P77" i="27" s="1"/>
  <c r="P78" i="27" s="1"/>
  <c r="P79" i="27" s="1"/>
  <c r="P80" i="27" s="1"/>
  <c r="P81" i="27" s="1"/>
  <c r="P82" i="27" s="1"/>
  <c r="P83" i="27" s="1"/>
  <c r="P84" i="27" s="1"/>
  <c r="P85" i="27" s="1"/>
  <c r="P86" i="27" s="1"/>
  <c r="P87" i="27" s="1"/>
  <c r="P88" i="27" s="1"/>
  <c r="P89" i="27" s="1"/>
  <c r="P90" i="27" s="1"/>
  <c r="P91" i="27" s="1"/>
  <c r="P92" i="27" s="1"/>
  <c r="P93" i="27" s="1"/>
  <c r="P94" i="27" s="1"/>
  <c r="P95" i="27" s="1"/>
  <c r="P96" i="27" s="1"/>
  <c r="P97" i="27" s="1"/>
  <c r="P98" i="27" s="1"/>
  <c r="P99" i="27" s="1"/>
  <c r="P100" i="27" s="1"/>
  <c r="P101" i="27" s="1"/>
  <c r="P102" i="27" s="1"/>
  <c r="P103" i="27" s="1"/>
  <c r="P104" i="27" s="1"/>
  <c r="Q5" i="27"/>
  <c r="Q6" i="27" s="1"/>
  <c r="Q7" i="27" s="1"/>
  <c r="Q8" i="27" s="1"/>
  <c r="Q9" i="27" s="1"/>
  <c r="Q10" i="27" s="1"/>
  <c r="Q11" i="27" s="1"/>
  <c r="Q12" i="27" s="1"/>
  <c r="Q13" i="27" s="1"/>
  <c r="Q14" i="27" s="1"/>
  <c r="Q15" i="27" s="1"/>
  <c r="Q16" i="27" s="1"/>
  <c r="Q17" i="27" s="1"/>
  <c r="Q18" i="27" s="1"/>
  <c r="Q19" i="27" s="1"/>
  <c r="Q20" i="27" s="1"/>
  <c r="Q21" i="27" s="1"/>
  <c r="Q22" i="27" s="1"/>
  <c r="Q23" i="27" s="1"/>
  <c r="Q24" i="27" s="1"/>
  <c r="Q25" i="27" s="1"/>
  <c r="Q26" i="27" s="1"/>
  <c r="Q27" i="27" s="1"/>
  <c r="Q28" i="27" s="1"/>
  <c r="Q29" i="27" s="1"/>
  <c r="Q30" i="27" s="1"/>
  <c r="Q31" i="27" s="1"/>
  <c r="Q32" i="27" s="1"/>
  <c r="Q33" i="27" s="1"/>
  <c r="Q34" i="27" s="1"/>
  <c r="Q35" i="27" s="1"/>
  <c r="Q36" i="27" s="1"/>
  <c r="Q37" i="27" s="1"/>
  <c r="Q38" i="27" s="1"/>
  <c r="Q39" i="27" s="1"/>
  <c r="Q40" i="27" s="1"/>
  <c r="Q41" i="27" s="1"/>
  <c r="Q42" i="27" s="1"/>
  <c r="Q43" i="27" s="1"/>
  <c r="Q44" i="27" s="1"/>
  <c r="Q45" i="27" s="1"/>
  <c r="Q46" i="27" s="1"/>
  <c r="Q47" i="27" s="1"/>
  <c r="Q48" i="27" s="1"/>
  <c r="Q49" i="27" s="1"/>
  <c r="Q50" i="27" s="1"/>
  <c r="Q51" i="27" s="1"/>
  <c r="Q52" i="27" s="1"/>
  <c r="Q53" i="27" s="1"/>
  <c r="Q54" i="27" s="1"/>
  <c r="Q55" i="27" s="1"/>
  <c r="Q56" i="27" s="1"/>
  <c r="Q57" i="27" s="1"/>
  <c r="Q58" i="27" s="1"/>
  <c r="Q59" i="27" s="1"/>
  <c r="Q60" i="27" s="1"/>
  <c r="Q61" i="27" s="1"/>
  <c r="Q62" i="27" s="1"/>
  <c r="Q63" i="27" s="1"/>
  <c r="Q64" i="27" s="1"/>
  <c r="Q65" i="27" s="1"/>
  <c r="Q66" i="27" s="1"/>
  <c r="Q67" i="27" s="1"/>
  <c r="Q68" i="27" s="1"/>
  <c r="Q69" i="27" s="1"/>
  <c r="Q70" i="27" s="1"/>
  <c r="Q71" i="27" s="1"/>
  <c r="Q72" i="27" s="1"/>
  <c r="Q73" i="27" s="1"/>
  <c r="Q74" i="27" s="1"/>
  <c r="Q75" i="27" s="1"/>
  <c r="Q76" i="27" s="1"/>
  <c r="Q77" i="27" s="1"/>
  <c r="Q78" i="27" s="1"/>
  <c r="Q79" i="27" s="1"/>
  <c r="Q80" i="27" s="1"/>
  <c r="Q81" i="27" s="1"/>
  <c r="Q82" i="27" s="1"/>
  <c r="Q83" i="27" s="1"/>
  <c r="Q84" i="27" s="1"/>
  <c r="Q85" i="27" s="1"/>
  <c r="Q86" i="27" s="1"/>
  <c r="Q87" i="27" s="1"/>
  <c r="Q88" i="27" s="1"/>
  <c r="Q89" i="27" s="1"/>
  <c r="Q90" i="27" s="1"/>
  <c r="Q91" i="27" s="1"/>
  <c r="Q92" i="27" s="1"/>
  <c r="Q93" i="27" s="1"/>
  <c r="Q94" i="27" s="1"/>
  <c r="Q95" i="27" s="1"/>
  <c r="Q96" i="27" s="1"/>
  <c r="Q97" i="27" s="1"/>
  <c r="Q98" i="27" s="1"/>
  <c r="Q99" i="27" s="1"/>
  <c r="Q100" i="27" s="1"/>
  <c r="Q101" i="27" s="1"/>
  <c r="Q102" i="27" s="1"/>
  <c r="Q103" i="27" s="1"/>
  <c r="Q104" i="27" s="1"/>
  <c r="E316" i="27"/>
  <c r="G316" i="27"/>
  <c r="N5" i="27"/>
  <c r="N6" i="27" s="1"/>
  <c r="N7" i="27" s="1"/>
  <c r="N8" i="27" s="1"/>
  <c r="N9" i="27" s="1"/>
  <c r="N10" i="27" s="1"/>
  <c r="N11" i="27" s="1"/>
  <c r="N12" i="27" s="1"/>
  <c r="N13" i="27" s="1"/>
  <c r="N14" i="27" s="1"/>
  <c r="N15" i="27" s="1"/>
  <c r="N16" i="27" s="1"/>
  <c r="N17" i="27" s="1"/>
  <c r="N18" i="27" s="1"/>
  <c r="N19" i="27" s="1"/>
  <c r="N20" i="27" s="1"/>
  <c r="N21" i="27" s="1"/>
  <c r="N22" i="27" s="1"/>
  <c r="N23" i="27" s="1"/>
  <c r="N24" i="27" s="1"/>
  <c r="N25" i="27" s="1"/>
  <c r="N26" i="27" s="1"/>
  <c r="N27" i="27" s="1"/>
  <c r="N28" i="27" s="1"/>
  <c r="N29" i="27" s="1"/>
  <c r="N30" i="27" s="1"/>
  <c r="N31" i="27" s="1"/>
  <c r="N32" i="27" s="1"/>
  <c r="N33" i="27" s="1"/>
  <c r="N34" i="27" s="1"/>
  <c r="N35" i="27" s="1"/>
  <c r="N36" i="27" s="1"/>
  <c r="N37" i="27" s="1"/>
  <c r="N38" i="27" s="1"/>
  <c r="N39" i="27" s="1"/>
  <c r="N40" i="27" s="1"/>
  <c r="N41" i="27" s="1"/>
  <c r="N42" i="27" s="1"/>
  <c r="N43" i="27" s="1"/>
  <c r="N44" i="27" s="1"/>
  <c r="N45" i="27" s="1"/>
  <c r="N46" i="27" s="1"/>
  <c r="N47" i="27" s="1"/>
  <c r="N48" i="27" s="1"/>
  <c r="N49" i="27" s="1"/>
  <c r="N50" i="27" s="1"/>
  <c r="N51" i="27" s="1"/>
  <c r="N52" i="27" s="1"/>
  <c r="N53" i="27" s="1"/>
  <c r="N54" i="27" s="1"/>
  <c r="N55" i="27" s="1"/>
  <c r="N56" i="27" s="1"/>
  <c r="N57" i="27" s="1"/>
  <c r="N58" i="27" s="1"/>
  <c r="N59" i="27" s="1"/>
  <c r="N60" i="27" s="1"/>
  <c r="N61" i="27" s="1"/>
  <c r="N62" i="27" s="1"/>
  <c r="N63" i="27" s="1"/>
  <c r="N64" i="27" s="1"/>
  <c r="N65" i="27" s="1"/>
  <c r="N66" i="27" s="1"/>
  <c r="N67" i="27" s="1"/>
  <c r="N68" i="27" s="1"/>
  <c r="N69" i="27" s="1"/>
  <c r="N70" i="27" s="1"/>
  <c r="N71" i="27" s="1"/>
  <c r="N72" i="27" s="1"/>
  <c r="N73" i="27" s="1"/>
  <c r="N74" i="27" s="1"/>
  <c r="N75" i="27" s="1"/>
  <c r="N76" i="27" s="1"/>
  <c r="N77" i="27" s="1"/>
  <c r="N78" i="27" s="1"/>
  <c r="N79" i="27" s="1"/>
  <c r="N80" i="27" s="1"/>
  <c r="N81" i="27" s="1"/>
  <c r="N82" i="27" s="1"/>
  <c r="N83" i="27" s="1"/>
  <c r="N84" i="27" s="1"/>
  <c r="N85" i="27" s="1"/>
  <c r="N86" i="27" s="1"/>
  <c r="N87" i="27" s="1"/>
  <c r="N88" i="27" s="1"/>
  <c r="N89" i="27" s="1"/>
  <c r="N90" i="27" s="1"/>
  <c r="N91" i="27" s="1"/>
  <c r="N92" i="27" s="1"/>
  <c r="N93" i="27" s="1"/>
  <c r="N94" i="27" s="1"/>
  <c r="N95" i="27" s="1"/>
  <c r="N96" i="27" s="1"/>
  <c r="N97" i="27" s="1"/>
  <c r="N98" i="27" s="1"/>
  <c r="N99" i="27" s="1"/>
  <c r="N100" i="27" s="1"/>
  <c r="N101" i="27" s="1"/>
  <c r="N102" i="27" s="1"/>
  <c r="N103" i="27" s="1"/>
  <c r="N104" i="27" s="1"/>
  <c r="M316" i="27"/>
  <c r="AB101" i="6"/>
  <c r="AC8" i="6"/>
  <c r="AC7" i="6"/>
  <c r="AC17" i="6"/>
  <c r="AC14" i="6"/>
  <c r="AC11" i="6"/>
  <c r="AI8" i="6"/>
  <c r="AI7" i="6"/>
  <c r="AI14" i="6"/>
  <c r="AI17" i="6"/>
  <c r="AI11" i="6"/>
  <c r="AD115" i="6"/>
  <c r="AD116" i="6" s="1"/>
  <c r="AN18" i="6"/>
  <c r="AD107" i="6"/>
  <c r="AL18" i="6"/>
  <c r="AL6" i="6" s="1"/>
  <c r="AK6" i="6"/>
  <c r="AA6" i="20" s="1"/>
  <c r="AD109" i="6"/>
  <c r="AB7" i="6"/>
  <c r="AB8" i="6"/>
  <c r="AB17" i="6"/>
  <c r="AB14" i="6"/>
  <c r="AB11" i="6"/>
  <c r="AH8" i="6"/>
  <c r="AH7" i="6"/>
  <c r="AH17" i="6"/>
  <c r="AH14" i="6"/>
  <c r="AH11" i="6"/>
  <c r="AD103" i="6"/>
  <c r="AB264" i="5"/>
  <c r="AA264" i="5"/>
  <c r="P253" i="5"/>
  <c r="Z253" i="5" s="1"/>
  <c r="J102" i="6" s="1"/>
  <c r="AF264" i="5"/>
  <c r="AF113" i="6" s="1"/>
  <c r="Z264" i="5"/>
  <c r="AF102" i="6" s="1"/>
  <c r="AA18" i="20"/>
  <c r="AC100" i="20"/>
  <c r="G173" i="20"/>
  <c r="H167" i="20"/>
  <c r="H171" i="20" s="1"/>
  <c r="AF72" i="20"/>
  <c r="S255" i="5"/>
  <c r="P254" i="5"/>
  <c r="P56" i="10"/>
  <c r="P53" i="10" s="1"/>
  <c r="P59" i="10" s="1"/>
  <c r="R172" i="20"/>
  <c r="G172" i="20"/>
  <c r="E56" i="10"/>
  <c r="E53" i="10" s="1"/>
  <c r="E59" i="10" s="1"/>
  <c r="I71" i="20"/>
  <c r="J71" i="20" s="1"/>
  <c r="P64" i="10"/>
  <c r="F55" i="10"/>
  <c r="F52" i="10" s="1"/>
  <c r="F58" i="10" s="1"/>
  <c r="G17" i="27" l="1"/>
  <c r="I14" i="27"/>
  <c r="H79" i="27"/>
  <c r="H66" i="27"/>
  <c r="H44" i="27"/>
  <c r="G9" i="27"/>
  <c r="J62" i="27"/>
  <c r="J11" i="27"/>
  <c r="J37" i="27"/>
  <c r="J69" i="27"/>
  <c r="H98" i="27"/>
  <c r="H39" i="27"/>
  <c r="H96" i="27"/>
  <c r="G99" i="27"/>
  <c r="J24" i="27"/>
  <c r="J35" i="27"/>
  <c r="J72" i="27"/>
  <c r="I6" i="27"/>
  <c r="I19" i="27"/>
  <c r="H11" i="27"/>
  <c r="H70" i="27"/>
  <c r="H95" i="27"/>
  <c r="H62" i="27"/>
  <c r="H55" i="27"/>
  <c r="H94" i="27"/>
  <c r="G11" i="27"/>
  <c r="G71" i="27"/>
  <c r="J30" i="27"/>
  <c r="J56" i="27"/>
  <c r="J6" i="27"/>
  <c r="J82" i="27"/>
  <c r="J60" i="27"/>
  <c r="J96" i="27"/>
  <c r="I79" i="27"/>
  <c r="G80" i="27"/>
  <c r="G8" i="27"/>
  <c r="G97" i="27"/>
  <c r="G57" i="27"/>
  <c r="G14" i="27"/>
  <c r="G44" i="27"/>
  <c r="G18" i="27"/>
  <c r="G26" i="27"/>
  <c r="G79" i="27"/>
  <c r="G61" i="27"/>
  <c r="G13" i="27"/>
  <c r="G48" i="27"/>
  <c r="I55" i="27"/>
  <c r="I90" i="27"/>
  <c r="I94" i="27"/>
  <c r="I49" i="27"/>
  <c r="I71" i="27"/>
  <c r="I47" i="27"/>
  <c r="I64" i="27"/>
  <c r="J34" i="27"/>
  <c r="J86" i="27"/>
  <c r="J63" i="27"/>
  <c r="J81" i="27"/>
  <c r="J14" i="27"/>
  <c r="J55" i="27"/>
  <c r="J8" i="27"/>
  <c r="J15" i="27"/>
  <c r="J10" i="27"/>
  <c r="J45" i="27"/>
  <c r="J53" i="27"/>
  <c r="J12" i="27"/>
  <c r="J58" i="27"/>
  <c r="J89" i="27"/>
  <c r="J67" i="27"/>
  <c r="J26" i="27"/>
  <c r="J48" i="27"/>
  <c r="J7" i="27"/>
  <c r="J36" i="27"/>
  <c r="J70" i="27"/>
  <c r="J49" i="27"/>
  <c r="J98" i="27"/>
  <c r="J52" i="27"/>
  <c r="J16" i="27"/>
  <c r="J9" i="27"/>
  <c r="F96" i="27"/>
  <c r="H50" i="27"/>
  <c r="H99" i="27"/>
  <c r="H52" i="27"/>
  <c r="H76" i="27"/>
  <c r="H16" i="27"/>
  <c r="H88" i="27"/>
  <c r="H68" i="27"/>
  <c r="H103" i="27"/>
  <c r="H86" i="27"/>
  <c r="H93" i="27"/>
  <c r="H69" i="27"/>
  <c r="H81" i="27"/>
  <c r="G95" i="27"/>
  <c r="G5" i="27"/>
  <c r="G88" i="27"/>
  <c r="G40" i="27"/>
  <c r="G27" i="27"/>
  <c r="G15" i="27"/>
  <c r="J31" i="27"/>
  <c r="J47" i="27"/>
  <c r="J13" i="27"/>
  <c r="J21" i="27"/>
  <c r="J33" i="27"/>
  <c r="J95" i="27"/>
  <c r="J71" i="27"/>
  <c r="J43" i="27"/>
  <c r="J97" i="27"/>
  <c r="J84" i="27"/>
  <c r="J92" i="27"/>
  <c r="J94" i="27"/>
  <c r="I35" i="27"/>
  <c r="I101" i="27"/>
  <c r="I57" i="27"/>
  <c r="I96" i="27"/>
  <c r="J74" i="27"/>
  <c r="J79" i="27"/>
  <c r="J100" i="27"/>
  <c r="J39" i="27"/>
  <c r="J65" i="27"/>
  <c r="J29" i="27"/>
  <c r="J20" i="27"/>
  <c r="J91" i="27"/>
  <c r="J64" i="27"/>
  <c r="J23" i="27"/>
  <c r="J61" i="27"/>
  <c r="J46" i="27"/>
  <c r="J5" i="27"/>
  <c r="J76" i="27"/>
  <c r="J54" i="27"/>
  <c r="J83" i="27"/>
  <c r="J68" i="27"/>
  <c r="J78" i="27"/>
  <c r="J73" i="27"/>
  <c r="J44" i="27"/>
  <c r="J99" i="27"/>
  <c r="J101" i="27"/>
  <c r="J50" i="27"/>
  <c r="J102" i="27"/>
  <c r="J104" i="27"/>
  <c r="J40" i="27"/>
  <c r="J103" i="27"/>
  <c r="J85" i="27"/>
  <c r="J22" i="27"/>
  <c r="J75" i="27"/>
  <c r="J88" i="27"/>
  <c r="J18" i="27"/>
  <c r="J77" i="27"/>
  <c r="J17" i="27"/>
  <c r="J51" i="27"/>
  <c r="J19" i="27"/>
  <c r="J90" i="27"/>
  <c r="J28" i="27"/>
  <c r="J57" i="27"/>
  <c r="J80" i="27"/>
  <c r="J66" i="27"/>
  <c r="J93" i="27"/>
  <c r="J42" i="27"/>
  <c r="J25" i="27"/>
  <c r="J87" i="27"/>
  <c r="J41" i="27"/>
  <c r="J59" i="27"/>
  <c r="J38" i="27"/>
  <c r="J32" i="27"/>
  <c r="J27" i="27"/>
  <c r="K45" i="27"/>
  <c r="L26" i="27"/>
  <c r="M75" i="27"/>
  <c r="I13" i="27"/>
  <c r="I44" i="27"/>
  <c r="I89" i="27"/>
  <c r="I104" i="27"/>
  <c r="I77" i="27"/>
  <c r="I93" i="27"/>
  <c r="I70" i="27"/>
  <c r="I29" i="27"/>
  <c r="I75" i="27"/>
  <c r="I40" i="27"/>
  <c r="I37" i="27"/>
  <c r="L91" i="27"/>
  <c r="M56" i="27"/>
  <c r="M17" i="27"/>
  <c r="K9" i="27"/>
  <c r="L46" i="27"/>
  <c r="L12" i="27"/>
  <c r="M72" i="27"/>
  <c r="K37" i="27"/>
  <c r="M71" i="27"/>
  <c r="L75" i="27"/>
  <c r="L28" i="27"/>
  <c r="K81" i="27"/>
  <c r="K69" i="27"/>
  <c r="K92" i="27"/>
  <c r="K104" i="27"/>
  <c r="K82" i="27"/>
  <c r="K52" i="27"/>
  <c r="K78" i="27"/>
  <c r="K94" i="27"/>
  <c r="K55" i="27"/>
  <c r="K95" i="27"/>
  <c r="K68" i="27"/>
  <c r="K64" i="27"/>
  <c r="K11" i="27"/>
  <c r="M73" i="27"/>
  <c r="L71" i="27"/>
  <c r="M82" i="27"/>
  <c r="L66" i="27"/>
  <c r="K28" i="27"/>
  <c r="L34" i="27"/>
  <c r="M93" i="27"/>
  <c r="L90" i="27"/>
  <c r="M14" i="27"/>
  <c r="M38" i="27"/>
  <c r="M66" i="27"/>
  <c r="M34" i="27"/>
  <c r="L97" i="27"/>
  <c r="L14" i="27"/>
  <c r="M29" i="27"/>
  <c r="M11" i="27"/>
  <c r="M101" i="27"/>
  <c r="M81" i="27"/>
  <c r="K29" i="27"/>
  <c r="K19" i="27"/>
  <c r="I80" i="27"/>
  <c r="I15" i="27"/>
  <c r="I97" i="27"/>
  <c r="I8" i="27"/>
  <c r="I69" i="27"/>
  <c r="I45" i="27"/>
  <c r="I74" i="27"/>
  <c r="I32" i="27"/>
  <c r="I38" i="27"/>
  <c r="I82" i="27"/>
  <c r="I95" i="27"/>
  <c r="I21" i="27"/>
  <c r="I26" i="27"/>
  <c r="I62" i="27"/>
  <c r="I88" i="27"/>
  <c r="I68" i="27"/>
  <c r="I58" i="27"/>
  <c r="I91" i="27"/>
  <c r="I46" i="27"/>
  <c r="I23" i="27"/>
  <c r="I5" i="27"/>
  <c r="I24" i="27"/>
  <c r="I33" i="27"/>
  <c r="I54" i="27"/>
  <c r="I52" i="27"/>
  <c r="H97" i="27"/>
  <c r="H51" i="27"/>
  <c r="H8" i="27"/>
  <c r="H74" i="27"/>
  <c r="H72" i="27"/>
  <c r="H63" i="27"/>
  <c r="H57" i="27"/>
  <c r="H77" i="27"/>
  <c r="H80" i="27"/>
  <c r="H59" i="27"/>
  <c r="H53" i="27"/>
  <c r="H89" i="27"/>
  <c r="H21" i="27"/>
  <c r="H82" i="27"/>
  <c r="H7" i="27"/>
  <c r="H71" i="27"/>
  <c r="H85" i="27"/>
  <c r="H54" i="27"/>
  <c r="H30" i="27"/>
  <c r="H23" i="27"/>
  <c r="H29" i="27"/>
  <c r="H26" i="27"/>
  <c r="H9" i="27"/>
  <c r="H5" i="27"/>
  <c r="H56" i="27"/>
  <c r="I17" i="27"/>
  <c r="I25" i="27"/>
  <c r="I34" i="27"/>
  <c r="I28" i="27"/>
  <c r="I10" i="27"/>
  <c r="I63" i="27"/>
  <c r="I27" i="27"/>
  <c r="I84" i="27"/>
  <c r="I92" i="27"/>
  <c r="I103" i="27"/>
  <c r="I7" i="27"/>
  <c r="I31" i="27"/>
  <c r="I61" i="27"/>
  <c r="I53" i="27"/>
  <c r="I16" i="27"/>
  <c r="I22" i="27"/>
  <c r="I11" i="27"/>
  <c r="I30" i="27"/>
  <c r="I50" i="27"/>
  <c r="I98" i="27"/>
  <c r="I78" i="27"/>
  <c r="I73" i="27"/>
  <c r="I12" i="27"/>
  <c r="I56" i="27"/>
  <c r="I20" i="27"/>
  <c r="H27" i="27"/>
  <c r="H32" i="27"/>
  <c r="H25" i="27"/>
  <c r="H19" i="27"/>
  <c r="H84" i="27"/>
  <c r="H37" i="27"/>
  <c r="H17" i="27"/>
  <c r="H34" i="27"/>
  <c r="H87" i="27"/>
  <c r="H90" i="27"/>
  <c r="H75" i="27"/>
  <c r="H33" i="27"/>
  <c r="H36" i="27"/>
  <c r="H18" i="27"/>
  <c r="H65" i="27"/>
  <c r="H102" i="27"/>
  <c r="H6" i="27"/>
  <c r="H24" i="27"/>
  <c r="H12" i="27"/>
  <c r="H35" i="27"/>
  <c r="H13" i="27"/>
  <c r="H58" i="27"/>
  <c r="H73" i="27"/>
  <c r="H83" i="27"/>
  <c r="H47" i="27"/>
  <c r="G81" i="27"/>
  <c r="G90" i="27"/>
  <c r="G66" i="27"/>
  <c r="G38" i="27"/>
  <c r="G59" i="27"/>
  <c r="G10" i="27"/>
  <c r="G84" i="27"/>
  <c r="G25" i="27"/>
  <c r="G60" i="27"/>
  <c r="G77" i="27"/>
  <c r="G16" i="27"/>
  <c r="G49" i="27"/>
  <c r="G89" i="27"/>
  <c r="G104" i="27"/>
  <c r="G83" i="27"/>
  <c r="G54" i="27"/>
  <c r="G70" i="27"/>
  <c r="G7" i="27"/>
  <c r="G58" i="27"/>
  <c r="G100" i="27"/>
  <c r="G52" i="27"/>
  <c r="G102" i="27"/>
  <c r="G85" i="27"/>
  <c r="G29" i="27"/>
  <c r="G30" i="27"/>
  <c r="G72" i="27"/>
  <c r="G37" i="27"/>
  <c r="G41" i="27"/>
  <c r="G92" i="27"/>
  <c r="G55" i="27"/>
  <c r="G86" i="27"/>
  <c r="G94" i="27"/>
  <c r="G42" i="27"/>
  <c r="G87" i="27"/>
  <c r="G43" i="27"/>
  <c r="G68" i="27"/>
  <c r="G101" i="27"/>
  <c r="G82" i="27"/>
  <c r="G33" i="27"/>
  <c r="G50" i="27"/>
  <c r="G23" i="27"/>
  <c r="G64" i="27"/>
  <c r="G21" i="27"/>
  <c r="G12" i="27"/>
  <c r="G24" i="27"/>
  <c r="G20" i="27"/>
  <c r="G65" i="27"/>
  <c r="G6" i="27"/>
  <c r="G56" i="27"/>
  <c r="G78" i="27"/>
  <c r="L11" i="27"/>
  <c r="L35" i="27"/>
  <c r="M47" i="27"/>
  <c r="M95" i="27"/>
  <c r="M65" i="27"/>
  <c r="L104" i="27"/>
  <c r="M12" i="27"/>
  <c r="L82" i="27"/>
  <c r="L69" i="27"/>
  <c r="M57" i="27"/>
  <c r="H78" i="27"/>
  <c r="H91" i="27"/>
  <c r="H101" i="27"/>
  <c r="H100" i="27"/>
  <c r="H48" i="27"/>
  <c r="H67" i="27"/>
  <c r="H43" i="27"/>
  <c r="H104" i="27"/>
  <c r="H45" i="27"/>
  <c r="H92" i="27"/>
  <c r="H38" i="27"/>
  <c r="H42" i="27"/>
  <c r="H41" i="27"/>
  <c r="K100" i="27"/>
  <c r="K36" i="27"/>
  <c r="K96" i="27"/>
  <c r="G91" i="27"/>
  <c r="G39" i="27"/>
  <c r="G35" i="27"/>
  <c r="G36" i="27"/>
  <c r="G76" i="27"/>
  <c r="G22" i="27"/>
  <c r="G75" i="27"/>
  <c r="G62" i="27"/>
  <c r="G96" i="27"/>
  <c r="G32" i="27"/>
  <c r="G63" i="27"/>
  <c r="G19" i="27"/>
  <c r="G34" i="27"/>
  <c r="I48" i="27"/>
  <c r="I36" i="27"/>
  <c r="I9" i="27"/>
  <c r="I76" i="27"/>
  <c r="I83" i="27"/>
  <c r="I43" i="27"/>
  <c r="I65" i="27"/>
  <c r="I42" i="27"/>
  <c r="I41" i="27"/>
  <c r="I81" i="27"/>
  <c r="I72" i="27"/>
  <c r="I87" i="27"/>
  <c r="M78" i="27"/>
  <c r="M68" i="27"/>
  <c r="K85" i="27"/>
  <c r="L49" i="27"/>
  <c r="M100" i="27"/>
  <c r="L24" i="27"/>
  <c r="L79" i="27"/>
  <c r="L85" i="27"/>
  <c r="L43" i="27"/>
  <c r="M7" i="27"/>
  <c r="M25" i="27"/>
  <c r="L37" i="27"/>
  <c r="L41" i="27"/>
  <c r="H20" i="27"/>
  <c r="H64" i="27"/>
  <c r="H31" i="27"/>
  <c r="H22" i="27"/>
  <c r="H61" i="27"/>
  <c r="H46" i="27"/>
  <c r="H49" i="27"/>
  <c r="H40" i="27"/>
  <c r="H15" i="27"/>
  <c r="H28" i="27"/>
  <c r="H60" i="27"/>
  <c r="H14" i="27"/>
  <c r="H10" i="27"/>
  <c r="K16" i="27"/>
  <c r="K67" i="27"/>
  <c r="K15" i="27"/>
  <c r="G47" i="27"/>
  <c r="G67" i="27"/>
  <c r="G73" i="27"/>
  <c r="G31" i="27"/>
  <c r="G98" i="27"/>
  <c r="G46" i="27"/>
  <c r="G53" i="27"/>
  <c r="G103" i="27"/>
  <c r="G69" i="27"/>
  <c r="G51" i="27"/>
  <c r="G45" i="27"/>
  <c r="G74" i="27"/>
  <c r="G93" i="27"/>
  <c r="I85" i="27"/>
  <c r="I67" i="27"/>
  <c r="I99" i="27"/>
  <c r="I100" i="27"/>
  <c r="I39" i="27"/>
  <c r="I18" i="27"/>
  <c r="I102" i="27"/>
  <c r="I59" i="27"/>
  <c r="I86" i="27"/>
  <c r="I51" i="27"/>
  <c r="I66" i="27"/>
  <c r="I60" i="27"/>
  <c r="L5" i="27"/>
  <c r="M35" i="27"/>
  <c r="L23" i="27"/>
  <c r="M61" i="27"/>
  <c r="M36" i="27"/>
  <c r="M102" i="27"/>
  <c r="M79" i="27"/>
  <c r="L70" i="27"/>
  <c r="M54" i="27"/>
  <c r="M22" i="27"/>
  <c r="M30" i="27"/>
  <c r="M70" i="27"/>
  <c r="L98" i="27"/>
  <c r="L101" i="27"/>
  <c r="M39" i="27"/>
  <c r="M13" i="27"/>
  <c r="L20" i="27"/>
  <c r="M98" i="27"/>
  <c r="M49" i="27"/>
  <c r="M99" i="27"/>
  <c r="L36" i="27"/>
  <c r="L39" i="27"/>
  <c r="M33" i="27"/>
  <c r="L89" i="27"/>
  <c r="M88" i="27"/>
  <c r="L62" i="27"/>
  <c r="M6" i="27"/>
  <c r="L31" i="27"/>
  <c r="M104" i="27"/>
  <c r="L53" i="27"/>
  <c r="M43" i="27"/>
  <c r="M77" i="27"/>
  <c r="L38" i="27"/>
  <c r="L57" i="27"/>
  <c r="M32" i="27"/>
  <c r="L74" i="27"/>
  <c r="M42" i="27"/>
  <c r="L25" i="27"/>
  <c r="L8" i="27"/>
  <c r="L32" i="27"/>
  <c r="L27" i="27"/>
  <c r="L77" i="27"/>
  <c r="M45" i="27"/>
  <c r="M8" i="27"/>
  <c r="M96" i="27"/>
  <c r="L55" i="27"/>
  <c r="L45" i="27"/>
  <c r="L60" i="27"/>
  <c r="L96" i="27"/>
  <c r="M69" i="27"/>
  <c r="K70" i="27"/>
  <c r="K101" i="27"/>
  <c r="K79" i="27"/>
  <c r="K54" i="27"/>
  <c r="K7" i="27"/>
  <c r="K24" i="27"/>
  <c r="K47" i="27"/>
  <c r="K12" i="27"/>
  <c r="K49" i="27"/>
  <c r="K65" i="27"/>
  <c r="K43" i="27"/>
  <c r="K50" i="27"/>
  <c r="K46" i="27"/>
  <c r="K53" i="27"/>
  <c r="K88" i="27"/>
  <c r="K63" i="27"/>
  <c r="K8" i="27"/>
  <c r="K93" i="27"/>
  <c r="K38" i="27"/>
  <c r="K86" i="27"/>
  <c r="K60" i="27"/>
  <c r="K32" i="27"/>
  <c r="K77" i="27"/>
  <c r="K57" i="27"/>
  <c r="K97" i="27"/>
  <c r="L29" i="27"/>
  <c r="L64" i="27"/>
  <c r="L100" i="27"/>
  <c r="L99" i="27"/>
  <c r="M67" i="27"/>
  <c r="L7" i="27"/>
  <c r="L30" i="27"/>
  <c r="L56" i="27"/>
  <c r="L48" i="27"/>
  <c r="L44" i="27"/>
  <c r="M20" i="27"/>
  <c r="M76" i="27"/>
  <c r="L54" i="27"/>
  <c r="L6" i="27"/>
  <c r="L33" i="27"/>
  <c r="L78" i="27"/>
  <c r="L47" i="27"/>
  <c r="M23" i="27"/>
  <c r="L67" i="27"/>
  <c r="M58" i="27"/>
  <c r="M50" i="27"/>
  <c r="M21" i="27"/>
  <c r="M16" i="27"/>
  <c r="M53" i="27"/>
  <c r="M89" i="27"/>
  <c r="L103" i="27"/>
  <c r="L83" i="27"/>
  <c r="M46" i="27"/>
  <c r="L88" i="27"/>
  <c r="M103" i="27"/>
  <c r="L95" i="27"/>
  <c r="L42" i="27"/>
  <c r="M28" i="27"/>
  <c r="M94" i="27"/>
  <c r="M51" i="27"/>
  <c r="M97" i="27"/>
  <c r="L59" i="27"/>
  <c r="M15" i="27"/>
  <c r="L94" i="27"/>
  <c r="L51" i="27"/>
  <c r="L19" i="27"/>
  <c r="M90" i="27"/>
  <c r="L92" i="27"/>
  <c r="M80" i="27"/>
  <c r="L86" i="27"/>
  <c r="L93" i="27"/>
  <c r="M92" i="27"/>
  <c r="L17" i="27"/>
  <c r="M86" i="27"/>
  <c r="M19" i="27"/>
  <c r="K13" i="27"/>
  <c r="K73" i="27"/>
  <c r="K6" i="27"/>
  <c r="K35" i="27"/>
  <c r="K83" i="27"/>
  <c r="K30" i="27"/>
  <c r="K48" i="27"/>
  <c r="K56" i="27"/>
  <c r="K61" i="27"/>
  <c r="K31" i="27"/>
  <c r="K40" i="27"/>
  <c r="K99" i="27"/>
  <c r="K71" i="27"/>
  <c r="K33" i="27"/>
  <c r="K62" i="27"/>
  <c r="K89" i="27"/>
  <c r="K25" i="27"/>
  <c r="K10" i="27"/>
  <c r="K59" i="27"/>
  <c r="K72" i="27"/>
  <c r="K74" i="27"/>
  <c r="K17" i="27"/>
  <c r="K51" i="27"/>
  <c r="K90" i="27"/>
  <c r="K84" i="27"/>
  <c r="L52" i="27"/>
  <c r="L76" i="27"/>
  <c r="M48" i="27"/>
  <c r="L58" i="27"/>
  <c r="L21" i="27"/>
  <c r="L13" i="27"/>
  <c r="M52" i="27"/>
  <c r="M24" i="27"/>
  <c r="L50" i="27"/>
  <c r="L68" i="27"/>
  <c r="M91" i="27"/>
  <c r="L73" i="27"/>
  <c r="M9" i="27"/>
  <c r="M85" i="27"/>
  <c r="L65" i="27"/>
  <c r="M5" i="27"/>
  <c r="M64" i="27"/>
  <c r="L9" i="27"/>
  <c r="M31" i="27"/>
  <c r="M26" i="27"/>
  <c r="M83" i="27"/>
  <c r="M44" i="27"/>
  <c r="L102" i="27"/>
  <c r="M62" i="27"/>
  <c r="M40" i="27"/>
  <c r="L61" i="27"/>
  <c r="L22" i="27"/>
  <c r="L16" i="27"/>
  <c r="L40" i="27"/>
  <c r="L18" i="27"/>
  <c r="M18" i="27"/>
  <c r="M63" i="27"/>
  <c r="M60" i="27"/>
  <c r="M84" i="27"/>
  <c r="M27" i="27"/>
  <c r="M55" i="27"/>
  <c r="L63" i="27"/>
  <c r="L87" i="27"/>
  <c r="L84" i="27"/>
  <c r="M41" i="27"/>
  <c r="M74" i="27"/>
  <c r="M59" i="27"/>
  <c r="L15" i="27"/>
  <c r="L81" i="27"/>
  <c r="L10" i="27"/>
  <c r="M37" i="27"/>
  <c r="M87" i="27"/>
  <c r="L80" i="27"/>
  <c r="M10" i="27"/>
  <c r="K5" i="27"/>
  <c r="K23" i="27"/>
  <c r="K22" i="27"/>
  <c r="K76" i="27"/>
  <c r="K21" i="27"/>
  <c r="K91" i="27"/>
  <c r="K20" i="27"/>
  <c r="K98" i="27"/>
  <c r="K58" i="27"/>
  <c r="K44" i="27"/>
  <c r="K103" i="27"/>
  <c r="K26" i="27"/>
  <c r="K39" i="27"/>
  <c r="K102" i="27"/>
  <c r="K18" i="27"/>
  <c r="K75" i="27"/>
  <c r="K87" i="27"/>
  <c r="K66" i="27"/>
  <c r="K14" i="27"/>
  <c r="K41" i="27"/>
  <c r="K34" i="27"/>
  <c r="K80" i="27"/>
  <c r="K27" i="27"/>
  <c r="K42" i="27"/>
  <c r="F76" i="27"/>
  <c r="F101" i="27"/>
  <c r="F52" i="27"/>
  <c r="F100" i="27"/>
  <c r="F29" i="27"/>
  <c r="F54" i="27"/>
  <c r="F30" i="27"/>
  <c r="F58" i="27"/>
  <c r="F6" i="27"/>
  <c r="F39" i="27"/>
  <c r="F7" i="27"/>
  <c r="F62" i="27"/>
  <c r="F67" i="27"/>
  <c r="F95" i="27"/>
  <c r="F75" i="27"/>
  <c r="F42" i="27"/>
  <c r="F94" i="27"/>
  <c r="F69" i="27"/>
  <c r="F25" i="27"/>
  <c r="F77" i="27"/>
  <c r="F84" i="27"/>
  <c r="F74" i="27"/>
  <c r="F92" i="27"/>
  <c r="F8" i="27"/>
  <c r="F27" i="27"/>
  <c r="F5" i="27"/>
  <c r="F98" i="27"/>
  <c r="F71" i="27"/>
  <c r="F64" i="27"/>
  <c r="F11" i="27"/>
  <c r="F79" i="27"/>
  <c r="F49" i="27"/>
  <c r="F47" i="27"/>
  <c r="F83" i="27"/>
  <c r="F36" i="27"/>
  <c r="F21" i="27"/>
  <c r="F53" i="27"/>
  <c r="F43" i="27"/>
  <c r="F31" i="27"/>
  <c r="F89" i="27"/>
  <c r="F103" i="27"/>
  <c r="F45" i="27"/>
  <c r="F81" i="27"/>
  <c r="F34" i="27"/>
  <c r="F87" i="27"/>
  <c r="F37" i="27"/>
  <c r="F72" i="27"/>
  <c r="F55" i="27"/>
  <c r="F15" i="27"/>
  <c r="F41" i="27"/>
  <c r="F20" i="27"/>
  <c r="F23" i="27"/>
  <c r="F22" i="27"/>
  <c r="F56" i="27"/>
  <c r="F85" i="27"/>
  <c r="F91" i="27"/>
  <c r="F13" i="27"/>
  <c r="F24" i="27"/>
  <c r="F44" i="27"/>
  <c r="F50" i="27"/>
  <c r="F46" i="27"/>
  <c r="F82" i="27"/>
  <c r="F61" i="27"/>
  <c r="F68" i="27"/>
  <c r="F40" i="27"/>
  <c r="F18" i="27"/>
  <c r="F17" i="27"/>
  <c r="F32" i="27"/>
  <c r="F97" i="27"/>
  <c r="F38" i="27"/>
  <c r="F63" i="27"/>
  <c r="F51" i="27"/>
  <c r="F93" i="27"/>
  <c r="F28" i="27"/>
  <c r="E55" i="27"/>
  <c r="E74" i="27"/>
  <c r="E51" i="27"/>
  <c r="E84" i="27"/>
  <c r="E57" i="27"/>
  <c r="E38" i="27"/>
  <c r="E63" i="27"/>
  <c r="E59" i="27"/>
  <c r="E77" i="27"/>
  <c r="E97" i="27"/>
  <c r="E27" i="27"/>
  <c r="E86" i="27"/>
  <c r="E32" i="27"/>
  <c r="E94" i="27"/>
  <c r="E17" i="27"/>
  <c r="E28" i="27"/>
  <c r="E87" i="27"/>
  <c r="E25" i="27"/>
  <c r="E42" i="27"/>
  <c r="E34" i="27"/>
  <c r="E69" i="27"/>
  <c r="E10" i="27"/>
  <c r="E96" i="27"/>
  <c r="E81" i="27"/>
  <c r="E80" i="27"/>
  <c r="E60" i="27"/>
  <c r="E45" i="27"/>
  <c r="E90" i="27"/>
  <c r="E93" i="27"/>
  <c r="E19" i="27"/>
  <c r="E66" i="27"/>
  <c r="E41" i="27"/>
  <c r="E72" i="27"/>
  <c r="E8" i="27"/>
  <c r="E15" i="27"/>
  <c r="E92" i="27"/>
  <c r="E14" i="27"/>
  <c r="E37" i="27"/>
  <c r="E43" i="27"/>
  <c r="E62" i="27"/>
  <c r="E89" i="27"/>
  <c r="E88" i="27"/>
  <c r="E65" i="27"/>
  <c r="E39" i="27"/>
  <c r="E83" i="27"/>
  <c r="E50" i="27"/>
  <c r="E85" i="27"/>
  <c r="E58" i="27"/>
  <c r="E99" i="27"/>
  <c r="E82" i="27"/>
  <c r="E18" i="27"/>
  <c r="E53" i="27"/>
  <c r="E104" i="27"/>
  <c r="E103" i="27"/>
  <c r="E75" i="27"/>
  <c r="E40" i="27"/>
  <c r="E95" i="27"/>
  <c r="E31" i="27"/>
  <c r="E22" i="27"/>
  <c r="E71" i="27"/>
  <c r="E49" i="27"/>
  <c r="E6" i="27"/>
  <c r="E101" i="27"/>
  <c r="E61" i="27"/>
  <c r="E7" i="27"/>
  <c r="E46" i="27"/>
  <c r="E21" i="27"/>
  <c r="E36" i="27"/>
  <c r="E100" i="27"/>
  <c r="E73" i="27"/>
  <c r="E35" i="27"/>
  <c r="E91" i="27"/>
  <c r="E52" i="27"/>
  <c r="E29" i="27"/>
  <c r="E102" i="27"/>
  <c r="E16" i="27"/>
  <c r="E67" i="27"/>
  <c r="E11" i="27"/>
  <c r="E48" i="27"/>
  <c r="E56" i="27"/>
  <c r="E64" i="27"/>
  <c r="E33" i="27"/>
  <c r="E12" i="27"/>
  <c r="E23" i="27"/>
  <c r="E98" i="27"/>
  <c r="E76" i="27"/>
  <c r="E47" i="27"/>
  <c r="E20" i="27"/>
  <c r="E5" i="27"/>
  <c r="E78" i="27"/>
  <c r="E68" i="27"/>
  <c r="E44" i="27"/>
  <c r="E26" i="27"/>
  <c r="E9" i="27"/>
  <c r="E54" i="27"/>
  <c r="E24" i="27"/>
  <c r="E70" i="27"/>
  <c r="E30" i="27"/>
  <c r="E79" i="27"/>
  <c r="E13" i="27"/>
  <c r="F35" i="27"/>
  <c r="F48" i="27"/>
  <c r="F33" i="27"/>
  <c r="F73" i="27"/>
  <c r="F16" i="27"/>
  <c r="F70" i="27"/>
  <c r="F78" i="27"/>
  <c r="F9" i="27"/>
  <c r="F99" i="27"/>
  <c r="F12" i="27"/>
  <c r="F65" i="27"/>
  <c r="F88" i="27"/>
  <c r="F26" i="27"/>
  <c r="F102" i="27"/>
  <c r="F104" i="27"/>
  <c r="F90" i="27"/>
  <c r="F80" i="27"/>
  <c r="F86" i="27"/>
  <c r="F59" i="27"/>
  <c r="F19" i="27"/>
  <c r="F57" i="27"/>
  <c r="F10" i="27"/>
  <c r="F14" i="27"/>
  <c r="F60" i="27"/>
  <c r="F66" i="27"/>
  <c r="R5" i="27"/>
  <c r="R6" i="27" s="1"/>
  <c r="R7" i="27" s="1"/>
  <c r="R8" i="27" s="1"/>
  <c r="R9" i="27" s="1"/>
  <c r="R10" i="27" s="1"/>
  <c r="R11" i="27" s="1"/>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R33" i="27" s="1"/>
  <c r="R34" i="27" s="1"/>
  <c r="R35" i="27" s="1"/>
  <c r="R36" i="27" s="1"/>
  <c r="R37" i="27" s="1"/>
  <c r="R38" i="27" s="1"/>
  <c r="R39" i="27" s="1"/>
  <c r="R40" i="27" s="1"/>
  <c r="R41" i="27" s="1"/>
  <c r="R42" i="27" s="1"/>
  <c r="R43" i="27" s="1"/>
  <c r="R44" i="27" s="1"/>
  <c r="R45" i="27" s="1"/>
  <c r="R46" i="27" s="1"/>
  <c r="R47" i="27" s="1"/>
  <c r="R48" i="27" s="1"/>
  <c r="R49" i="27" s="1"/>
  <c r="R50" i="27" s="1"/>
  <c r="R51" i="27" s="1"/>
  <c r="R52" i="27" s="1"/>
  <c r="R53" i="27" s="1"/>
  <c r="R54" i="27" s="1"/>
  <c r="R55" i="27" s="1"/>
  <c r="R56" i="27" s="1"/>
  <c r="R57" i="27" s="1"/>
  <c r="R58" i="27" s="1"/>
  <c r="R59" i="27" s="1"/>
  <c r="R60" i="27" s="1"/>
  <c r="R61" i="27" s="1"/>
  <c r="R62" i="27" s="1"/>
  <c r="R63" i="27" s="1"/>
  <c r="R64" i="27" s="1"/>
  <c r="R65" i="27" s="1"/>
  <c r="R66" i="27" s="1"/>
  <c r="R67" i="27" s="1"/>
  <c r="R68" i="27" s="1"/>
  <c r="R69" i="27" s="1"/>
  <c r="R70" i="27" s="1"/>
  <c r="R71" i="27" s="1"/>
  <c r="R72" i="27" s="1"/>
  <c r="R73" i="27" s="1"/>
  <c r="R74" i="27" s="1"/>
  <c r="R75" i="27" s="1"/>
  <c r="R76" i="27" s="1"/>
  <c r="R77" i="27" s="1"/>
  <c r="R78" i="27" s="1"/>
  <c r="R79" i="27" s="1"/>
  <c r="R80" i="27" s="1"/>
  <c r="R81" i="27" s="1"/>
  <c r="R82" i="27" s="1"/>
  <c r="R83" i="27" s="1"/>
  <c r="R84" i="27" s="1"/>
  <c r="R85" i="27" s="1"/>
  <c r="R86" i="27" s="1"/>
  <c r="R87" i="27" s="1"/>
  <c r="R88" i="27" s="1"/>
  <c r="R89" i="27" s="1"/>
  <c r="R90" i="27" s="1"/>
  <c r="R91" i="27" s="1"/>
  <c r="R92" i="27" s="1"/>
  <c r="R93" i="27" s="1"/>
  <c r="R94" i="27" s="1"/>
  <c r="R95" i="27" s="1"/>
  <c r="R96" i="27" s="1"/>
  <c r="R97" i="27" s="1"/>
  <c r="R98" i="27" s="1"/>
  <c r="R99" i="27" s="1"/>
  <c r="R100" i="27" s="1"/>
  <c r="R101" i="27" s="1"/>
  <c r="R102" i="27" s="1"/>
  <c r="R103" i="27" s="1"/>
  <c r="R104" i="27" s="1"/>
  <c r="O5" i="27"/>
  <c r="O6" i="27" s="1"/>
  <c r="O7" i="27" s="1"/>
  <c r="O8" i="27" s="1"/>
  <c r="O9" i="27" s="1"/>
  <c r="O10" i="27" s="1"/>
  <c r="O11" i="27" s="1"/>
  <c r="O12" i="27" s="1"/>
  <c r="O13" i="27" s="1"/>
  <c r="O14" i="27" s="1"/>
  <c r="O15" i="27" s="1"/>
  <c r="O16" i="27" s="1"/>
  <c r="O17" i="27" s="1"/>
  <c r="O18" i="27" s="1"/>
  <c r="O19" i="27" s="1"/>
  <c r="O20" i="27" s="1"/>
  <c r="O21" i="27" s="1"/>
  <c r="O22" i="27" s="1"/>
  <c r="O23" i="27" s="1"/>
  <c r="O24" i="27" s="1"/>
  <c r="O25" i="27" s="1"/>
  <c r="O26" i="27" s="1"/>
  <c r="O27" i="27" s="1"/>
  <c r="O28" i="27" s="1"/>
  <c r="O29" i="27" s="1"/>
  <c r="O30" i="27" s="1"/>
  <c r="O31" i="27" s="1"/>
  <c r="O32" i="27" s="1"/>
  <c r="O33" i="27" s="1"/>
  <c r="O34" i="27" s="1"/>
  <c r="O35" i="27" s="1"/>
  <c r="O36" i="27" s="1"/>
  <c r="O37" i="27" s="1"/>
  <c r="O38" i="27" s="1"/>
  <c r="O39" i="27" s="1"/>
  <c r="O40" i="27" s="1"/>
  <c r="O41" i="27" s="1"/>
  <c r="O42" i="27" s="1"/>
  <c r="O43" i="27" s="1"/>
  <c r="O44" i="27" s="1"/>
  <c r="O45" i="27" s="1"/>
  <c r="O46" i="27" s="1"/>
  <c r="O47" i="27" s="1"/>
  <c r="O48" i="27" s="1"/>
  <c r="O49" i="27" s="1"/>
  <c r="O50" i="27" s="1"/>
  <c r="O51" i="27" s="1"/>
  <c r="O52" i="27" s="1"/>
  <c r="O53" i="27" s="1"/>
  <c r="O54" i="27" s="1"/>
  <c r="O55" i="27" s="1"/>
  <c r="O56" i="27" s="1"/>
  <c r="O57" i="27" s="1"/>
  <c r="O58" i="27" s="1"/>
  <c r="O59" i="27" s="1"/>
  <c r="O60" i="27" s="1"/>
  <c r="O61" i="27" s="1"/>
  <c r="O62" i="27" s="1"/>
  <c r="O63" i="27" s="1"/>
  <c r="O64" i="27" s="1"/>
  <c r="O65" i="27" s="1"/>
  <c r="O66" i="27" s="1"/>
  <c r="O67" i="27" s="1"/>
  <c r="O68" i="27" s="1"/>
  <c r="O69" i="27" s="1"/>
  <c r="O70" i="27" s="1"/>
  <c r="O71" i="27" s="1"/>
  <c r="O72" i="27" s="1"/>
  <c r="O73" i="27" s="1"/>
  <c r="O74" i="27" s="1"/>
  <c r="O75" i="27" s="1"/>
  <c r="O76" i="27" s="1"/>
  <c r="O77" i="27" s="1"/>
  <c r="O78" i="27" s="1"/>
  <c r="O79" i="27" s="1"/>
  <c r="O80" i="27" s="1"/>
  <c r="O81" i="27" s="1"/>
  <c r="O82" i="27" s="1"/>
  <c r="O83" i="27" s="1"/>
  <c r="O84" i="27" s="1"/>
  <c r="O85" i="27" s="1"/>
  <c r="O86" i="27" s="1"/>
  <c r="O87" i="27" s="1"/>
  <c r="O88" i="27" s="1"/>
  <c r="O89" i="27" s="1"/>
  <c r="O90" i="27" s="1"/>
  <c r="O91" i="27" s="1"/>
  <c r="O92" i="27" s="1"/>
  <c r="O93" i="27" s="1"/>
  <c r="O94" i="27" s="1"/>
  <c r="O95" i="27" s="1"/>
  <c r="O96" i="27" s="1"/>
  <c r="O97" i="27" s="1"/>
  <c r="O98" i="27" s="1"/>
  <c r="O99" i="27" s="1"/>
  <c r="O100" i="27" s="1"/>
  <c r="O101" i="27" s="1"/>
  <c r="O102" i="27" s="1"/>
  <c r="O103" i="27" s="1"/>
  <c r="O104" i="27" s="1"/>
  <c r="AF114" i="6"/>
  <c r="AD101" i="6"/>
  <c r="AL17" i="6"/>
  <c r="AL11" i="6"/>
  <c r="AL7" i="6"/>
  <c r="AL14" i="6"/>
  <c r="AL8" i="6"/>
  <c r="AF106" i="6"/>
  <c r="AE106" i="20" s="1"/>
  <c r="AO18" i="6"/>
  <c r="AO6" i="6" s="1"/>
  <c r="AN6" i="6"/>
  <c r="AC264" i="5"/>
  <c r="AF108" i="6"/>
  <c r="AK14" i="6"/>
  <c r="AK17" i="6"/>
  <c r="AK8" i="6"/>
  <c r="AK11" i="6"/>
  <c r="AK7" i="6"/>
  <c r="AD264" i="5"/>
  <c r="AE264" i="5"/>
  <c r="AE108" i="20"/>
  <c r="AE102" i="20"/>
  <c r="Y264" i="5"/>
  <c r="AF100" i="6" s="1"/>
  <c r="I102" i="20"/>
  <c r="AB254" i="5"/>
  <c r="AA254" i="5"/>
  <c r="AF253" i="5"/>
  <c r="AA253" i="5"/>
  <c r="AB253" i="5"/>
  <c r="AF254" i="5"/>
  <c r="L113" i="6" s="1"/>
  <c r="Z254" i="5"/>
  <c r="L102" i="6" s="1"/>
  <c r="H173" i="20"/>
  <c r="AC18" i="20"/>
  <c r="J72" i="20"/>
  <c r="I167" i="20"/>
  <c r="I173" i="20" s="1"/>
  <c r="S256" i="5"/>
  <c r="AE113" i="20"/>
  <c r="AF114" i="20" s="1"/>
  <c r="AA23" i="20"/>
  <c r="P255" i="5"/>
  <c r="H172" i="20"/>
  <c r="F56" i="10"/>
  <c r="F53" i="10" s="1"/>
  <c r="F59" i="10" s="1"/>
  <c r="K71" i="20"/>
  <c r="L71" i="20" s="1"/>
  <c r="O71" i="20"/>
  <c r="P71" i="20" s="1"/>
  <c r="E64" i="10"/>
  <c r="G55" i="10"/>
  <c r="G52" i="10" s="1"/>
  <c r="G58" i="10" s="1"/>
  <c r="W91" i="27" l="1"/>
  <c r="W92" i="27"/>
  <c r="W103" i="27"/>
  <c r="W94" i="27"/>
  <c r="W97" i="27"/>
  <c r="W84" i="27"/>
  <c r="W88" i="27"/>
  <c r="W90" i="27"/>
  <c r="W86" i="27"/>
  <c r="W98" i="27"/>
  <c r="W102" i="27"/>
  <c r="W100" i="27"/>
  <c r="W101" i="27"/>
  <c r="W95" i="27"/>
  <c r="W104" i="27"/>
  <c r="W99" i="27"/>
  <c r="W85" i="27"/>
  <c r="W89" i="27"/>
  <c r="W93" i="27"/>
  <c r="W96" i="27"/>
  <c r="W87" i="27"/>
  <c r="W82" i="27"/>
  <c r="W30" i="27"/>
  <c r="W76" i="27"/>
  <c r="W31" i="27"/>
  <c r="W50" i="27"/>
  <c r="W37" i="27"/>
  <c r="W52" i="27"/>
  <c r="W83" i="27"/>
  <c r="W44" i="27"/>
  <c r="W40" i="27"/>
  <c r="W70" i="27"/>
  <c r="W5" i="27"/>
  <c r="W67" i="27"/>
  <c r="W7" i="27"/>
  <c r="W49" i="27"/>
  <c r="W24" i="27"/>
  <c r="W20" i="27"/>
  <c r="W36" i="27"/>
  <c r="W61" i="27"/>
  <c r="W71" i="27"/>
  <c r="W62" i="27"/>
  <c r="W41" i="27"/>
  <c r="W54" i="27"/>
  <c r="W68" i="27"/>
  <c r="W21" i="27"/>
  <c r="W9" i="27"/>
  <c r="W78" i="27"/>
  <c r="W33" i="27"/>
  <c r="W11" i="27"/>
  <c r="W29" i="27"/>
  <c r="W73" i="27"/>
  <c r="W46" i="27"/>
  <c r="W6" i="27"/>
  <c r="W8" i="27"/>
  <c r="W19" i="27"/>
  <c r="W60" i="27"/>
  <c r="W10" i="27"/>
  <c r="W25" i="27"/>
  <c r="W38" i="27"/>
  <c r="W74" i="27"/>
  <c r="W26" i="27"/>
  <c r="W64" i="27"/>
  <c r="W14" i="27"/>
  <c r="W72" i="27"/>
  <c r="W80" i="27"/>
  <c r="W69" i="27"/>
  <c r="W32" i="27"/>
  <c r="W77" i="27"/>
  <c r="W57" i="27"/>
  <c r="W55" i="27"/>
  <c r="W13" i="27"/>
  <c r="W23" i="27"/>
  <c r="W56" i="27"/>
  <c r="W16" i="27"/>
  <c r="W53" i="27"/>
  <c r="W58" i="27"/>
  <c r="W39" i="27"/>
  <c r="W81" i="27"/>
  <c r="W34" i="27"/>
  <c r="W28" i="27"/>
  <c r="W59" i="27"/>
  <c r="W79" i="27"/>
  <c r="W47" i="27"/>
  <c r="W12" i="27"/>
  <c r="W48" i="27"/>
  <c r="W35" i="27"/>
  <c r="W22" i="27"/>
  <c r="W75" i="27"/>
  <c r="W18" i="27"/>
  <c r="W65" i="27"/>
  <c r="W43" i="27"/>
  <c r="W15" i="27"/>
  <c r="W66" i="27"/>
  <c r="W45" i="27"/>
  <c r="W42" i="27"/>
  <c r="W17" i="27"/>
  <c r="W27" i="27"/>
  <c r="W63" i="27"/>
  <c r="W51" i="27"/>
  <c r="J113" i="6"/>
  <c r="L106" i="6"/>
  <c r="K106" i="20" s="1"/>
  <c r="AD253" i="5"/>
  <c r="J108" i="6"/>
  <c r="I108" i="20" s="1"/>
  <c r="AD254" i="5"/>
  <c r="L108" i="6"/>
  <c r="K108" i="20" s="1"/>
  <c r="J106" i="6"/>
  <c r="I106" i="20" s="1"/>
  <c r="AQ18" i="6"/>
  <c r="AE18" i="20" s="1"/>
  <c r="AF115" i="6"/>
  <c r="AF116" i="6" s="1"/>
  <c r="AN14" i="6"/>
  <c r="AN11" i="6"/>
  <c r="AN8" i="6"/>
  <c r="AN7" i="6"/>
  <c r="AN17" i="6"/>
  <c r="AO14" i="6"/>
  <c r="AO11" i="6"/>
  <c r="AO7" i="6"/>
  <c r="AO8" i="6"/>
  <c r="AO17" i="6"/>
  <c r="AF109" i="6"/>
  <c r="AF107" i="6"/>
  <c r="AF103" i="6"/>
  <c r="K102" i="20"/>
  <c r="Y254" i="5"/>
  <c r="L100" i="6" s="1"/>
  <c r="L114" i="6" s="1"/>
  <c r="Y253" i="5"/>
  <c r="J100" i="6" s="1"/>
  <c r="AE253" i="5"/>
  <c r="AE254" i="5"/>
  <c r="AC254" i="5"/>
  <c r="AB255" i="5"/>
  <c r="AA255" i="5"/>
  <c r="AC253" i="5"/>
  <c r="AF255" i="5"/>
  <c r="N113" i="6" s="1"/>
  <c r="Z255" i="5"/>
  <c r="N102" i="6" s="1"/>
  <c r="I171" i="20"/>
  <c r="I172" i="20" s="1"/>
  <c r="AC6" i="20"/>
  <c r="AE100" i="20"/>
  <c r="L72" i="20"/>
  <c r="P72" i="20"/>
  <c r="J167" i="20"/>
  <c r="J173" i="20" s="1"/>
  <c r="S257" i="5"/>
  <c r="AC23" i="20"/>
  <c r="P256" i="5"/>
  <c r="K113" i="20"/>
  <c r="L114" i="20" s="1"/>
  <c r="F64" i="10"/>
  <c r="H55" i="10"/>
  <c r="H52" i="10" s="1"/>
  <c r="H58" i="10" s="1"/>
  <c r="T265" i="5"/>
  <c r="C37" i="35" l="1"/>
  <c r="C38" i="35" s="1"/>
  <c r="N106" i="6"/>
  <c r="M106" i="20" s="1"/>
  <c r="J107" i="6"/>
  <c r="J109" i="6"/>
  <c r="AD255" i="5"/>
  <c r="N108" i="6"/>
  <c r="J18" i="6"/>
  <c r="I18" i="20" s="1"/>
  <c r="J115" i="6"/>
  <c r="J116" i="6" s="1"/>
  <c r="J103" i="6"/>
  <c r="J114" i="6"/>
  <c r="M18" i="6"/>
  <c r="L115" i="6"/>
  <c r="L116" i="6" s="1"/>
  <c r="L109" i="6"/>
  <c r="L107" i="6"/>
  <c r="I113" i="20"/>
  <c r="J114" i="20" s="1"/>
  <c r="L103" i="6"/>
  <c r="AR18" i="6"/>
  <c r="AR6" i="6" s="1"/>
  <c r="AQ6" i="6"/>
  <c r="AE6" i="20" s="1"/>
  <c r="I100" i="20"/>
  <c r="M102" i="20"/>
  <c r="Y255" i="5"/>
  <c r="N100" i="6" s="1"/>
  <c r="N114" i="6" s="1"/>
  <c r="AC255" i="5"/>
  <c r="AE255" i="5"/>
  <c r="AB256" i="5"/>
  <c r="AA256" i="5"/>
  <c r="AF256" i="5"/>
  <c r="P113" i="6" s="1"/>
  <c r="Z256" i="5"/>
  <c r="P102" i="6" s="1"/>
  <c r="G56" i="10"/>
  <c r="G53" i="10" s="1"/>
  <c r="G59" i="10" s="1"/>
  <c r="J171" i="20"/>
  <c r="J172" i="20" s="1"/>
  <c r="K100" i="20"/>
  <c r="K167" i="20"/>
  <c r="K171" i="20" s="1"/>
  <c r="M113" i="20"/>
  <c r="N114" i="20" s="1"/>
  <c r="P257" i="5"/>
  <c r="S258" i="5"/>
  <c r="G64" i="10"/>
  <c r="I55" i="10"/>
  <c r="I52" i="10" s="1"/>
  <c r="I58" i="10" s="1"/>
  <c r="N109" i="6" l="1"/>
  <c r="AD256" i="5"/>
  <c r="P108" i="6"/>
  <c r="O108" i="20" s="1"/>
  <c r="L101" i="6"/>
  <c r="J101" i="6"/>
  <c r="N107" i="6"/>
  <c r="P106" i="6"/>
  <c r="O106" i="20" s="1"/>
  <c r="M108" i="20"/>
  <c r="P18" i="6"/>
  <c r="N115" i="6"/>
  <c r="N116" i="6" s="1"/>
  <c r="N18" i="6"/>
  <c r="N6" i="6" s="1"/>
  <c r="M6" i="6"/>
  <c r="K18" i="6"/>
  <c r="K6" i="6" s="1"/>
  <c r="J6" i="6"/>
  <c r="I6" i="20" s="1"/>
  <c r="N103" i="6"/>
  <c r="AQ14" i="6"/>
  <c r="AQ17" i="6"/>
  <c r="AQ8" i="6"/>
  <c r="AQ7" i="6"/>
  <c r="AQ11" i="6"/>
  <c r="AR14" i="6"/>
  <c r="AR7" i="6"/>
  <c r="AR17" i="6"/>
  <c r="AR11" i="6"/>
  <c r="AR8" i="6"/>
  <c r="O102" i="20"/>
  <c r="Y256" i="5"/>
  <c r="AC256" i="5"/>
  <c r="AE256" i="5"/>
  <c r="AB257" i="5"/>
  <c r="AA257" i="5"/>
  <c r="S265" i="5"/>
  <c r="H56" i="10"/>
  <c r="H53" i="10" s="1"/>
  <c r="H59" i="10" s="1"/>
  <c r="AF257" i="5"/>
  <c r="R113" i="6" s="1"/>
  <c r="Z257" i="5"/>
  <c r="R102" i="6" s="1"/>
  <c r="K18" i="20"/>
  <c r="M100" i="20"/>
  <c r="K173" i="20"/>
  <c r="L167" i="20"/>
  <c r="L171" i="20" s="1"/>
  <c r="P258" i="5"/>
  <c r="O113" i="20"/>
  <c r="P114" i="20" s="1"/>
  <c r="AE23" i="20"/>
  <c r="K172" i="20"/>
  <c r="I56" i="10"/>
  <c r="I53" i="10" s="1"/>
  <c r="I59" i="10" s="1"/>
  <c r="H64" i="10"/>
  <c r="J55" i="10"/>
  <c r="J52" i="10" s="1"/>
  <c r="J58" i="10" s="1"/>
  <c r="N101" i="6" l="1"/>
  <c r="M7" i="6"/>
  <c r="M8" i="6"/>
  <c r="M17" i="6"/>
  <c r="M14" i="6"/>
  <c r="M11" i="6"/>
  <c r="AC257" i="5"/>
  <c r="R108" i="6"/>
  <c r="Q108" i="20" s="1"/>
  <c r="P100" i="6"/>
  <c r="O100" i="20" s="1"/>
  <c r="N7" i="6"/>
  <c r="N8" i="6"/>
  <c r="N14" i="6"/>
  <c r="N17" i="6"/>
  <c r="N11" i="6"/>
  <c r="R106" i="6"/>
  <c r="Q106" i="20" s="1"/>
  <c r="J7" i="6"/>
  <c r="J8" i="6"/>
  <c r="J17" i="6"/>
  <c r="J14" i="6"/>
  <c r="J11" i="6"/>
  <c r="Q18" i="6"/>
  <c r="K7" i="6"/>
  <c r="K8" i="6"/>
  <c r="K17" i="6"/>
  <c r="K14" i="6"/>
  <c r="K11" i="6"/>
  <c r="Q102" i="20"/>
  <c r="Y257" i="5"/>
  <c r="R100" i="6" s="1"/>
  <c r="AD257" i="5"/>
  <c r="AE257" i="5"/>
  <c r="AB258" i="5"/>
  <c r="AA258" i="5"/>
  <c r="AF258" i="5"/>
  <c r="T113" i="6" s="1"/>
  <c r="Z258" i="5"/>
  <c r="T102" i="6" s="1"/>
  <c r="L173" i="20"/>
  <c r="K6" i="20"/>
  <c r="M18" i="20"/>
  <c r="P265" i="5"/>
  <c r="Q113" i="20"/>
  <c r="R114" i="20" s="1"/>
  <c r="K23" i="20"/>
  <c r="L172" i="20"/>
  <c r="J56" i="10"/>
  <c r="J53" i="10" s="1"/>
  <c r="J59" i="10" s="1"/>
  <c r="I23" i="20"/>
  <c r="I64" i="10"/>
  <c r="K155" i="31" l="1"/>
  <c r="F267" i="5"/>
  <c r="F268" i="5"/>
  <c r="E316" i="5"/>
  <c r="F316" i="5" s="1"/>
  <c r="P109" i="6"/>
  <c r="S18" i="6"/>
  <c r="P115" i="6"/>
  <c r="P116" i="6" s="1"/>
  <c r="P103" i="6"/>
  <c r="P114" i="6"/>
  <c r="P107" i="6"/>
  <c r="T106" i="6"/>
  <c r="S106" i="20" s="1"/>
  <c r="R115" i="6"/>
  <c r="R116" i="6" s="1"/>
  <c r="V18" i="6"/>
  <c r="Q18" i="20" s="1"/>
  <c r="R114" i="6"/>
  <c r="T108" i="6"/>
  <c r="R107" i="6"/>
  <c r="R109" i="6"/>
  <c r="R103" i="6"/>
  <c r="AF265" i="5"/>
  <c r="D113" i="6" s="1"/>
  <c r="AA265" i="5"/>
  <c r="D106" i="6" s="1"/>
  <c r="C106" i="20" s="1"/>
  <c r="Z265" i="5"/>
  <c r="AB265" i="5"/>
  <c r="S102" i="20"/>
  <c r="Y258" i="5"/>
  <c r="T100" i="6" s="1"/>
  <c r="AD258" i="5"/>
  <c r="AE258" i="5"/>
  <c r="AC258" i="5"/>
  <c r="Q100" i="20"/>
  <c r="M23" i="20"/>
  <c r="J64" i="10"/>
  <c r="D107" i="20" l="1"/>
  <c r="Y265" i="5"/>
  <c r="F269" i="5" s="1"/>
  <c r="C113" i="20"/>
  <c r="D114" i="20" s="1"/>
  <c r="P101" i="6"/>
  <c r="T115" i="6"/>
  <c r="T116" i="6" s="1"/>
  <c r="Y18" i="6"/>
  <c r="T114" i="6"/>
  <c r="T109" i="6"/>
  <c r="T107" i="6"/>
  <c r="R101" i="6"/>
  <c r="S108" i="20"/>
  <c r="T103" i="6"/>
  <c r="W18" i="6"/>
  <c r="W6" i="6" s="1"/>
  <c r="V6" i="6"/>
  <c r="T18" i="6"/>
  <c r="T6" i="6" s="1"/>
  <c r="S6" i="6"/>
  <c r="O6" i="20" s="1"/>
  <c r="O18" i="20"/>
  <c r="AD265" i="5"/>
  <c r="D111" i="6" s="1"/>
  <c r="C111" i="20" s="1"/>
  <c r="AC265" i="5"/>
  <c r="D110" i="6" s="1"/>
  <c r="C110" i="20" s="1"/>
  <c r="AE265" i="5"/>
  <c r="D112" i="6" s="1"/>
  <c r="C112" i="20" s="1"/>
  <c r="D108" i="6"/>
  <c r="C108" i="20" s="1"/>
  <c r="Q60" i="15"/>
  <c r="D102" i="6"/>
  <c r="S113" i="20"/>
  <c r="T114" i="20" s="1"/>
  <c r="A20" i="15"/>
  <c r="D105" i="6" l="1"/>
  <c r="C104" i="20" s="1"/>
  <c r="D104" i="20" s="1"/>
  <c r="D104" i="6"/>
  <c r="C103" i="20" s="1"/>
  <c r="D103" i="20" s="1"/>
  <c r="E318" i="5"/>
  <c r="F318" i="5" s="1"/>
  <c r="T8" i="6"/>
  <c r="T7" i="6"/>
  <c r="T14" i="6"/>
  <c r="T17" i="6"/>
  <c r="T11" i="6"/>
  <c r="V14" i="6"/>
  <c r="V17" i="6"/>
  <c r="V11" i="6"/>
  <c r="V8" i="6"/>
  <c r="V7" i="6"/>
  <c r="W14" i="6"/>
  <c r="W7" i="6"/>
  <c r="W11" i="6"/>
  <c r="W17" i="6"/>
  <c r="W8" i="6"/>
  <c r="Z18" i="6"/>
  <c r="Z6" i="6" s="1"/>
  <c r="Y6" i="6"/>
  <c r="S7" i="6"/>
  <c r="S8" i="6"/>
  <c r="S17" i="6"/>
  <c r="S14" i="6"/>
  <c r="S11" i="6"/>
  <c r="T101" i="6"/>
  <c r="AG265" i="5"/>
  <c r="D100" i="6"/>
  <c r="D114" i="6" s="1"/>
  <c r="O23" i="20"/>
  <c r="C102" i="20"/>
  <c r="S100" i="20"/>
  <c r="D102" i="20" l="1"/>
  <c r="D105" i="20" s="1"/>
  <c r="Y14" i="6"/>
  <c r="Y8" i="6"/>
  <c r="Y11" i="6"/>
  <c r="Y7" i="6"/>
  <c r="Y17" i="6"/>
  <c r="Z14" i="6"/>
  <c r="Z11" i="6"/>
  <c r="Z7" i="6"/>
  <c r="Z17" i="6"/>
  <c r="Z8" i="6"/>
  <c r="D117" i="6"/>
  <c r="C117" i="20" s="1"/>
  <c r="X78" i="15"/>
  <c r="Y78" i="15" s="1"/>
  <c r="C100" i="20"/>
  <c r="D107" i="6"/>
  <c r="X80" i="15"/>
  <c r="D109" i="6"/>
  <c r="D18" i="6"/>
  <c r="H26" i="33" s="1"/>
  <c r="E18" i="6"/>
  <c r="D29" i="6" s="1"/>
  <c r="X60" i="15"/>
  <c r="X54" i="15"/>
  <c r="D101" i="6"/>
  <c r="D103" i="6"/>
  <c r="X76" i="15"/>
  <c r="Y76" i="15" s="1"/>
  <c r="S18" i="20"/>
  <c r="D28" i="6"/>
  <c r="AF102" i="20" l="1"/>
  <c r="AF105" i="20" s="1"/>
  <c r="Z102" i="20"/>
  <c r="Z105" i="20" s="1"/>
  <c r="R102" i="20"/>
  <c r="R105" i="20" s="1"/>
  <c r="T102" i="20"/>
  <c r="T105" i="20" s="1"/>
  <c r="V102" i="20"/>
  <c r="V105" i="20" s="1"/>
  <c r="N102" i="20"/>
  <c r="N105" i="20" s="1"/>
  <c r="AD102" i="20"/>
  <c r="AD105" i="20" s="1"/>
  <c r="AB102" i="20"/>
  <c r="AB105" i="20" s="1"/>
  <c r="J102" i="20"/>
  <c r="J105" i="20" s="1"/>
  <c r="L102" i="20"/>
  <c r="L105" i="20" s="1"/>
  <c r="P102" i="20"/>
  <c r="P105" i="20" s="1"/>
  <c r="X102" i="20"/>
  <c r="X105" i="20" s="1"/>
  <c r="N28" i="33"/>
  <c r="M185" i="31"/>
  <c r="Y80" i="15"/>
  <c r="N29" i="33" s="1"/>
  <c r="F44" i="24"/>
  <c r="C18" i="20"/>
  <c r="C29" i="20"/>
  <c r="Y73" i="15" l="1"/>
  <c r="M188" i="31"/>
  <c r="C28" i="20"/>
  <c r="J35" i="18" l="1"/>
  <c r="N35" i="18" l="1"/>
  <c r="AA35" i="18"/>
  <c r="O35" i="18" l="1"/>
  <c r="Y35" i="20" l="1"/>
  <c r="Q35" i="20"/>
  <c r="U35" i="20"/>
  <c r="O39" i="15" l="1"/>
  <c r="S35" i="20"/>
  <c r="Q12" i="20"/>
  <c r="W35" i="20"/>
  <c r="Y12" i="20"/>
  <c r="U12" i="20"/>
  <c r="Y9" i="20" l="1"/>
  <c r="Q6" i="20"/>
  <c r="S12" i="20"/>
  <c r="U6" i="20"/>
  <c r="Y6" i="20"/>
  <c r="Q9" i="20"/>
  <c r="U9" i="20"/>
  <c r="W12" i="20"/>
  <c r="U23" i="20" l="1"/>
  <c r="S6" i="20"/>
  <c r="W9" i="20"/>
  <c r="Y23" i="20"/>
  <c r="W6" i="20"/>
  <c r="Q23" i="20"/>
  <c r="S9" i="20"/>
  <c r="W23" i="20" l="1"/>
  <c r="S23" i="20"/>
  <c r="J39" i="18" l="1"/>
  <c r="N39" i="18" l="1"/>
  <c r="AA39" i="18"/>
  <c r="J36" i="18"/>
  <c r="AA36" i="18" l="1"/>
  <c r="O39" i="18"/>
  <c r="D29" i="20" l="1"/>
  <c r="B29" i="20" l="1"/>
  <c r="K11" i="11" l="1"/>
  <c r="C136" i="6" s="1"/>
  <c r="K10" i="11"/>
  <c r="F16" i="5" l="1"/>
  <c r="E310" i="5" s="1"/>
  <c r="F310" i="5" l="1"/>
  <c r="G62" i="5" l="1"/>
  <c r="M44" i="31" s="1"/>
  <c r="B139" i="20"/>
  <c r="C139" i="6"/>
  <c r="I50" i="6" l="1"/>
  <c r="R50" i="6"/>
  <c r="O50" i="6"/>
  <c r="L50" i="6"/>
  <c r="U50" i="6"/>
  <c r="AA50" i="6"/>
  <c r="X50" i="6"/>
  <c r="AG50" i="6"/>
  <c r="AD50" i="6"/>
  <c r="AP50" i="6"/>
  <c r="AM50" i="6"/>
  <c r="AJ50" i="6"/>
  <c r="F319" i="5"/>
  <c r="B136" i="6"/>
  <c r="E139" i="6"/>
  <c r="C50" i="6"/>
  <c r="C51" i="6" s="1"/>
  <c r="C139" i="20"/>
  <c r="I41" i="6" l="1"/>
  <c r="I42" i="6" s="1"/>
  <c r="U41" i="6"/>
  <c r="U42" i="6" s="1"/>
  <c r="X41" i="6"/>
  <c r="X42" i="6" s="1"/>
  <c r="R41" i="6"/>
  <c r="R42" i="6" s="1"/>
  <c r="AG41" i="6"/>
  <c r="AG42" i="6" s="1"/>
  <c r="AP41" i="6"/>
  <c r="AP42" i="6" s="1"/>
  <c r="O41" i="6"/>
  <c r="O42" i="6" s="1"/>
  <c r="AA41" i="6"/>
  <c r="AA42" i="6" s="1"/>
  <c r="AM41" i="6"/>
  <c r="AM42" i="6" s="1"/>
  <c r="L41" i="6"/>
  <c r="L42" i="6" s="1"/>
  <c r="AD41" i="6"/>
  <c r="AD42" i="6" s="1"/>
  <c r="AJ41" i="6"/>
  <c r="AJ42" i="6" s="1"/>
  <c r="E139" i="20"/>
  <c r="F139" i="20" s="1"/>
  <c r="H139" i="6"/>
  <c r="H139" i="20" s="1"/>
  <c r="L139" i="6"/>
  <c r="L139" i="20" s="1"/>
  <c r="P139" i="6"/>
  <c r="P139" i="20" s="1"/>
  <c r="J139" i="6"/>
  <c r="J139" i="20" s="1"/>
  <c r="N139" i="6"/>
  <c r="N139" i="20" s="1"/>
  <c r="R139" i="6"/>
  <c r="R139" i="20" s="1"/>
  <c r="K139" i="6"/>
  <c r="K139" i="20" s="1"/>
  <c r="M139" i="6"/>
  <c r="M139" i="20" s="1"/>
  <c r="G139" i="6"/>
  <c r="G139" i="20" s="1"/>
  <c r="O139" i="6"/>
  <c r="O139" i="20" s="1"/>
  <c r="I139" i="6"/>
  <c r="I139" i="20" s="1"/>
  <c r="Q139" i="6"/>
  <c r="Q139" i="20" s="1"/>
  <c r="O51" i="6"/>
  <c r="L51" i="6"/>
  <c r="R51" i="6"/>
  <c r="I51" i="6"/>
  <c r="AG51" i="6"/>
  <c r="X51" i="6"/>
  <c r="AA51" i="6"/>
  <c r="AD51" i="6"/>
  <c r="U51" i="6"/>
  <c r="AJ51" i="6"/>
  <c r="AM51" i="6"/>
  <c r="AP51" i="6"/>
  <c r="F9" i="15"/>
  <c r="B136" i="20"/>
  <c r="C41" i="6"/>
  <c r="B146" i="6"/>
  <c r="E136" i="6"/>
  <c r="F139" i="6"/>
  <c r="AP38" i="6" l="1"/>
  <c r="AP39" i="6" s="1"/>
  <c r="U38" i="6"/>
  <c r="U39" i="6" s="1"/>
  <c r="L38" i="6"/>
  <c r="L39" i="6" s="1"/>
  <c r="I38" i="6"/>
  <c r="I39" i="6" s="1"/>
  <c r="AM38" i="6"/>
  <c r="AM39" i="6" s="1"/>
  <c r="AA38" i="6"/>
  <c r="AA71" i="6" s="1"/>
  <c r="AB71" i="6" s="1"/>
  <c r="R38" i="6"/>
  <c r="R39" i="6" s="1"/>
  <c r="AJ38" i="6"/>
  <c r="AJ39" i="6" s="1"/>
  <c r="AD38" i="6"/>
  <c r="AD39" i="6" s="1"/>
  <c r="X38" i="6"/>
  <c r="X39" i="6" s="1"/>
  <c r="AG38" i="6"/>
  <c r="AG71" i="6" s="1"/>
  <c r="AH71" i="6" s="1"/>
  <c r="O38" i="6"/>
  <c r="O39" i="6" s="1"/>
  <c r="H136" i="6"/>
  <c r="H146" i="6" s="1"/>
  <c r="L136" i="6"/>
  <c r="L146" i="6" s="1"/>
  <c r="P136" i="6"/>
  <c r="P146" i="6" s="1"/>
  <c r="I136" i="6"/>
  <c r="I146" i="6" s="1"/>
  <c r="M136" i="6"/>
  <c r="M146" i="6" s="1"/>
  <c r="Q136" i="6"/>
  <c r="Q146" i="6" s="1"/>
  <c r="J136" i="6"/>
  <c r="J146" i="6" s="1"/>
  <c r="N136" i="6"/>
  <c r="N146" i="6" s="1"/>
  <c r="R136" i="6"/>
  <c r="R146" i="6" s="1"/>
  <c r="G136" i="6"/>
  <c r="G146" i="6" s="1"/>
  <c r="K136" i="6"/>
  <c r="K146" i="6" s="1"/>
  <c r="O136" i="6"/>
  <c r="O146" i="6" s="1"/>
  <c r="F12" i="15"/>
  <c r="J12" i="15" s="1"/>
  <c r="H12" i="15" s="1"/>
  <c r="BB9" i="15" s="1"/>
  <c r="E146" i="6"/>
  <c r="F146" i="6" s="1"/>
  <c r="C39" i="30" s="1"/>
  <c r="F136" i="6"/>
  <c r="C42" i="6"/>
  <c r="C38" i="6"/>
  <c r="B146" i="20"/>
  <c r="H9" i="15" l="1"/>
  <c r="BB8" i="15" s="1"/>
  <c r="M159" i="31" s="1"/>
  <c r="U71" i="6"/>
  <c r="V71" i="6" s="1"/>
  <c r="V72" i="6" s="1"/>
  <c r="C46" i="6"/>
  <c r="AA39" i="6"/>
  <c r="AG39" i="6"/>
  <c r="AD71" i="6"/>
  <c r="AE71" i="6" s="1"/>
  <c r="AE72" i="6" s="1"/>
  <c r="X71" i="6"/>
  <c r="Y71" i="6" s="1"/>
  <c r="Z71" i="6" s="1"/>
  <c r="Z72" i="6" s="1"/>
  <c r="O9" i="15"/>
  <c r="O12" i="15"/>
  <c r="AB72" i="6"/>
  <c r="AC71" i="6"/>
  <c r="AC72" i="6" s="1"/>
  <c r="AI71" i="6"/>
  <c r="AI72" i="6" s="1"/>
  <c r="AH72" i="6"/>
  <c r="AG72" i="6"/>
  <c r="AG68" i="6"/>
  <c r="AA68" i="6"/>
  <c r="AA72" i="6"/>
  <c r="E136" i="20"/>
  <c r="C39" i="6"/>
  <c r="A80" i="6"/>
  <c r="W71" i="6" l="1"/>
  <c r="W72" i="6" s="1"/>
  <c r="U72" i="6"/>
  <c r="U68" i="6"/>
  <c r="U69" i="6" s="1"/>
  <c r="AD72" i="6"/>
  <c r="X68" i="6"/>
  <c r="X69" i="6" s="1"/>
  <c r="X72" i="6"/>
  <c r="AF71" i="6"/>
  <c r="AF72" i="6" s="1"/>
  <c r="AD68" i="6"/>
  <c r="AD69" i="6" s="1"/>
  <c r="Y72" i="6"/>
  <c r="AA69" i="6"/>
  <c r="AG69" i="6"/>
  <c r="U71" i="20"/>
  <c r="V71" i="20" s="1"/>
  <c r="V72" i="20" s="1"/>
  <c r="S71" i="20"/>
  <c r="T71" i="20" s="1"/>
  <c r="T72" i="20" s="1"/>
  <c r="Y71" i="20"/>
  <c r="Z71" i="20" s="1"/>
  <c r="Z72" i="20" s="1"/>
  <c r="W71" i="20"/>
  <c r="X71" i="20" s="1"/>
  <c r="X72" i="20" s="1"/>
  <c r="Q71" i="20"/>
  <c r="R71" i="20" s="1"/>
  <c r="R72" i="20" s="1"/>
  <c r="F136" i="20"/>
  <c r="H136" i="20"/>
  <c r="H146" i="20" s="1"/>
  <c r="O136" i="20"/>
  <c r="O146" i="20" s="1"/>
  <c r="J136" i="20"/>
  <c r="J146" i="20" s="1"/>
  <c r="G136" i="20"/>
  <c r="G146" i="20" s="1"/>
  <c r="R136" i="20"/>
  <c r="R146" i="20" s="1"/>
  <c r="P136" i="20"/>
  <c r="P146" i="20" s="1"/>
  <c r="M136" i="20"/>
  <c r="M146" i="20" s="1"/>
  <c r="N136" i="20"/>
  <c r="N146" i="20" s="1"/>
  <c r="K136" i="20"/>
  <c r="K146" i="20" s="1"/>
  <c r="Q136" i="20"/>
  <c r="Q146" i="20" s="1"/>
  <c r="L136" i="20"/>
  <c r="L146" i="20" s="1"/>
  <c r="E146" i="20"/>
  <c r="F146" i="20" s="1"/>
  <c r="C74" i="30" s="1"/>
  <c r="AE37" i="15" l="1"/>
  <c r="A36" i="15"/>
  <c r="AD36" i="15" s="1"/>
  <c r="Z36" i="15" l="1"/>
  <c r="P36" i="15" l="1"/>
  <c r="AE36" i="15"/>
  <c r="A37" i="15"/>
  <c r="AD37" i="15" s="1"/>
  <c r="A33" i="15" s="1"/>
  <c r="AB50" i="15" l="1"/>
  <c r="Z50" i="15" l="1"/>
  <c r="AB45" i="15"/>
  <c r="Q50" i="15"/>
  <c r="X50" i="15" s="1"/>
  <c r="Y50" i="15" s="1"/>
  <c r="Z45" i="15" l="1"/>
  <c r="AE44" i="15"/>
  <c r="Q45" i="15"/>
  <c r="X45" i="15" s="1"/>
  <c r="Y45" i="15" s="1"/>
  <c r="AB51" i="15"/>
  <c r="Z51" i="15" l="1"/>
  <c r="AB46" i="15"/>
  <c r="Z46" i="15" l="1"/>
  <c r="M65" i="10"/>
  <c r="I65" i="10"/>
  <c r="R111" i="20" s="1"/>
  <c r="H65" i="10"/>
  <c r="P111" i="20" s="1"/>
  <c r="J65" i="10"/>
  <c r="K65" i="10"/>
  <c r="V111" i="20" s="1"/>
  <c r="L65" i="10"/>
  <c r="X111" i="20" s="1"/>
  <c r="G65" i="10"/>
  <c r="N111" i="20" s="1"/>
  <c r="E65" i="10"/>
  <c r="N65" i="10"/>
  <c r="AB111" i="20" s="1"/>
  <c r="O65" i="10"/>
  <c r="D111" i="20"/>
  <c r="Q51" i="15" s="1"/>
  <c r="X51" i="15" s="1"/>
  <c r="Y51" i="15" s="1"/>
  <c r="Z111" i="20"/>
  <c r="Q46" i="15"/>
  <c r="X46" i="15" s="1"/>
  <c r="Y46" i="15" s="1"/>
  <c r="P65" i="10"/>
  <c r="AF111" i="20" s="1"/>
  <c r="T111" i="20"/>
  <c r="AD111" i="20"/>
  <c r="F65" i="10"/>
  <c r="L111" i="20" s="1"/>
  <c r="J111" i="20"/>
  <c r="AA49" i="15" l="1"/>
  <c r="AB52" i="15"/>
  <c r="AB47" i="15"/>
  <c r="AV20" i="15" s="1"/>
  <c r="AW20" i="15" l="1"/>
  <c r="AX20" i="15"/>
  <c r="Z52" i="15"/>
  <c r="AV21" i="15"/>
  <c r="AX28" i="15" s="1"/>
  <c r="AB44" i="15"/>
  <c r="Z47" i="15"/>
  <c r="Q47" i="15"/>
  <c r="X47" i="15" s="1"/>
  <c r="Y47" i="15" s="1"/>
  <c r="Y44" i="15" s="1"/>
  <c r="N19" i="33" s="1"/>
  <c r="D112" i="20"/>
  <c r="Q52" i="15"/>
  <c r="X52" i="15" s="1"/>
  <c r="Y52" i="15" s="1"/>
  <c r="Y54" i="15" s="1"/>
  <c r="N21" i="33" s="1"/>
  <c r="AB49" i="15"/>
  <c r="AE49" i="15" s="1"/>
  <c r="AA44" i="15"/>
  <c r="AX29" i="15" l="1"/>
  <c r="AW29" i="15"/>
  <c r="AW28" i="15"/>
  <c r="AX21" i="15"/>
  <c r="AW21" i="15"/>
  <c r="A44" i="15"/>
  <c r="AD44" i="15" s="1"/>
  <c r="A38" i="15" s="1"/>
  <c r="X112" i="20"/>
  <c r="R112" i="20"/>
  <c r="AF112" i="20"/>
  <c r="AD112" i="20"/>
  <c r="L112" i="20"/>
  <c r="Z112" i="20"/>
  <c r="AB112" i="20"/>
  <c r="T112" i="20"/>
  <c r="J112" i="20"/>
  <c r="N112" i="20"/>
  <c r="V112" i="20"/>
  <c r="P112" i="20"/>
  <c r="Y49" i="15"/>
  <c r="N20" i="33" s="1"/>
  <c r="A49" i="15"/>
  <c r="AB57" i="15" l="1"/>
  <c r="Z57" i="15" l="1"/>
  <c r="AV23" i="15"/>
  <c r="Q57" i="15"/>
  <c r="X57" i="15" s="1"/>
  <c r="Y57" i="15" s="1"/>
  <c r="AB58" i="15"/>
  <c r="D106" i="20" s="1"/>
  <c r="J106" i="20" s="1"/>
  <c r="L106" i="20" s="1"/>
  <c r="N106" i="20" s="1"/>
  <c r="P106" i="20" s="1"/>
  <c r="R106" i="20" s="1"/>
  <c r="T106" i="20" s="1"/>
  <c r="V106" i="20" s="1"/>
  <c r="X106" i="20" s="1"/>
  <c r="Z106" i="20" s="1"/>
  <c r="AB106" i="20" s="1"/>
  <c r="AD106" i="20" s="1"/>
  <c r="AF106" i="20" s="1"/>
  <c r="AE57" i="15"/>
  <c r="N22" i="33" l="1"/>
  <c r="AX23" i="15"/>
  <c r="AW23" i="15"/>
  <c r="Z58" i="15"/>
  <c r="C50" i="4" s="1"/>
  <c r="AV24" i="15"/>
  <c r="AW26" i="15" s="1"/>
  <c r="AD6" i="15"/>
  <c r="A6" i="15"/>
  <c r="A56" i="15"/>
  <c r="Q58" i="15"/>
  <c r="AE58" i="15"/>
  <c r="AW24" i="15" l="1"/>
  <c r="AX24" i="15"/>
  <c r="BB32" i="15"/>
  <c r="AX26" i="15"/>
  <c r="J160" i="31" s="1"/>
  <c r="X58" i="15"/>
  <c r="Y58" i="15" s="1"/>
  <c r="Q56" i="15"/>
  <c r="J107" i="20"/>
  <c r="C52" i="4"/>
  <c r="N23" i="33" l="1"/>
  <c r="Y60" i="15"/>
  <c r="N24" i="33" s="1"/>
  <c r="C160" i="31"/>
  <c r="J181" i="31"/>
  <c r="M166" i="31"/>
  <c r="F179" i="31"/>
  <c r="M175" i="31"/>
  <c r="F168" i="31"/>
  <c r="C180" i="31"/>
  <c r="M181" i="31"/>
  <c r="M164" i="31"/>
  <c r="J167" i="31"/>
  <c r="M179" i="31"/>
  <c r="J162" i="31"/>
  <c r="F172" i="31"/>
  <c r="M171" i="31"/>
  <c r="M163" i="31"/>
  <c r="C178" i="31"/>
  <c r="F169" i="31"/>
  <c r="J172" i="31"/>
  <c r="F163" i="31"/>
  <c r="M162" i="31"/>
  <c r="J176" i="31"/>
  <c r="F180" i="31"/>
  <c r="J164" i="31"/>
  <c r="C163" i="31"/>
  <c r="M176" i="31"/>
  <c r="F175" i="31"/>
  <c r="F181" i="31"/>
  <c r="M167" i="31"/>
  <c r="F174" i="31"/>
  <c r="M172" i="31"/>
  <c r="J168" i="31"/>
  <c r="C167" i="31"/>
  <c r="C181" i="31"/>
  <c r="M173" i="31"/>
  <c r="J163" i="31"/>
  <c r="J177" i="31"/>
  <c r="C168" i="31"/>
  <c r="F165" i="31"/>
  <c r="M180" i="31"/>
  <c r="M170" i="31"/>
  <c r="M165" i="31"/>
  <c r="J166" i="31"/>
  <c r="C174" i="31"/>
  <c r="C165" i="31"/>
  <c r="J179" i="31"/>
  <c r="C171" i="31"/>
  <c r="C162" i="31"/>
  <c r="J173" i="31"/>
  <c r="F178" i="31"/>
  <c r="C173" i="31"/>
  <c r="C169" i="31"/>
  <c r="M177" i="31"/>
  <c r="M168" i="31"/>
  <c r="C166" i="31"/>
  <c r="M174" i="31"/>
  <c r="C172" i="31"/>
  <c r="F173" i="31"/>
  <c r="F164" i="31"/>
  <c r="J170" i="31"/>
  <c r="J171" i="31"/>
  <c r="F162" i="31"/>
  <c r="C175" i="31"/>
  <c r="F176" i="31"/>
  <c r="F167" i="31"/>
  <c r="M178" i="31"/>
  <c r="M169" i="31"/>
  <c r="F170" i="31"/>
  <c r="F166" i="31"/>
  <c r="C179" i="31"/>
  <c r="C170" i="31"/>
  <c r="F171" i="31"/>
  <c r="C176" i="31"/>
  <c r="F177" i="31"/>
  <c r="J178" i="31"/>
  <c r="J169" i="31"/>
  <c r="C177" i="31"/>
  <c r="J180" i="31"/>
  <c r="J175" i="31"/>
  <c r="J165" i="31"/>
  <c r="C164" i="31"/>
  <c r="J174" i="31"/>
  <c r="M161" i="31"/>
  <c r="C161" i="31"/>
  <c r="F160" i="31"/>
  <c r="J161" i="31"/>
  <c r="F161" i="31"/>
  <c r="M160" i="31"/>
  <c r="BB31" i="15"/>
  <c r="H16" i="33"/>
  <c r="L107" i="20"/>
  <c r="Y56" i="15" l="1"/>
  <c r="I34" i="33"/>
  <c r="I81" i="33"/>
  <c r="N107" i="20"/>
  <c r="P107" i="20" l="1"/>
  <c r="R107" i="20" l="1"/>
  <c r="T107" i="20" l="1"/>
  <c r="V107" i="20" l="1"/>
  <c r="X107" i="20" l="1"/>
  <c r="Z107" i="20" l="1"/>
  <c r="AB107" i="20" l="1"/>
  <c r="AD107" i="20" l="1"/>
  <c r="AF107" i="20" l="1"/>
  <c r="H18" i="33" l="1"/>
  <c r="J16" i="33"/>
  <c r="H86" i="33" l="1"/>
  <c r="H88" i="33" s="1"/>
  <c r="E121" i="33" s="1"/>
  <c r="D121" i="33" s="1"/>
  <c r="J18" i="33"/>
  <c r="I121" i="33" l="1"/>
  <c r="K121" i="33"/>
  <c r="Q121" i="33" s="1"/>
  <c r="J121" i="33" l="1"/>
  <c r="F121" i="33"/>
  <c r="H121" i="33" s="1"/>
  <c r="D122" i="33" l="1"/>
  <c r="D123" i="33" s="1"/>
  <c r="D124" i="33" s="1"/>
  <c r="D125" i="33" s="1"/>
  <c r="D126" i="33" s="1"/>
  <c r="E122" i="33"/>
  <c r="I122" i="33" s="1"/>
  <c r="L121" i="33"/>
  <c r="J122" i="33" l="1"/>
  <c r="F122" i="33"/>
  <c r="H122" i="33" s="1"/>
  <c r="E123" i="33" l="1"/>
  <c r="I123" i="33" s="1"/>
  <c r="K122" i="33"/>
  <c r="Q122" i="33" s="1"/>
  <c r="J123" i="33" l="1"/>
  <c r="L122" i="33"/>
  <c r="K123" i="33" l="1"/>
  <c r="Q123" i="33" s="1"/>
  <c r="F123" i="33"/>
  <c r="L123" i="33" l="1"/>
  <c r="H123" i="33"/>
  <c r="E124" i="33" l="1"/>
  <c r="I124" i="33" s="1"/>
  <c r="J124" i="33" l="1"/>
  <c r="F124" i="33"/>
  <c r="K124" i="33"/>
  <c r="Q124" i="33" s="1"/>
  <c r="L124" i="33" l="1"/>
  <c r="H124" i="33"/>
  <c r="E125" i="33" l="1"/>
  <c r="I125" i="33" s="1"/>
  <c r="K125" i="33"/>
  <c r="Q125" i="33" s="1"/>
  <c r="J125" i="33" l="1"/>
  <c r="L125" i="33"/>
  <c r="F125" i="33"/>
  <c r="H125" i="33" s="1"/>
  <c r="E126" i="33" l="1"/>
  <c r="I126" i="33" s="1"/>
  <c r="J126" i="33" s="1"/>
  <c r="K126" i="33" l="1"/>
  <c r="Q126" i="33" s="1"/>
  <c r="F126" i="33"/>
  <c r="L126" i="33" l="1"/>
  <c r="D127" i="33"/>
  <c r="D128" i="33" s="1"/>
  <c r="D129" i="33" s="1"/>
  <c r="D130" i="33" s="1"/>
  <c r="D131" i="33" s="1"/>
  <c r="D132" i="33" s="1"/>
  <c r="D133" i="33" s="1"/>
  <c r="D134" i="33" s="1"/>
  <c r="D135" i="33" s="1"/>
  <c r="D136" i="33" s="1"/>
  <c r="D137" i="33" s="1"/>
  <c r="D138" i="33" s="1"/>
  <c r="D139" i="33" s="1"/>
  <c r="H126" i="33"/>
  <c r="E127" i="33" s="1"/>
  <c r="I127" i="33" s="1"/>
  <c r="J127" i="33" s="1"/>
  <c r="K127" i="33" l="1"/>
  <c r="Q127" i="33" s="1"/>
  <c r="F127" i="33"/>
  <c r="H127" i="33" s="1"/>
  <c r="L127" i="33" l="1"/>
  <c r="E128" i="33"/>
  <c r="I128" i="33" s="1"/>
  <c r="J128" i="33" s="1"/>
  <c r="K128" i="33" l="1"/>
  <c r="Q128" i="33" s="1"/>
  <c r="F128" i="33"/>
  <c r="H128" i="33" s="1"/>
  <c r="L128" i="33" l="1"/>
  <c r="E129" i="33"/>
  <c r="I129" i="33" s="1"/>
  <c r="J129" i="33" s="1"/>
  <c r="K129" i="33" l="1"/>
  <c r="Q129" i="33" s="1"/>
  <c r="F129" i="33"/>
  <c r="L129" i="33" l="1"/>
  <c r="H129" i="33"/>
  <c r="E130" i="33" l="1"/>
  <c r="I130" i="33" s="1"/>
  <c r="J130" i="33" s="1"/>
  <c r="F130" i="33" l="1"/>
  <c r="K130" i="33"/>
  <c r="Q130" i="33" s="1"/>
  <c r="L130" i="33" l="1"/>
  <c r="H130" i="33"/>
  <c r="E131" i="33" l="1"/>
  <c r="I131" i="33" s="1"/>
  <c r="J131" i="33" s="1"/>
  <c r="K131" i="33"/>
  <c r="Q131" i="33" s="1"/>
  <c r="L131" i="33" l="1"/>
  <c r="F131" i="33"/>
  <c r="H131" i="33" s="1"/>
  <c r="E132" i="33" l="1"/>
  <c r="I132" i="33" s="1"/>
  <c r="J132" i="33" s="1"/>
  <c r="K132" i="33" l="1"/>
  <c r="Q132" i="33" s="1"/>
  <c r="F132" i="33"/>
  <c r="L132" i="33" l="1"/>
  <c r="M121" i="33" s="1"/>
  <c r="M122" i="33" s="1"/>
  <c r="H132" i="33"/>
  <c r="N121" i="33" l="1"/>
  <c r="N122" i="33" s="1"/>
  <c r="E133" i="33"/>
  <c r="I133" i="33" s="1"/>
  <c r="J133" i="33" s="1"/>
  <c r="M123" i="33"/>
  <c r="M124" i="33" s="1"/>
  <c r="M125" i="33" s="1"/>
  <c r="M126" i="33" s="1"/>
  <c r="M127" i="33" s="1"/>
  <c r="M128" i="33" s="1"/>
  <c r="N123" i="33" l="1"/>
  <c r="N124" i="33" s="1"/>
  <c r="N125" i="33" s="1"/>
  <c r="N126" i="33" s="1"/>
  <c r="N127" i="33" s="1"/>
  <c r="N128" i="33" s="1"/>
  <c r="K133" i="33"/>
  <c r="Q133" i="33" s="1"/>
  <c r="F133" i="33"/>
  <c r="M129" i="33"/>
  <c r="M130" i="33" s="1"/>
  <c r="M131" i="33" s="1"/>
  <c r="M132" i="33" s="1"/>
  <c r="L133" i="33" l="1"/>
  <c r="H133" i="33"/>
  <c r="E134" i="33" s="1"/>
  <c r="I134" i="33" s="1"/>
  <c r="J134" i="33" s="1"/>
  <c r="N129" i="33"/>
  <c r="N130" i="33" s="1"/>
  <c r="N131" i="33" s="1"/>
  <c r="N132" i="33" s="1"/>
  <c r="K134" i="33" l="1"/>
  <c r="Q134" i="33" s="1"/>
  <c r="F134" i="33"/>
  <c r="L134" i="33" l="1"/>
  <c r="H134" i="33"/>
  <c r="E135" i="33" l="1"/>
  <c r="I135" i="33" s="1"/>
  <c r="J135" i="33" s="1"/>
  <c r="K135" i="33"/>
  <c r="Q135" i="33" s="1"/>
  <c r="L135" i="33" l="1"/>
  <c r="F135" i="33"/>
  <c r="H135" i="33" s="1"/>
  <c r="E136" i="33" l="1"/>
  <c r="I136" i="33" s="1"/>
  <c r="J136" i="33" s="1"/>
  <c r="K136" i="33" l="1"/>
  <c r="Q136" i="33" s="1"/>
  <c r="F136" i="33"/>
  <c r="L136" i="33" l="1"/>
  <c r="H136" i="33"/>
  <c r="E137" i="33" l="1"/>
  <c r="I137" i="33" s="1"/>
  <c r="J137" i="33" s="1"/>
  <c r="K137" i="33" l="1"/>
  <c r="Q137" i="33" s="1"/>
  <c r="F137" i="33"/>
  <c r="H137" i="33" s="1"/>
  <c r="L137" i="33" l="1"/>
  <c r="E138" i="33"/>
  <c r="I138" i="33" s="1"/>
  <c r="J138" i="33" s="1"/>
  <c r="K138" i="33" l="1"/>
  <c r="Q138" i="33" s="1"/>
  <c r="F138" i="33"/>
  <c r="L138" i="33" l="1"/>
  <c r="H138" i="33"/>
  <c r="E139" i="33" l="1"/>
  <c r="I139" i="33" s="1"/>
  <c r="J139" i="33" s="1"/>
  <c r="F139" i="33" l="1"/>
  <c r="K139" i="33"/>
  <c r="Q139" i="33" s="1"/>
  <c r="L139" i="33" l="1"/>
  <c r="H139" i="33"/>
  <c r="E140" i="33" s="1"/>
  <c r="I140" i="33" l="1"/>
  <c r="J140" i="33" s="1"/>
  <c r="D140" i="33"/>
  <c r="D141" i="33" s="1"/>
  <c r="D142" i="33" s="1"/>
  <c r="D143" i="33" s="1"/>
  <c r="K140" i="33" l="1"/>
  <c r="Q140" i="33" s="1"/>
  <c r="F140" i="33"/>
  <c r="H140" i="33" s="1"/>
  <c r="E141" i="33" s="1"/>
  <c r="I141" i="33" s="1"/>
  <c r="J141" i="33" s="1"/>
  <c r="K141" i="33"/>
  <c r="Q141" i="33" s="1"/>
  <c r="L140" i="33" l="1"/>
  <c r="L141" i="33"/>
  <c r="F141" i="33"/>
  <c r="H141" i="33" s="1"/>
  <c r="E142" i="33" l="1"/>
  <c r="I142" i="33" s="1"/>
  <c r="J142" i="33" s="1"/>
  <c r="K142" i="33"/>
  <c r="Q142" i="33" s="1"/>
  <c r="L142" i="33" l="1"/>
  <c r="F142" i="33"/>
  <c r="H142" i="33" s="1"/>
  <c r="E143" i="33" l="1"/>
  <c r="I143" i="33" s="1"/>
  <c r="J143" i="33" s="1"/>
  <c r="K143" i="33"/>
  <c r="Q143" i="33" s="1"/>
  <c r="L143" i="33" l="1"/>
  <c r="F143" i="33"/>
  <c r="H143" i="33" s="1"/>
  <c r="E144" i="33" s="1"/>
  <c r="I144" i="33" l="1"/>
  <c r="J144" i="33" s="1"/>
  <c r="D144" i="33"/>
  <c r="D145" i="33" s="1"/>
  <c r="D146" i="33" s="1"/>
  <c r="D147" i="33" s="1"/>
  <c r="D148" i="33" s="1"/>
  <c r="D149" i="33" s="1"/>
  <c r="F144" i="33" l="1"/>
  <c r="H144" i="33" s="1"/>
  <c r="E145" i="33" s="1"/>
  <c r="I145" i="33" s="1"/>
  <c r="J145" i="33" s="1"/>
  <c r="K144" i="33"/>
  <c r="Q144" i="33" s="1"/>
  <c r="K145" i="33"/>
  <c r="Q145" i="33" s="1"/>
  <c r="L144" i="33" l="1"/>
  <c r="M133" i="33" s="1"/>
  <c r="N133" i="33" s="1"/>
  <c r="L145" i="33"/>
  <c r="F145" i="33"/>
  <c r="H145" i="33" s="1"/>
  <c r="M134" i="33" l="1"/>
  <c r="M135" i="33" s="1"/>
  <c r="M136" i="33" s="1"/>
  <c r="M137" i="33" s="1"/>
  <c r="M138" i="33" s="1"/>
  <c r="M139" i="33" s="1"/>
  <c r="M140" i="33" s="1"/>
  <c r="M141" i="33" s="1"/>
  <c r="M142" i="33" s="1"/>
  <c r="M143" i="33" s="1"/>
  <c r="M144" i="33" s="1"/>
  <c r="E146" i="33"/>
  <c r="I146" i="33" s="1"/>
  <c r="J146" i="33" s="1"/>
  <c r="N134" i="33" l="1"/>
  <c r="N135" i="33" s="1"/>
  <c r="N136" i="33" s="1"/>
  <c r="N137" i="33" s="1"/>
  <c r="N138" i="33" s="1"/>
  <c r="N139" i="33" s="1"/>
  <c r="N140" i="33" s="1"/>
  <c r="N141" i="33" s="1"/>
  <c r="N142" i="33" s="1"/>
  <c r="N143" i="33" s="1"/>
  <c r="N144" i="33" s="1"/>
  <c r="K146" i="33"/>
  <c r="Q146" i="33" s="1"/>
  <c r="F146" i="33"/>
  <c r="H146" i="33" s="1"/>
  <c r="L146" i="33" l="1"/>
  <c r="E147" i="33"/>
  <c r="I147" i="33" s="1"/>
  <c r="J147" i="33" s="1"/>
  <c r="F147" i="33" l="1"/>
  <c r="K147" i="33"/>
  <c r="Q147" i="33" s="1"/>
  <c r="L147" i="33" l="1"/>
  <c r="H147" i="33"/>
  <c r="E148" i="33" l="1"/>
  <c r="I148" i="33" s="1"/>
  <c r="J148" i="33" s="1"/>
  <c r="K148" i="33" l="1"/>
  <c r="Q148" i="33" s="1"/>
  <c r="F148" i="33"/>
  <c r="L148" i="33" l="1"/>
  <c r="H148" i="33"/>
  <c r="E149" i="33" l="1"/>
  <c r="I149" i="33" s="1"/>
  <c r="J149" i="33" s="1"/>
  <c r="F149" i="33" l="1"/>
  <c r="K149" i="33"/>
  <c r="Q149" i="33" s="1"/>
  <c r="L149" i="33" l="1"/>
  <c r="H149" i="33"/>
  <c r="D150" i="33" s="1"/>
  <c r="D151" i="33" s="1"/>
  <c r="D152" i="33" s="1"/>
  <c r="D153" i="33" s="1"/>
  <c r="D154" i="33" s="1"/>
  <c r="D155" i="33" s="1"/>
  <c r="D156" i="33" s="1"/>
  <c r="D157" i="33" s="1"/>
  <c r="D158" i="33" s="1"/>
  <c r="D159" i="33" s="1"/>
  <c r="D160" i="33" s="1"/>
  <c r="D161" i="33" s="1"/>
  <c r="D162" i="33" s="1"/>
  <c r="D163" i="33" s="1"/>
  <c r="D164" i="33" s="1"/>
  <c r="D165" i="33" s="1"/>
  <c r="D166" i="33" s="1"/>
  <c r="D167" i="33" s="1"/>
  <c r="D168" i="33" s="1"/>
  <c r="D169" i="33" s="1"/>
  <c r="D170" i="33" s="1"/>
  <c r="D171" i="33" s="1"/>
  <c r="D172" i="33" s="1"/>
  <c r="D173" i="33" s="1"/>
  <c r="D174" i="33" s="1"/>
  <c r="D175" i="33" s="1"/>
  <c r="D176" i="33" s="1"/>
  <c r="D177" i="33" s="1"/>
  <c r="D178" i="33" s="1"/>
  <c r="D179" i="33" s="1"/>
  <c r="E150" i="33" l="1"/>
  <c r="I150" i="33" s="1"/>
  <c r="J150" i="33" s="1"/>
  <c r="K150" i="33" l="1"/>
  <c r="Q150" i="33" s="1"/>
  <c r="F150" i="33"/>
  <c r="L150" i="33" l="1"/>
  <c r="H150" i="33"/>
  <c r="E151" i="33" l="1"/>
  <c r="I151" i="33" s="1"/>
  <c r="J151" i="33" s="1"/>
  <c r="K151" i="33" l="1"/>
  <c r="Q151" i="33" s="1"/>
  <c r="F151" i="33"/>
  <c r="L151" i="33" l="1"/>
  <c r="H151" i="33"/>
  <c r="E152" i="33" l="1"/>
  <c r="I152" i="33" s="1"/>
  <c r="J152" i="33" s="1"/>
  <c r="F152" i="33" l="1"/>
  <c r="K152" i="33"/>
  <c r="Q152" i="33" s="1"/>
  <c r="L152" i="33" l="1"/>
  <c r="H152" i="33"/>
  <c r="E153" i="33" l="1"/>
  <c r="I153" i="33" s="1"/>
  <c r="J153" i="33" s="1"/>
  <c r="K153" i="33" l="1"/>
  <c r="Q153" i="33" s="1"/>
  <c r="F153" i="33"/>
  <c r="L153" i="33" l="1"/>
  <c r="H153" i="33"/>
  <c r="E154" i="33" l="1"/>
  <c r="I154" i="33" s="1"/>
  <c r="J154" i="33" s="1"/>
  <c r="K154" i="33" l="1"/>
  <c r="Q154" i="33" s="1"/>
  <c r="F154" i="33"/>
  <c r="L154" i="33" l="1"/>
  <c r="H154" i="33"/>
  <c r="E155" i="33" l="1"/>
  <c r="I155" i="33" s="1"/>
  <c r="J155" i="33" s="1"/>
  <c r="F155" i="33" l="1"/>
  <c r="K155" i="33"/>
  <c r="Q155" i="33" s="1"/>
  <c r="L155" i="33" l="1"/>
  <c r="H155" i="33"/>
  <c r="E156" i="33" l="1"/>
  <c r="I156" i="33" s="1"/>
  <c r="J156" i="33" s="1"/>
  <c r="K156" i="33" l="1"/>
  <c r="Q156" i="33" s="1"/>
  <c r="F156" i="33"/>
  <c r="L156" i="33" l="1"/>
  <c r="M145" i="33" s="1"/>
  <c r="N145" i="33" s="1"/>
  <c r="H156" i="33"/>
  <c r="M146" i="33" l="1"/>
  <c r="N146" i="33" s="1"/>
  <c r="E157" i="33"/>
  <c r="I157" i="33" s="1"/>
  <c r="J157" i="33" s="1"/>
  <c r="M147" i="33" l="1"/>
  <c r="M148" i="33" s="1"/>
  <c r="M149" i="33" s="1"/>
  <c r="M150" i="33" s="1"/>
  <c r="M151" i="33" s="1"/>
  <c r="M152" i="33" s="1"/>
  <c r="M153" i="33" s="1"/>
  <c r="M154" i="33" s="1"/>
  <c r="M155" i="33" s="1"/>
  <c r="M156" i="33" s="1"/>
  <c r="K157" i="33"/>
  <c r="Q157" i="33" s="1"/>
  <c r="F157" i="33"/>
  <c r="N147" i="33" l="1"/>
  <c r="N148" i="33" s="1"/>
  <c r="N149" i="33" s="1"/>
  <c r="N150" i="33" s="1"/>
  <c r="N151" i="33" s="1"/>
  <c r="N152" i="33" s="1"/>
  <c r="N153" i="33" s="1"/>
  <c r="N154" i="33" s="1"/>
  <c r="N155" i="33" s="1"/>
  <c r="N156" i="33" s="1"/>
  <c r="L157" i="33"/>
  <c r="H157" i="33"/>
  <c r="E158" i="33" s="1"/>
  <c r="I158" i="33" s="1"/>
  <c r="J158" i="33" s="1"/>
  <c r="F158" i="33" l="1"/>
  <c r="H158" i="33" s="1"/>
  <c r="K158" i="33"/>
  <c r="Q158" i="33" s="1"/>
  <c r="L158" i="33" l="1"/>
  <c r="E159" i="33"/>
  <c r="I159" i="33" s="1"/>
  <c r="J159" i="33" s="1"/>
  <c r="K159" i="33"/>
  <c r="Q159" i="33" s="1"/>
  <c r="L159" i="33" l="1"/>
  <c r="F159" i="33"/>
  <c r="H159" i="33" s="1"/>
  <c r="E160" i="33" l="1"/>
  <c r="I160" i="33" s="1"/>
  <c r="J160" i="33" s="1"/>
  <c r="K160" i="33" l="1"/>
  <c r="Q160" i="33" s="1"/>
  <c r="F160" i="33"/>
  <c r="L160" i="33" l="1"/>
  <c r="H160" i="33"/>
  <c r="E161" i="33" l="1"/>
  <c r="I161" i="33" s="1"/>
  <c r="J161" i="33" s="1"/>
  <c r="F161" i="33" l="1"/>
  <c r="K161" i="33"/>
  <c r="Q161" i="33" s="1"/>
  <c r="L161" i="33" l="1"/>
  <c r="H161" i="33"/>
  <c r="E162" i="33" l="1"/>
  <c r="I162" i="33" s="1"/>
  <c r="J162" i="33" s="1"/>
  <c r="K162" i="33" l="1"/>
  <c r="Q162" i="33" s="1"/>
  <c r="F162" i="33"/>
  <c r="L162" i="33" l="1"/>
  <c r="H162" i="33"/>
  <c r="E163" i="33" l="1"/>
  <c r="I163" i="33" s="1"/>
  <c r="J163" i="33" s="1"/>
  <c r="K163" i="33" l="1"/>
  <c r="Q163" i="33" s="1"/>
  <c r="F163" i="33"/>
  <c r="L163" i="33" l="1"/>
  <c r="H163" i="33"/>
  <c r="E164" i="33" l="1"/>
  <c r="I164" i="33" s="1"/>
  <c r="J164" i="33" s="1"/>
  <c r="F164" i="33" l="1"/>
  <c r="K164" i="33"/>
  <c r="Q164" i="33" l="1"/>
  <c r="L164" i="33"/>
  <c r="H164" i="33"/>
  <c r="E165" i="33" l="1"/>
  <c r="I165" i="33" s="1"/>
  <c r="J165" i="33" s="1"/>
  <c r="K165" i="33" l="1"/>
  <c r="Q165" i="33" s="1"/>
  <c r="F165" i="33"/>
  <c r="L165" i="33" l="1"/>
  <c r="H165" i="33"/>
  <c r="E166" i="33" l="1"/>
  <c r="I166" i="33" s="1"/>
  <c r="J166" i="33" s="1"/>
  <c r="F166" i="33" l="1"/>
  <c r="K166" i="33"/>
  <c r="Q166" i="33" s="1"/>
  <c r="L166" i="33" l="1"/>
  <c r="H166" i="33"/>
  <c r="D181" i="33"/>
  <c r="E167" i="33" l="1"/>
  <c r="I167" i="33" s="1"/>
  <c r="J167" i="33" s="1"/>
  <c r="K181" i="33"/>
  <c r="Q181" i="33" s="1"/>
  <c r="K167" i="33" l="1"/>
  <c r="Q167" i="33" s="1"/>
  <c r="F167" i="33"/>
  <c r="D182" i="33"/>
  <c r="L167" i="33" l="1"/>
  <c r="H167" i="33"/>
  <c r="K182" i="33"/>
  <c r="Q182" i="33" s="1"/>
  <c r="E168" i="33" l="1"/>
  <c r="F168" i="33" l="1"/>
  <c r="H168" i="33" s="1"/>
  <c r="E169" i="33" s="1"/>
  <c r="I169" i="33" s="1"/>
  <c r="K168" i="33"/>
  <c r="Q168" i="33" s="1"/>
  <c r="I168" i="33"/>
  <c r="J168" i="33" s="1"/>
  <c r="D184" i="33"/>
  <c r="L168" i="33" l="1"/>
  <c r="M157" i="33" s="1"/>
  <c r="M158" i="33" s="1"/>
  <c r="J169" i="33"/>
  <c r="K169" i="33"/>
  <c r="Q169" i="33" s="1"/>
  <c r="F169" i="33"/>
  <c r="K184" i="33"/>
  <c r="Q184" i="33" s="1"/>
  <c r="L169" i="33" l="1"/>
  <c r="N157" i="33"/>
  <c r="N158" i="33" s="1"/>
  <c r="M159" i="33"/>
  <c r="M160" i="33" s="1"/>
  <c r="M161" i="33" s="1"/>
  <c r="M162" i="33" s="1"/>
  <c r="M163" i="33" s="1"/>
  <c r="M164" i="33" s="1"/>
  <c r="M165" i="33" s="1"/>
  <c r="M166" i="33" s="1"/>
  <c r="M167" i="33" s="1"/>
  <c r="M168" i="33" s="1"/>
  <c r="H169" i="33"/>
  <c r="L184" i="33"/>
  <c r="N159" i="33" l="1"/>
  <c r="N160" i="33" s="1"/>
  <c r="N161" i="33" s="1"/>
  <c r="N162" i="33" s="1"/>
  <c r="N163" i="33" s="1"/>
  <c r="N164" i="33" s="1"/>
  <c r="N165" i="33" s="1"/>
  <c r="N166" i="33" s="1"/>
  <c r="N167" i="33" s="1"/>
  <c r="N168" i="33" s="1"/>
  <c r="E170" i="33"/>
  <c r="I170" i="33" s="1"/>
  <c r="K170" i="33" l="1"/>
  <c r="Q170" i="33" s="1"/>
  <c r="F170" i="33"/>
  <c r="J170" i="33"/>
  <c r="L170" i="33" l="1"/>
  <c r="H170" i="33"/>
  <c r="E171" i="33" l="1"/>
  <c r="I171" i="33" s="1"/>
  <c r="G120" i="33" l="1"/>
  <c r="J171" i="33"/>
  <c r="K171" i="33"/>
  <c r="Q171" i="33" s="1"/>
  <c r="F171" i="33"/>
  <c r="L171" i="33" l="1"/>
  <c r="H171" i="33"/>
  <c r="E172" i="33" l="1"/>
  <c r="I172" i="33" s="1"/>
  <c r="J172" i="33" l="1"/>
  <c r="F172" i="33"/>
  <c r="K172" i="33"/>
  <c r="Q172" i="33" s="1"/>
  <c r="L172" i="33" l="1"/>
  <c r="H172" i="33"/>
  <c r="E173" i="33" l="1"/>
  <c r="I173" i="33" s="1"/>
  <c r="J173" i="33" s="1"/>
  <c r="K173" i="33" l="1"/>
  <c r="Q173" i="33" s="1"/>
  <c r="F173" i="33"/>
  <c r="L173" i="33" l="1"/>
  <c r="H173" i="33"/>
  <c r="E174" i="33" l="1"/>
  <c r="I174" i="33" s="1"/>
  <c r="J174" i="33" s="1"/>
  <c r="K174" i="33" l="1"/>
  <c r="Q174" i="33" s="1"/>
  <c r="F174" i="33"/>
  <c r="L174" i="33" l="1"/>
  <c r="H174" i="33"/>
  <c r="E175" i="33" l="1"/>
  <c r="I175" i="33" s="1"/>
  <c r="J175" i="33" s="1"/>
  <c r="F175" i="33" l="1"/>
  <c r="K175" i="33"/>
  <c r="Q175" i="33" s="1"/>
  <c r="L175" i="33" l="1"/>
  <c r="H175" i="33"/>
  <c r="E176" i="33" l="1"/>
  <c r="I176" i="33" s="1"/>
  <c r="J176" i="33" s="1"/>
  <c r="K176" i="33" l="1"/>
  <c r="Q176" i="33" s="1"/>
  <c r="F176" i="33"/>
  <c r="L176" i="33" l="1"/>
  <c r="H176" i="33"/>
  <c r="E177" i="33" l="1"/>
  <c r="I177" i="33" s="1"/>
  <c r="J177" i="33" s="1"/>
  <c r="K177" i="33" l="1"/>
  <c r="Q177" i="33" s="1"/>
  <c r="F177" i="33"/>
  <c r="L177" i="33" l="1"/>
  <c r="H177" i="33"/>
  <c r="E178" i="33" l="1"/>
  <c r="I178" i="33" s="1"/>
  <c r="J178" i="33" l="1"/>
  <c r="K178" i="33"/>
  <c r="Q178" i="33" s="1"/>
  <c r="F178" i="33"/>
  <c r="L178" i="33" l="1"/>
  <c r="H178" i="33"/>
  <c r="E179" i="33" l="1"/>
  <c r="I179" i="33" s="1"/>
  <c r="J179" i="33" l="1"/>
  <c r="F179" i="33"/>
  <c r="K179" i="33"/>
  <c r="Q179" i="33" s="1"/>
  <c r="L179" i="33" l="1"/>
  <c r="H179" i="33"/>
  <c r="E180" i="33" l="1"/>
  <c r="D180" i="33" s="1"/>
  <c r="I180" i="33" l="1"/>
  <c r="L182" i="33" l="1"/>
  <c r="L181" i="33"/>
  <c r="I120" i="33"/>
  <c r="L183" i="33"/>
  <c r="J180" i="33"/>
  <c r="F180" i="33"/>
  <c r="H180" i="33" s="1"/>
  <c r="E181" i="33" s="1"/>
  <c r="K180" i="33"/>
  <c r="Q180" i="33" s="1"/>
  <c r="M181" i="33" l="1"/>
  <c r="M182" i="33" s="1"/>
  <c r="M183" i="33" s="1"/>
  <c r="M184" i="33" s="1"/>
  <c r="M185" i="33" s="1"/>
  <c r="M186" i="33" s="1"/>
  <c r="M187" i="33" s="1"/>
  <c r="M188" i="33" s="1"/>
  <c r="M189" i="33" s="1"/>
  <c r="M190" i="33" s="1"/>
  <c r="M191" i="33" s="1"/>
  <c r="M192" i="33" s="1"/>
  <c r="L180" i="33"/>
  <c r="M169" i="33" s="1"/>
  <c r="M170" i="33" s="1"/>
  <c r="M171" i="33" s="1"/>
  <c r="M172" i="33" s="1"/>
  <c r="M173" i="33" s="1"/>
  <c r="M174" i="33" s="1"/>
  <c r="M175" i="33" s="1"/>
  <c r="M176" i="33" s="1"/>
  <c r="M177" i="33" s="1"/>
  <c r="M178" i="33" s="1"/>
  <c r="M179" i="33" s="1"/>
  <c r="M180" i="33" s="1"/>
  <c r="J181" i="33"/>
  <c r="F181" i="33"/>
  <c r="H181" i="33" s="1"/>
  <c r="E182" i="33" s="1"/>
  <c r="N169" i="33" l="1"/>
  <c r="N170" i="33" s="1"/>
  <c r="N171" i="33" s="1"/>
  <c r="N172" i="33" s="1"/>
  <c r="N173" i="33" s="1"/>
  <c r="N174" i="33" s="1"/>
  <c r="N175" i="33" s="1"/>
  <c r="N176" i="33" s="1"/>
  <c r="N177" i="33" s="1"/>
  <c r="N178" i="33" s="1"/>
  <c r="N179" i="33" s="1"/>
  <c r="N180" i="33" s="1"/>
  <c r="N181" i="33" s="1"/>
  <c r="N182" i="33" s="1"/>
  <c r="N183" i="33" s="1"/>
  <c r="N184" i="33" s="1"/>
  <c r="N185" i="33" s="1"/>
  <c r="N186" i="33" s="1"/>
  <c r="N187" i="33" s="1"/>
  <c r="N188" i="33" s="1"/>
  <c r="N189" i="33" s="1"/>
  <c r="N190" i="33" s="1"/>
  <c r="N191" i="33" s="1"/>
  <c r="N192" i="33" s="1"/>
  <c r="N193" i="33" s="1"/>
  <c r="N194" i="33" s="1"/>
  <c r="N195" i="33" s="1"/>
  <c r="N196" i="33" s="1"/>
  <c r="N197" i="33" s="1"/>
  <c r="N198" i="33" s="1"/>
  <c r="N199" i="33" s="1"/>
  <c r="N200" i="33" s="1"/>
  <c r="N201" i="33" s="1"/>
  <c r="N202" i="33" s="1"/>
  <c r="N203" i="33" s="1"/>
  <c r="N204" i="33" s="1"/>
  <c r="N205" i="33" s="1"/>
  <c r="N206" i="33" s="1"/>
  <c r="N207" i="33" s="1"/>
  <c r="N208" i="33" s="1"/>
  <c r="N209" i="33" s="1"/>
  <c r="N210" i="33" s="1"/>
  <c r="N211" i="33" s="1"/>
  <c r="N212" i="33" s="1"/>
  <c r="N213" i="33" s="1"/>
  <c r="N214" i="33" s="1"/>
  <c r="N215" i="33" s="1"/>
  <c r="N216" i="33" s="1"/>
  <c r="N217" i="33" s="1"/>
  <c r="N218" i="33" s="1"/>
  <c r="N219" i="33" s="1"/>
  <c r="N220" i="33" s="1"/>
  <c r="J182" i="33"/>
  <c r="F182" i="33"/>
  <c r="H182" i="33" s="1"/>
  <c r="H183" i="33" l="1"/>
  <c r="E184" i="33" s="1"/>
  <c r="E183" i="33"/>
  <c r="F183" i="33" l="1"/>
  <c r="J183" i="33"/>
  <c r="J184" i="33"/>
  <c r="F184" i="33"/>
  <c r="H184" i="33" s="1"/>
  <c r="E185" i="33" s="1"/>
  <c r="F185" i="33" l="1"/>
  <c r="H185" i="33" s="1"/>
  <c r="J185" i="33"/>
  <c r="H186" i="33" l="1"/>
  <c r="E187" i="33" s="1"/>
  <c r="E186" i="33"/>
  <c r="J186" i="33" l="1"/>
  <c r="F186" i="33"/>
  <c r="F187" i="33"/>
  <c r="H187" i="33" s="1"/>
  <c r="E188" i="33" s="1"/>
  <c r="J187" i="33"/>
  <c r="J188" i="33" l="1"/>
  <c r="F188" i="33"/>
  <c r="H188" i="33" s="1"/>
  <c r="E189" i="33" s="1"/>
  <c r="F189" i="33" l="1"/>
  <c r="H189" i="33" s="1"/>
  <c r="E190" i="33" s="1"/>
  <c r="J189" i="33"/>
  <c r="J190" i="33" l="1"/>
  <c r="F190" i="33"/>
  <c r="H190" i="33" s="1"/>
  <c r="E191" i="33" s="1"/>
  <c r="F191" i="33" l="1"/>
  <c r="H191" i="33" s="1"/>
  <c r="E192" i="33" s="1"/>
  <c r="J191" i="33"/>
  <c r="J192" i="33" l="1"/>
  <c r="F192" i="33"/>
  <c r="H192" i="33" s="1"/>
  <c r="E193" i="33" s="1"/>
  <c r="F193" i="33" l="1"/>
  <c r="H193" i="33" s="1"/>
  <c r="E194" i="33" s="1"/>
  <c r="J193" i="33"/>
  <c r="F194" i="33" l="1"/>
  <c r="H194" i="33" s="1"/>
  <c r="E195" i="33" s="1"/>
  <c r="J194" i="33"/>
  <c r="F195" i="33" l="1"/>
  <c r="H195" i="33" s="1"/>
  <c r="E196" i="33" s="1"/>
  <c r="J195" i="33"/>
  <c r="F196" i="33" l="1"/>
  <c r="H196" i="33" s="1"/>
  <c r="E197" i="33" s="1"/>
  <c r="J196" i="33"/>
  <c r="F197" i="33" l="1"/>
  <c r="H197" i="33" s="1"/>
  <c r="E198" i="33" s="1"/>
  <c r="J197" i="33"/>
  <c r="J198" i="33" l="1"/>
  <c r="F198" i="33"/>
  <c r="H198" i="33" s="1"/>
  <c r="E199" i="33" s="1"/>
  <c r="F199" i="33" l="1"/>
  <c r="H199" i="33" s="1"/>
  <c r="E200" i="33" s="1"/>
  <c r="J199" i="33"/>
  <c r="F200" i="33" l="1"/>
  <c r="H200" i="33" s="1"/>
  <c r="E201" i="33" s="1"/>
  <c r="J200" i="33"/>
  <c r="J201" i="33" l="1"/>
  <c r="F201" i="33"/>
  <c r="H201" i="33" s="1"/>
  <c r="E202" i="33" s="1"/>
  <c r="J202" i="33" l="1"/>
  <c r="F202" i="33"/>
  <c r="H202" i="33" s="1"/>
  <c r="E203" i="33" s="1"/>
  <c r="F203" i="33" l="1"/>
  <c r="H203" i="33" s="1"/>
  <c r="E204" i="33" s="1"/>
  <c r="J203" i="33"/>
  <c r="F204" i="33" l="1"/>
  <c r="H204" i="33" s="1"/>
  <c r="E205" i="33" s="1"/>
  <c r="J204" i="33"/>
  <c r="J205" i="33" l="1"/>
  <c r="F205" i="33"/>
  <c r="H205" i="33" s="1"/>
  <c r="E206" i="33" s="1"/>
  <c r="F206" i="33" l="1"/>
  <c r="H206" i="33" s="1"/>
  <c r="E207" i="33" s="1"/>
  <c r="J206" i="33"/>
  <c r="F207" i="33" l="1"/>
  <c r="H207" i="33" s="1"/>
  <c r="E208" i="33" s="1"/>
  <c r="J207" i="33"/>
  <c r="J208" i="33" l="1"/>
  <c r="F208" i="33"/>
  <c r="H208" i="33" s="1"/>
  <c r="E209" i="33" s="1"/>
  <c r="F209" i="33" l="1"/>
  <c r="H209" i="33" s="1"/>
  <c r="E210" i="33" s="1"/>
  <c r="J209" i="33"/>
  <c r="J210" i="33" l="1"/>
  <c r="F210" i="33"/>
  <c r="H210" i="33" s="1"/>
  <c r="E211" i="33" s="1"/>
  <c r="J211" i="33" l="1"/>
  <c r="F211" i="33"/>
  <c r="H211" i="33" s="1"/>
  <c r="E212" i="33" s="1"/>
  <c r="F212" i="33" l="1"/>
  <c r="H212" i="33" s="1"/>
  <c r="E213" i="33" s="1"/>
  <c r="J212" i="33"/>
  <c r="F213" i="33" l="1"/>
  <c r="H213" i="33" s="1"/>
  <c r="E214" i="33" s="1"/>
  <c r="J213" i="33"/>
  <c r="J214" i="33" l="1"/>
  <c r="F214" i="33"/>
  <c r="H214" i="33" s="1"/>
  <c r="E215" i="33" s="1"/>
  <c r="F215" i="33" l="1"/>
  <c r="H215" i="33" s="1"/>
  <c r="E216" i="33" s="1"/>
  <c r="J215" i="33"/>
  <c r="J216" i="33" l="1"/>
  <c r="F216" i="33"/>
  <c r="H216" i="33" s="1"/>
  <c r="E217" i="33" s="1"/>
  <c r="J217" i="33" l="1"/>
  <c r="F217" i="33"/>
  <c r="H217" i="33" s="1"/>
  <c r="E218" i="33" s="1"/>
  <c r="F218" i="33" l="1"/>
  <c r="H218" i="33" s="1"/>
  <c r="E219" i="33" s="1"/>
  <c r="J218" i="33"/>
  <c r="F219" i="33" l="1"/>
  <c r="H219" i="33" s="1"/>
  <c r="J219" i="33"/>
  <c r="E220" i="33" l="1"/>
  <c r="H220" i="33"/>
  <c r="F220" i="33" l="1"/>
  <c r="F120" i="33" s="1"/>
  <c r="J220" i="33"/>
  <c r="J120" i="33" s="1"/>
  <c r="E120" i="33"/>
  <c r="O75" i="15" l="1"/>
  <c r="O73" i="15" s="1"/>
  <c r="P41" i="15"/>
  <c r="G60" i="5" l="1"/>
  <c r="E78" i="5" s="1"/>
  <c r="E311" i="5" s="1"/>
  <c r="E54" i="5" l="1"/>
  <c r="M42" i="31"/>
  <c r="J76" i="18"/>
  <c r="AA76" i="18" s="1"/>
  <c r="D182" i="20"/>
  <c r="D188" i="20" s="1"/>
  <c r="D191" i="20" s="1"/>
  <c r="D184" i="6"/>
  <c r="D164" i="6" s="1"/>
  <c r="D43" i="15"/>
  <c r="I180" i="20" s="1"/>
  <c r="D181" i="20"/>
  <c r="D187" i="20" s="1"/>
  <c r="O190" i="20" s="1"/>
  <c r="D183" i="6"/>
  <c r="D189" i="6" s="1"/>
  <c r="O192" i="6" s="1"/>
  <c r="F311" i="5"/>
  <c r="Q190" i="20" l="1"/>
  <c r="L190" i="20"/>
  <c r="H191" i="20"/>
  <c r="N191" i="20"/>
  <c r="J190" i="20"/>
  <c r="D190" i="20"/>
  <c r="P192" i="6"/>
  <c r="R180" i="20"/>
  <c r="M192" i="6"/>
  <c r="Q180" i="20"/>
  <c r="N180" i="20"/>
  <c r="L192" i="6"/>
  <c r="G180" i="20"/>
  <c r="H180" i="20"/>
  <c r="H192" i="6"/>
  <c r="Q192" i="6"/>
  <c r="K192" i="6"/>
  <c r="R192" i="6"/>
  <c r="O180" i="20"/>
  <c r="K180" i="20"/>
  <c r="M180" i="20"/>
  <c r="D180" i="20"/>
  <c r="M190" i="20"/>
  <c r="G190" i="20"/>
  <c r="G191" i="20"/>
  <c r="Q191" i="20"/>
  <c r="N163" i="6"/>
  <c r="I163" i="6"/>
  <c r="Q163" i="6"/>
  <c r="L163" i="6"/>
  <c r="G163" i="6"/>
  <c r="O163" i="6"/>
  <c r="E163" i="6"/>
  <c r="H163" i="20"/>
  <c r="K163" i="20"/>
  <c r="Q163" i="20"/>
  <c r="P163" i="20"/>
  <c r="G163" i="20"/>
  <c r="N163" i="20"/>
  <c r="J163" i="6"/>
  <c r="R163" i="6"/>
  <c r="M163" i="6"/>
  <c r="H163" i="6"/>
  <c r="P163" i="6"/>
  <c r="K163" i="6"/>
  <c r="D163" i="6"/>
  <c r="E163" i="20"/>
  <c r="J163" i="20"/>
  <c r="O163" i="20"/>
  <c r="L163" i="20"/>
  <c r="M163" i="20"/>
  <c r="R163" i="20"/>
  <c r="D189" i="20"/>
  <c r="D192" i="20" s="1"/>
  <c r="R191" i="20"/>
  <c r="D190" i="6"/>
  <c r="H193" i="6" s="1"/>
  <c r="D164" i="20"/>
  <c r="L191" i="20"/>
  <c r="J191" i="20"/>
  <c r="M191" i="20"/>
  <c r="O191" i="20"/>
  <c r="P191" i="20"/>
  <c r="K191" i="20"/>
  <c r="J193" i="6"/>
  <c r="N190" i="20"/>
  <c r="R190" i="20"/>
  <c r="P190" i="20"/>
  <c r="K190" i="20"/>
  <c r="H190" i="20"/>
  <c r="N192" i="6"/>
  <c r="D192" i="6"/>
  <c r="O14" i="15" s="1"/>
  <c r="I192" i="6"/>
  <c r="J192" i="6"/>
  <c r="G192" i="6"/>
  <c r="P180" i="20"/>
  <c r="L180" i="20"/>
  <c r="J180" i="20"/>
  <c r="K193" i="6" l="1"/>
  <c r="O193" i="6"/>
  <c r="P193" i="6"/>
  <c r="I193" i="6"/>
  <c r="Q192" i="20"/>
  <c r="P192" i="20"/>
  <c r="D193" i="6"/>
  <c r="G192" i="20"/>
  <c r="F153" i="20"/>
  <c r="D33" i="10" s="1"/>
  <c r="D34" i="10" s="1"/>
  <c r="M192" i="20"/>
  <c r="R192" i="20"/>
  <c r="N192" i="20"/>
  <c r="O7" i="15"/>
  <c r="J192" i="20"/>
  <c r="O192" i="20"/>
  <c r="K192" i="20"/>
  <c r="L192" i="20"/>
  <c r="H192" i="20"/>
  <c r="N193" i="6"/>
  <c r="R193" i="6"/>
  <c r="L193" i="6"/>
  <c r="D191" i="6"/>
  <c r="G193" i="6"/>
  <c r="Q193" i="6"/>
  <c r="M193" i="6"/>
  <c r="C80" i="17" l="1"/>
  <c r="D80" i="17" s="1"/>
  <c r="C81" i="17"/>
  <c r="D81" i="17" s="1"/>
  <c r="H194" i="6"/>
  <c r="L62" i="6" s="1"/>
  <c r="L194" i="6"/>
  <c r="X62" i="6" s="1"/>
  <c r="G194" i="6"/>
  <c r="I62" i="6" s="1"/>
  <c r="J194" i="6"/>
  <c r="R62" i="6" s="1"/>
  <c r="P194" i="6"/>
  <c r="AJ62" i="6" s="1"/>
  <c r="O194" i="6"/>
  <c r="AG62" i="6" s="1"/>
  <c r="F153" i="6"/>
  <c r="C33" i="10" s="1"/>
  <c r="C34" i="10" s="1"/>
  <c r="D194" i="6"/>
  <c r="C62" i="6" s="1"/>
  <c r="M194" i="6"/>
  <c r="AA62" i="6" s="1"/>
  <c r="K194" i="6"/>
  <c r="U62" i="6" s="1"/>
  <c r="I194" i="6"/>
  <c r="O62" i="6" s="1"/>
  <c r="N194" i="6"/>
  <c r="AD62" i="6" s="1"/>
  <c r="R194" i="6"/>
  <c r="AP62" i="6" s="1"/>
  <c r="Q194" i="6"/>
  <c r="AM62" i="6" s="1"/>
  <c r="M49" i="10"/>
  <c r="J49" i="10"/>
  <c r="L49" i="10"/>
  <c r="P49" i="10"/>
  <c r="N49" i="10"/>
  <c r="F49" i="10"/>
  <c r="I49" i="10"/>
  <c r="O49" i="10"/>
  <c r="H49" i="10"/>
  <c r="E49" i="10"/>
  <c r="K49" i="10"/>
  <c r="AP63" i="6" l="1"/>
  <c r="AP65" i="6"/>
  <c r="O63" i="6"/>
  <c r="AA63" i="6"/>
  <c r="AA65" i="6"/>
  <c r="N48" i="10"/>
  <c r="J48" i="10"/>
  <c r="E48" i="10"/>
  <c r="O48" i="10"/>
  <c r="K48" i="10"/>
  <c r="I48" i="10"/>
  <c r="M48" i="10"/>
  <c r="H48" i="10"/>
  <c r="P48" i="10"/>
  <c r="F48" i="10"/>
  <c r="L48" i="10"/>
  <c r="AJ63" i="6"/>
  <c r="AJ65" i="6"/>
  <c r="I63" i="6"/>
  <c r="I65" i="6"/>
  <c r="L63" i="6"/>
  <c r="L65" i="6"/>
  <c r="AM63" i="6"/>
  <c r="AM65" i="6"/>
  <c r="AD63" i="6"/>
  <c r="AD65" i="6"/>
  <c r="U63" i="6"/>
  <c r="U65" i="6"/>
  <c r="B80" i="6"/>
  <c r="C65" i="6"/>
  <c r="C63" i="6"/>
  <c r="AG63" i="6"/>
  <c r="AG65" i="6"/>
  <c r="R63" i="6"/>
  <c r="R65" i="6"/>
  <c r="X63" i="6"/>
  <c r="X65" i="6"/>
  <c r="X35" i="6" l="1"/>
  <c r="Y65" i="6" s="1"/>
  <c r="X66" i="6"/>
  <c r="R35" i="6"/>
  <c r="S65" i="6" s="1"/>
  <c r="R66" i="6"/>
  <c r="AG66" i="6"/>
  <c r="AG35" i="6"/>
  <c r="C66" i="6"/>
  <c r="C35" i="6"/>
  <c r="C80" i="6"/>
  <c r="U35" i="6"/>
  <c r="V65" i="6" s="1"/>
  <c r="U66" i="6"/>
  <c r="AD35" i="6"/>
  <c r="AD66" i="6"/>
  <c r="AM66" i="6"/>
  <c r="AM35" i="6"/>
  <c r="L66" i="6"/>
  <c r="L35" i="6"/>
  <c r="I35" i="6"/>
  <c r="I66" i="6"/>
  <c r="AJ35" i="6"/>
  <c r="AK65" i="6" s="1"/>
  <c r="AJ66" i="6"/>
  <c r="AA35" i="6"/>
  <c r="AA66" i="6"/>
  <c r="AP35" i="6"/>
  <c r="AP66" i="6"/>
  <c r="AL65" i="6" l="1"/>
  <c r="AL66" i="6" s="1"/>
  <c r="W65" i="6"/>
  <c r="W66" i="6" s="1"/>
  <c r="AQ38" i="6"/>
  <c r="AP12" i="6"/>
  <c r="AP36" i="6"/>
  <c r="AQ73" i="6"/>
  <c r="AQ75" i="6" s="1"/>
  <c r="P40" i="10"/>
  <c r="P46" i="10" s="1"/>
  <c r="AQ62" i="6"/>
  <c r="AQ68" i="6"/>
  <c r="AR38" i="6"/>
  <c r="AR68" i="6"/>
  <c r="AR69" i="6" s="1"/>
  <c r="AR73" i="6"/>
  <c r="AR75" i="6" s="1"/>
  <c r="AR62" i="6"/>
  <c r="AR63" i="6" s="1"/>
  <c r="AA65" i="20"/>
  <c r="AK66" i="6"/>
  <c r="M65" i="6"/>
  <c r="N65" i="6"/>
  <c r="N66" i="6" s="1"/>
  <c r="N68" i="6"/>
  <c r="L36" i="6"/>
  <c r="M73" i="6"/>
  <c r="M75" i="6" s="1"/>
  <c r="N73" i="6"/>
  <c r="N75" i="6" s="1"/>
  <c r="M68" i="6"/>
  <c r="M62" i="6"/>
  <c r="L12" i="6"/>
  <c r="N38" i="6"/>
  <c r="N59" i="6"/>
  <c r="N60" i="6" s="1"/>
  <c r="L70" i="6"/>
  <c r="F40" i="10"/>
  <c r="F46" i="10" s="1"/>
  <c r="M38" i="6"/>
  <c r="N62" i="6"/>
  <c r="N63" i="6" s="1"/>
  <c r="AN65" i="6"/>
  <c r="AO65" i="6"/>
  <c r="AO66" i="6" s="1"/>
  <c r="AM12" i="6"/>
  <c r="AO38" i="6"/>
  <c r="AO68" i="6"/>
  <c r="AO69" i="6" s="1"/>
  <c r="O40" i="10"/>
  <c r="O46" i="10" s="1"/>
  <c r="AN38" i="6"/>
  <c r="AN62" i="6"/>
  <c r="AM36" i="6"/>
  <c r="AN73" i="6"/>
  <c r="AN75" i="6" s="1"/>
  <c r="AO73" i="6"/>
  <c r="AO75" i="6" s="1"/>
  <c r="AN68" i="6"/>
  <c r="AO62" i="6"/>
  <c r="AO63" i="6" s="1"/>
  <c r="Q65" i="20"/>
  <c r="R67" i="20" s="1"/>
  <c r="V66" i="6"/>
  <c r="S66" i="6"/>
  <c r="O65" i="20"/>
  <c r="S62" i="6"/>
  <c r="T62" i="6"/>
  <c r="T63" i="6" s="1"/>
  <c r="R12" i="6"/>
  <c r="R36" i="6"/>
  <c r="S73" i="6"/>
  <c r="S75" i="6" s="1"/>
  <c r="T73" i="6"/>
  <c r="T75" i="6" s="1"/>
  <c r="S68" i="6"/>
  <c r="S38" i="6"/>
  <c r="T38" i="6"/>
  <c r="T68" i="6"/>
  <c r="H40" i="10"/>
  <c r="H46" i="10" s="1"/>
  <c r="R70" i="6"/>
  <c r="Y66" i="6"/>
  <c r="S65" i="20"/>
  <c r="T67" i="20" s="1"/>
  <c r="Y62" i="6"/>
  <c r="X12" i="6"/>
  <c r="Z38" i="6"/>
  <c r="J40" i="10"/>
  <c r="J46" i="10" s="1"/>
  <c r="Z73" i="6"/>
  <c r="Z75" i="6" s="1"/>
  <c r="Z62" i="6"/>
  <c r="Z63" i="6" s="1"/>
  <c r="Y38" i="6"/>
  <c r="Y68" i="6"/>
  <c r="Y73" i="6"/>
  <c r="Y75" i="6" s="1"/>
  <c r="Z68" i="6"/>
  <c r="Z69" i="6" s="1"/>
  <c r="AB65" i="6"/>
  <c r="AB38" i="6"/>
  <c r="AC38" i="6"/>
  <c r="AC73" i="6"/>
  <c r="AC75" i="6" s="1"/>
  <c r="AC68" i="6"/>
  <c r="AC69" i="6" s="1"/>
  <c r="AC62" i="6"/>
  <c r="AC63" i="6" s="1"/>
  <c r="AC65" i="6"/>
  <c r="AC66" i="6" s="1"/>
  <c r="AA12" i="6"/>
  <c r="K40" i="10"/>
  <c r="K46" i="10" s="1"/>
  <c r="AB68" i="6"/>
  <c r="AB73" i="6"/>
  <c r="AB75" i="6" s="1"/>
  <c r="AB62" i="6"/>
  <c r="AK68" i="6"/>
  <c r="AL38" i="6"/>
  <c r="AK73" i="6"/>
  <c r="AK75" i="6" s="1"/>
  <c r="N40" i="10"/>
  <c r="N46" i="10" s="1"/>
  <c r="AL62" i="6"/>
  <c r="AL63" i="6" s="1"/>
  <c r="AK38" i="6"/>
  <c r="AJ36" i="6"/>
  <c r="AJ12" i="6"/>
  <c r="AL73" i="6"/>
  <c r="AL75" i="6" s="1"/>
  <c r="AL68" i="6"/>
  <c r="AL69" i="6" s="1"/>
  <c r="AK62" i="6"/>
  <c r="J65" i="6"/>
  <c r="I12" i="6"/>
  <c r="I36" i="6"/>
  <c r="J73" i="6"/>
  <c r="J75" i="6" s="1"/>
  <c r="E40" i="10"/>
  <c r="E46" i="10" s="1"/>
  <c r="I70" i="6"/>
  <c r="J38" i="6"/>
  <c r="K62" i="6"/>
  <c r="K63" i="6" s="1"/>
  <c r="K65" i="6"/>
  <c r="K66" i="6" s="1"/>
  <c r="K68" i="6"/>
  <c r="K38" i="6"/>
  <c r="K73" i="6"/>
  <c r="K75" i="6" s="1"/>
  <c r="K56" i="6"/>
  <c r="K57" i="6" s="1"/>
  <c r="J68" i="6"/>
  <c r="J62" i="6"/>
  <c r="AE65" i="6"/>
  <c r="AD12" i="6"/>
  <c r="AF47" i="6"/>
  <c r="AF48" i="6" s="1"/>
  <c r="AF53" i="6"/>
  <c r="AF54" i="6" s="1"/>
  <c r="AF41" i="6"/>
  <c r="AF42" i="6" s="1"/>
  <c r="AE73" i="6"/>
  <c r="AE75" i="6" s="1"/>
  <c r="AF68" i="6"/>
  <c r="AF69" i="6" s="1"/>
  <c r="AF59" i="6"/>
  <c r="AF60" i="6" s="1"/>
  <c r="AE62" i="6"/>
  <c r="AF65" i="6"/>
  <c r="AF66" i="6" s="1"/>
  <c r="AE38" i="6"/>
  <c r="AE68" i="6"/>
  <c r="AF50" i="6"/>
  <c r="AF51" i="6" s="1"/>
  <c r="AF44" i="6"/>
  <c r="AF45" i="6" s="1"/>
  <c r="L40" i="10"/>
  <c r="L46" i="10" s="1"/>
  <c r="AF38" i="6"/>
  <c r="AF39" i="6" s="1"/>
  <c r="AF73" i="6"/>
  <c r="AF75" i="6" s="1"/>
  <c r="AF56" i="6"/>
  <c r="AF57" i="6" s="1"/>
  <c r="AF62" i="6"/>
  <c r="AF63" i="6" s="1"/>
  <c r="W62" i="6"/>
  <c r="W63" i="6" s="1"/>
  <c r="V38" i="6"/>
  <c r="V68" i="6"/>
  <c r="W73" i="6"/>
  <c r="W75" i="6" s="1"/>
  <c r="W68" i="6"/>
  <c r="W69" i="6" s="1"/>
  <c r="V62" i="6"/>
  <c r="U12" i="6"/>
  <c r="V73" i="6"/>
  <c r="V75" i="6" s="1"/>
  <c r="W38" i="6"/>
  <c r="I40" i="10"/>
  <c r="I46" i="10" s="1"/>
  <c r="C76" i="6"/>
  <c r="C77" i="6" s="1"/>
  <c r="C40" i="10"/>
  <c r="C46" i="10" s="1"/>
  <c r="C70" i="6"/>
  <c r="C12" i="6"/>
  <c r="C36" i="6"/>
  <c r="AH65" i="6"/>
  <c r="AH38" i="6"/>
  <c r="AH50" i="6"/>
  <c r="AH47" i="6"/>
  <c r="AI59" i="6"/>
  <c r="AI60" i="6" s="1"/>
  <c r="AI47" i="6"/>
  <c r="AI48" i="6" s="1"/>
  <c r="AI44" i="6"/>
  <c r="AI45" i="6" s="1"/>
  <c r="AI68" i="6"/>
  <c r="AI69" i="6" s="1"/>
  <c r="AI53" i="6"/>
  <c r="AI54" i="6" s="1"/>
  <c r="AI73" i="6"/>
  <c r="AI75" i="6" s="1"/>
  <c r="AI62" i="6"/>
  <c r="AI63" i="6" s="1"/>
  <c r="AI65" i="6"/>
  <c r="AI66" i="6" s="1"/>
  <c r="AG12" i="6"/>
  <c r="AH68" i="6"/>
  <c r="AI41" i="6"/>
  <c r="AI42" i="6" s="1"/>
  <c r="AI50" i="6"/>
  <c r="AI51" i="6" s="1"/>
  <c r="AI56" i="6"/>
  <c r="AI57" i="6" s="1"/>
  <c r="M40" i="10"/>
  <c r="M46" i="10" s="1"/>
  <c r="AI38" i="6"/>
  <c r="AI39" i="6" s="1"/>
  <c r="AH73" i="6"/>
  <c r="AH75" i="6" s="1"/>
  <c r="AH62" i="6"/>
  <c r="AR65" i="6"/>
  <c r="AR66" i="6" s="1"/>
  <c r="AQ65" i="6"/>
  <c r="T65" i="6"/>
  <c r="T66" i="6" s="1"/>
  <c r="Z65" i="6"/>
  <c r="Z66" i="6" s="1"/>
  <c r="AH69" i="6" l="1"/>
  <c r="Y68" i="20"/>
  <c r="Y47" i="20"/>
  <c r="Z47" i="20" s="1"/>
  <c r="AH48" i="6"/>
  <c r="AH44" i="6"/>
  <c r="AH41" i="6"/>
  <c r="AH39" i="6"/>
  <c r="Y38" i="20"/>
  <c r="Z40" i="20" s="1"/>
  <c r="AH59" i="6"/>
  <c r="AH56" i="6"/>
  <c r="AH53" i="6"/>
  <c r="Q62" i="20"/>
  <c r="R62" i="20" s="1"/>
  <c r="V63" i="6"/>
  <c r="V41" i="6"/>
  <c r="V47" i="6"/>
  <c r="V59" i="6"/>
  <c r="V50" i="6"/>
  <c r="Q38" i="20"/>
  <c r="R40" i="20" s="1"/>
  <c r="V44" i="6"/>
  <c r="V39" i="6"/>
  <c r="V56" i="6"/>
  <c r="V53" i="6"/>
  <c r="AE47" i="6"/>
  <c r="W38" i="20"/>
  <c r="X40" i="20" s="1"/>
  <c r="AE56" i="6"/>
  <c r="AE50" i="6"/>
  <c r="AE44" i="6"/>
  <c r="AE41" i="6"/>
  <c r="AE39" i="6"/>
  <c r="AE59" i="6"/>
  <c r="AE53" i="6"/>
  <c r="W62" i="20"/>
  <c r="X62" i="20" s="1"/>
  <c r="AE63" i="6"/>
  <c r="W65" i="20"/>
  <c r="X67" i="20" s="1"/>
  <c r="AE66" i="6"/>
  <c r="J70" i="6"/>
  <c r="J69" i="6"/>
  <c r="I68" i="20"/>
  <c r="K69" i="6"/>
  <c r="K70" i="6"/>
  <c r="I6" i="6"/>
  <c r="I13" i="6"/>
  <c r="I9" i="6"/>
  <c r="AA62" i="20"/>
  <c r="AB62" i="20" s="1"/>
  <c r="AK63" i="6"/>
  <c r="AK74" i="6"/>
  <c r="AL74" i="6"/>
  <c r="AA68" i="20"/>
  <c r="AK69" i="6"/>
  <c r="AC39" i="6"/>
  <c r="AC44" i="6"/>
  <c r="AC45" i="6" s="1"/>
  <c r="AC50" i="6"/>
  <c r="AC51" i="6" s="1"/>
  <c r="AC59" i="6"/>
  <c r="AC60" i="6" s="1"/>
  <c r="AC41" i="6"/>
  <c r="AC42" i="6" s="1"/>
  <c r="AC56" i="6"/>
  <c r="AC57" i="6" s="1"/>
  <c r="AC53" i="6"/>
  <c r="AC54" i="6" s="1"/>
  <c r="AC47" i="6"/>
  <c r="AC48" i="6" s="1"/>
  <c r="U65" i="20"/>
  <c r="AB66" i="6"/>
  <c r="Y44" i="6"/>
  <c r="Y47" i="6"/>
  <c r="Y39" i="6"/>
  <c r="Y59" i="6"/>
  <c r="Y53" i="6"/>
  <c r="Y41" i="6"/>
  <c r="S38" i="20"/>
  <c r="T40" i="20" s="1"/>
  <c r="Y56" i="6"/>
  <c r="Y50" i="6"/>
  <c r="Z39" i="6"/>
  <c r="Z50" i="6"/>
  <c r="Z51" i="6" s="1"/>
  <c r="Z59" i="6"/>
  <c r="Z60" i="6" s="1"/>
  <c r="Z41" i="6"/>
  <c r="Z42" i="6" s="1"/>
  <c r="Z53" i="6"/>
  <c r="Z54" i="6" s="1"/>
  <c r="Z47" i="6"/>
  <c r="Z48" i="6" s="1"/>
  <c r="Z56" i="6"/>
  <c r="Z57" i="6" s="1"/>
  <c r="Z44" i="6"/>
  <c r="Z45" i="6" s="1"/>
  <c r="Y63" i="6"/>
  <c r="S62" i="20"/>
  <c r="T62" i="20" s="1"/>
  <c r="T53" i="6"/>
  <c r="T54" i="6" s="1"/>
  <c r="T39" i="6"/>
  <c r="T50" i="6"/>
  <c r="T51" i="6" s="1"/>
  <c r="T59" i="6"/>
  <c r="T60" i="6" s="1"/>
  <c r="T56" i="6"/>
  <c r="T57" i="6" s="1"/>
  <c r="T44" i="6"/>
  <c r="T45" i="6" s="1"/>
  <c r="T47" i="6"/>
  <c r="T48" i="6" s="1"/>
  <c r="T41" i="6"/>
  <c r="T42" i="6" s="1"/>
  <c r="O68" i="20"/>
  <c r="S70" i="6"/>
  <c r="S69" i="6"/>
  <c r="R9" i="6"/>
  <c r="R6" i="6"/>
  <c r="R13" i="6"/>
  <c r="O62" i="20"/>
  <c r="P62" i="20" s="1"/>
  <c r="S63" i="6"/>
  <c r="AN69" i="6"/>
  <c r="AC68" i="20"/>
  <c r="AC62" i="20"/>
  <c r="AD62" i="20" s="1"/>
  <c r="AN63" i="6"/>
  <c r="AO59" i="6"/>
  <c r="AO60" i="6" s="1"/>
  <c r="AO44" i="6"/>
  <c r="AO45" i="6" s="1"/>
  <c r="AO41" i="6"/>
  <c r="AO42" i="6" s="1"/>
  <c r="AO50" i="6"/>
  <c r="AO51" i="6" s="1"/>
  <c r="AO53" i="6"/>
  <c r="AO54" i="6" s="1"/>
  <c r="AO56" i="6"/>
  <c r="AO57" i="6" s="1"/>
  <c r="AO47" i="6"/>
  <c r="AO48" i="6" s="1"/>
  <c r="AO39" i="6"/>
  <c r="L9" i="6"/>
  <c r="L6" i="6"/>
  <c r="L13" i="6"/>
  <c r="K68" i="20"/>
  <c r="M69" i="6"/>
  <c r="M70" i="6"/>
  <c r="N70" i="6"/>
  <c r="N69" i="6"/>
  <c r="K65" i="20"/>
  <c r="M66" i="6"/>
  <c r="AQ69" i="6"/>
  <c r="AE68" i="20"/>
  <c r="AQ74" i="6"/>
  <c r="AR74" i="6"/>
  <c r="AE38" i="20"/>
  <c r="AQ44" i="6"/>
  <c r="AQ47" i="6"/>
  <c r="AQ39" i="6"/>
  <c r="AQ53" i="6"/>
  <c r="AQ41" i="6"/>
  <c r="AQ50" i="6"/>
  <c r="AQ59" i="6"/>
  <c r="AQ56" i="6"/>
  <c r="AQ66" i="6"/>
  <c r="AE65" i="20"/>
  <c r="AH63" i="6"/>
  <c r="Y62" i="20"/>
  <c r="Z62" i="20" s="1"/>
  <c r="AG13" i="6"/>
  <c r="AG9" i="6"/>
  <c r="AG6" i="6"/>
  <c r="Y50" i="20"/>
  <c r="AH51" i="6"/>
  <c r="Y65" i="20"/>
  <c r="Z67" i="20" s="1"/>
  <c r="AH66" i="6"/>
  <c r="C13" i="6"/>
  <c r="B27" i="6"/>
  <c r="C9" i="6"/>
  <c r="W53" i="6"/>
  <c r="W54" i="6" s="1"/>
  <c r="W39" i="6"/>
  <c r="W59" i="6"/>
  <c r="W60" i="6" s="1"/>
  <c r="W50" i="6"/>
  <c r="W51" i="6" s="1"/>
  <c r="W56" i="6"/>
  <c r="W57" i="6" s="1"/>
  <c r="W47" i="6"/>
  <c r="W48" i="6" s="1"/>
  <c r="W41" i="6"/>
  <c r="W42" i="6" s="1"/>
  <c r="W44" i="6"/>
  <c r="W45" i="6" s="1"/>
  <c r="U9" i="6"/>
  <c r="U6" i="6"/>
  <c r="U13" i="6"/>
  <c r="Q68" i="20"/>
  <c r="V69" i="6"/>
  <c r="AE69" i="6"/>
  <c r="W68" i="20"/>
  <c r="AD6" i="6"/>
  <c r="AD13" i="6"/>
  <c r="AD9" i="6"/>
  <c r="I62" i="20"/>
  <c r="J62" i="20" s="1"/>
  <c r="J63" i="6"/>
  <c r="K50" i="6"/>
  <c r="K51" i="6" s="1"/>
  <c r="K47" i="6"/>
  <c r="K48" i="6" s="1"/>
  <c r="K59" i="6"/>
  <c r="K60" i="6" s="1"/>
  <c r="K53" i="6"/>
  <c r="K54" i="6" s="1"/>
  <c r="K41" i="6"/>
  <c r="K42" i="6" s="1"/>
  <c r="K44" i="6"/>
  <c r="K45" i="6" s="1"/>
  <c r="K39" i="6"/>
  <c r="J41" i="6"/>
  <c r="J59" i="6"/>
  <c r="J44" i="6"/>
  <c r="J39" i="6"/>
  <c r="J56" i="6"/>
  <c r="J50" i="6"/>
  <c r="J53" i="6"/>
  <c r="I38" i="20"/>
  <c r="J47" i="6"/>
  <c r="K74" i="6"/>
  <c r="J74" i="6"/>
  <c r="I65" i="20"/>
  <c r="J66" i="6"/>
  <c r="AJ9" i="6"/>
  <c r="AJ6" i="6"/>
  <c r="AJ13" i="6"/>
  <c r="AA38" i="20"/>
  <c r="AK50" i="6"/>
  <c r="AK47" i="6"/>
  <c r="AK39" i="6"/>
  <c r="AK56" i="6"/>
  <c r="AK44" i="6"/>
  <c r="AK41" i="6"/>
  <c r="AK59" i="6"/>
  <c r="AK53" i="6"/>
  <c r="AL39" i="6"/>
  <c r="AL41" i="6"/>
  <c r="AL42" i="6" s="1"/>
  <c r="AL59" i="6"/>
  <c r="AL60" i="6" s="1"/>
  <c r="AL47" i="6"/>
  <c r="AL48" i="6" s="1"/>
  <c r="AL44" i="6"/>
  <c r="AL45" i="6" s="1"/>
  <c r="AL50" i="6"/>
  <c r="AL51" i="6" s="1"/>
  <c r="AL56" i="6"/>
  <c r="AL57" i="6" s="1"/>
  <c r="AL53" i="6"/>
  <c r="AL54" i="6" s="1"/>
  <c r="U62" i="20"/>
  <c r="V62" i="20" s="1"/>
  <c r="AB63" i="6"/>
  <c r="U68" i="20"/>
  <c r="AB69" i="6"/>
  <c r="AA6" i="6"/>
  <c r="AA13" i="6"/>
  <c r="AA9" i="6"/>
  <c r="U38" i="20"/>
  <c r="AB44" i="6"/>
  <c r="AB56" i="6"/>
  <c r="AB50" i="6"/>
  <c r="AB41" i="6"/>
  <c r="AB39" i="6"/>
  <c r="AB47" i="6"/>
  <c r="AB59" i="6"/>
  <c r="AB53" i="6"/>
  <c r="S68" i="20"/>
  <c r="Y69" i="6"/>
  <c r="X6" i="6"/>
  <c r="X14" i="6" s="1"/>
  <c r="X9" i="6"/>
  <c r="X13" i="6"/>
  <c r="T69" i="6"/>
  <c r="T70" i="6"/>
  <c r="S41" i="6"/>
  <c r="S44" i="6"/>
  <c r="S39" i="6"/>
  <c r="S53" i="6"/>
  <c r="S50" i="6"/>
  <c r="S47" i="6"/>
  <c r="S59" i="6"/>
  <c r="O38" i="20"/>
  <c r="S56" i="6"/>
  <c r="S74" i="6"/>
  <c r="T74" i="6"/>
  <c r="AN74" i="6"/>
  <c r="AO74" i="6"/>
  <c r="AN41" i="6"/>
  <c r="AN59" i="6"/>
  <c r="AN56" i="6"/>
  <c r="AN50" i="6"/>
  <c r="AN53" i="6"/>
  <c r="AN44" i="6"/>
  <c r="AN39" i="6"/>
  <c r="AC38" i="20"/>
  <c r="AN47" i="6"/>
  <c r="AM6" i="6"/>
  <c r="AM9" i="6"/>
  <c r="AM13" i="6"/>
  <c r="AC65" i="20"/>
  <c r="AN66" i="6"/>
  <c r="K38" i="20"/>
  <c r="M47" i="6"/>
  <c r="M56" i="6"/>
  <c r="M59" i="6"/>
  <c r="M53" i="6"/>
  <c r="M50" i="6"/>
  <c r="M44" i="6"/>
  <c r="M41" i="6"/>
  <c r="M39" i="6"/>
  <c r="N50" i="6"/>
  <c r="N51" i="6" s="1"/>
  <c r="N53" i="6"/>
  <c r="N54" i="6" s="1"/>
  <c r="N47" i="6"/>
  <c r="N48" i="6" s="1"/>
  <c r="N39" i="6"/>
  <c r="N44" i="6"/>
  <c r="N45" i="6" s="1"/>
  <c r="N56" i="6"/>
  <c r="N57" i="6" s="1"/>
  <c r="N41" i="6"/>
  <c r="N42" i="6" s="1"/>
  <c r="M63" i="6"/>
  <c r="K62" i="20"/>
  <c r="L62" i="20" s="1"/>
  <c r="N74" i="6"/>
  <c r="M74" i="6"/>
  <c r="AR47" i="6"/>
  <c r="AR48" i="6" s="1"/>
  <c r="AR53" i="6"/>
  <c r="AR54" i="6" s="1"/>
  <c r="AR59" i="6"/>
  <c r="AR60" i="6" s="1"/>
  <c r="AR50" i="6"/>
  <c r="AR51" i="6" s="1"/>
  <c r="AR41" i="6"/>
  <c r="AR42" i="6" s="1"/>
  <c r="AR39" i="6"/>
  <c r="AR56" i="6"/>
  <c r="AR57" i="6" s="1"/>
  <c r="AR44" i="6"/>
  <c r="AR45" i="6" s="1"/>
  <c r="AE62" i="20"/>
  <c r="AF62" i="20" s="1"/>
  <c r="AQ63" i="6"/>
  <c r="AP6" i="6"/>
  <c r="AP14" i="6" s="1"/>
  <c r="AP9" i="6"/>
  <c r="AP13" i="6"/>
  <c r="AP10" i="6" l="1"/>
  <c r="AP11" i="6"/>
  <c r="AR20" i="6"/>
  <c r="AP8" i="6"/>
  <c r="AP17" i="6"/>
  <c r="AQ20" i="6"/>
  <c r="AP7" i="6"/>
  <c r="AF63" i="20"/>
  <c r="AF64" i="20" s="1"/>
  <c r="M45" i="6"/>
  <c r="K44" i="20"/>
  <c r="L44" i="20" s="1"/>
  <c r="K53" i="20"/>
  <c r="M54" i="6"/>
  <c r="K56" i="20"/>
  <c r="M57" i="6"/>
  <c r="AM10" i="6"/>
  <c r="AM11" i="6"/>
  <c r="AC47" i="20"/>
  <c r="AD47" i="20" s="1"/>
  <c r="AN48" i="6"/>
  <c r="AC53" i="20"/>
  <c r="AN54" i="6"/>
  <c r="AN57" i="6"/>
  <c r="AC56" i="20"/>
  <c r="AN42" i="6"/>
  <c r="AC41" i="20"/>
  <c r="AD41" i="20" s="1"/>
  <c r="O47" i="20"/>
  <c r="P47" i="20" s="1"/>
  <c r="S48" i="6"/>
  <c r="S54" i="6"/>
  <c r="O53" i="20"/>
  <c r="O44" i="20"/>
  <c r="P44" i="20" s="1"/>
  <c r="S45" i="6"/>
  <c r="U53" i="20"/>
  <c r="AB54" i="6"/>
  <c r="AB48" i="6"/>
  <c r="U47" i="20"/>
  <c r="V47" i="20" s="1"/>
  <c r="AB42" i="6"/>
  <c r="U41" i="20"/>
  <c r="V41" i="20" s="1"/>
  <c r="AB57" i="6"/>
  <c r="U56" i="20"/>
  <c r="AA53" i="20"/>
  <c r="AK54" i="6"/>
  <c r="AK42" i="6"/>
  <c r="AA41" i="20"/>
  <c r="AB41" i="20" s="1"/>
  <c r="AA56" i="20"/>
  <c r="AK57" i="6"/>
  <c r="AA47" i="20"/>
  <c r="AB47" i="20" s="1"/>
  <c r="AK48" i="6"/>
  <c r="AJ14" i="6"/>
  <c r="AL20" i="6"/>
  <c r="AJ17" i="6"/>
  <c r="AJ7" i="6"/>
  <c r="AJ8" i="6"/>
  <c r="AK20" i="6"/>
  <c r="J48" i="6"/>
  <c r="I47" i="20"/>
  <c r="J47" i="20" s="1"/>
  <c r="J54" i="6"/>
  <c r="I53" i="20"/>
  <c r="J57" i="6"/>
  <c r="I56" i="20"/>
  <c r="J45" i="6"/>
  <c r="I44" i="20"/>
  <c r="J44" i="20" s="1"/>
  <c r="J42" i="6"/>
  <c r="I41" i="20"/>
  <c r="J41" i="20" s="1"/>
  <c r="AD11" i="6"/>
  <c r="AD10" i="6"/>
  <c r="AD14" i="6"/>
  <c r="AE20" i="6"/>
  <c r="AD8" i="6"/>
  <c r="AD17" i="6"/>
  <c r="AF20" i="6"/>
  <c r="AD7" i="6"/>
  <c r="R68" i="20"/>
  <c r="R69" i="20" s="1"/>
  <c r="R70" i="20"/>
  <c r="U14" i="6"/>
  <c r="W20" i="6"/>
  <c r="V20" i="6"/>
  <c r="U8" i="6"/>
  <c r="U17" i="6"/>
  <c r="U7" i="6"/>
  <c r="C10" i="6"/>
  <c r="F10" i="6" s="1"/>
  <c r="F13" i="6"/>
  <c r="Z50" i="20"/>
  <c r="Z51" i="20" s="1"/>
  <c r="Z52" i="20"/>
  <c r="AG8" i="6"/>
  <c r="AG7" i="6"/>
  <c r="AI20" i="6"/>
  <c r="AH20" i="6"/>
  <c r="AG17" i="6"/>
  <c r="AE59" i="20"/>
  <c r="AQ60" i="6"/>
  <c r="AQ42" i="6"/>
  <c r="AE41" i="20"/>
  <c r="AF41" i="20" s="1"/>
  <c r="AE44" i="20"/>
  <c r="AF44" i="20" s="1"/>
  <c r="AQ45" i="6"/>
  <c r="AF68" i="20"/>
  <c r="AF69" i="20" s="1"/>
  <c r="AF70" i="20" s="1"/>
  <c r="L10" i="6"/>
  <c r="L11" i="6"/>
  <c r="AD63" i="20"/>
  <c r="AD64" i="20" s="1"/>
  <c r="P63" i="20"/>
  <c r="P64" i="20" s="1"/>
  <c r="R14" i="6"/>
  <c r="T20" i="6"/>
  <c r="R17" i="6"/>
  <c r="S20" i="6"/>
  <c r="R8" i="6"/>
  <c r="R7" i="6"/>
  <c r="P68" i="20"/>
  <c r="P69" i="20" s="1"/>
  <c r="P70" i="20" s="1"/>
  <c r="S56" i="20"/>
  <c r="Y57" i="6"/>
  <c r="Y42" i="6"/>
  <c r="S41" i="20"/>
  <c r="T41" i="20" s="1"/>
  <c r="S59" i="20"/>
  <c r="Y60" i="6"/>
  <c r="S47" i="20"/>
  <c r="T47" i="20" s="1"/>
  <c r="Y48" i="6"/>
  <c r="I10" i="6"/>
  <c r="I11" i="6"/>
  <c r="I14" i="6"/>
  <c r="I17" i="6"/>
  <c r="J20" i="6"/>
  <c r="K20" i="6"/>
  <c r="I7" i="6"/>
  <c r="I8" i="6"/>
  <c r="W53" i="20"/>
  <c r="AE54" i="6"/>
  <c r="W44" i="20"/>
  <c r="X44" i="20" s="1"/>
  <c r="AE45" i="6"/>
  <c r="AE57" i="6"/>
  <c r="W56" i="20"/>
  <c r="AE48" i="6"/>
  <c r="W47" i="20"/>
  <c r="X47" i="20" s="1"/>
  <c r="V57" i="6"/>
  <c r="Q56" i="20"/>
  <c r="V45" i="6"/>
  <c r="Q44" i="20"/>
  <c r="R44" i="20" s="1"/>
  <c r="Q50" i="20"/>
  <c r="V51" i="6"/>
  <c r="Q47" i="20"/>
  <c r="R47" i="20" s="1"/>
  <c r="V48" i="6"/>
  <c r="AH54" i="6"/>
  <c r="Y53" i="20"/>
  <c r="Y59" i="20"/>
  <c r="AH60" i="6"/>
  <c r="AH45" i="6"/>
  <c r="Y44" i="20"/>
  <c r="Z44" i="20" s="1"/>
  <c r="Z49" i="20"/>
  <c r="Z48" i="20"/>
  <c r="L63" i="20"/>
  <c r="L64" i="20" s="1"/>
  <c r="K41" i="20"/>
  <c r="L41" i="20" s="1"/>
  <c r="M42" i="6"/>
  <c r="M51" i="6"/>
  <c r="K50" i="20"/>
  <c r="M60" i="6"/>
  <c r="K59" i="20"/>
  <c r="K47" i="20"/>
  <c r="L47" i="20" s="1"/>
  <c r="M48" i="6"/>
  <c r="AO20" i="6"/>
  <c r="AM17" i="6"/>
  <c r="AM8" i="6"/>
  <c r="AN20" i="6"/>
  <c r="AM7" i="6"/>
  <c r="AM14" i="6"/>
  <c r="AC44" i="20"/>
  <c r="AD44" i="20" s="1"/>
  <c r="AN45" i="6"/>
  <c r="AC50" i="20"/>
  <c r="AN51" i="6"/>
  <c r="AN60" i="6"/>
  <c r="AC59" i="20"/>
  <c r="O56" i="20"/>
  <c r="S57" i="6"/>
  <c r="S60" i="6"/>
  <c r="O59" i="20"/>
  <c r="S51" i="6"/>
  <c r="O50" i="20"/>
  <c r="O41" i="20"/>
  <c r="P41" i="20" s="1"/>
  <c r="S42" i="6"/>
  <c r="X10" i="6"/>
  <c r="X11" i="6"/>
  <c r="X17" i="6"/>
  <c r="X7" i="6"/>
  <c r="Z20" i="6"/>
  <c r="Y20" i="6"/>
  <c r="X8" i="6"/>
  <c r="T68" i="20"/>
  <c r="T69" i="20" s="1"/>
  <c r="T70" i="20"/>
  <c r="U59" i="20"/>
  <c r="AB60" i="6"/>
  <c r="AB51" i="6"/>
  <c r="U50" i="20"/>
  <c r="U44" i="20"/>
  <c r="V44" i="20" s="1"/>
  <c r="AB45" i="6"/>
  <c r="AA11" i="6"/>
  <c r="AA10" i="6"/>
  <c r="AA14" i="6"/>
  <c r="AA17" i="6"/>
  <c r="AC20" i="6"/>
  <c r="AA8" i="6"/>
  <c r="AA7" i="6"/>
  <c r="AB20" i="6"/>
  <c r="V68" i="20"/>
  <c r="V69" i="20" s="1"/>
  <c r="V70" i="20"/>
  <c r="V63" i="20"/>
  <c r="V64" i="20" s="1"/>
  <c r="AA59" i="20"/>
  <c r="AK60" i="6"/>
  <c r="AK45" i="6"/>
  <c r="AA44" i="20"/>
  <c r="AB44" i="20" s="1"/>
  <c r="AK51" i="6"/>
  <c r="AA50" i="20"/>
  <c r="AJ11" i="6"/>
  <c r="AJ10" i="6"/>
  <c r="J51" i="6"/>
  <c r="I50" i="20"/>
  <c r="J60" i="6"/>
  <c r="I59" i="20"/>
  <c r="J63" i="20"/>
  <c r="J64" i="20" s="1"/>
  <c r="X68" i="20"/>
  <c r="X69" i="20" s="1"/>
  <c r="X70" i="20"/>
  <c r="U11" i="6"/>
  <c r="U10" i="6"/>
  <c r="AG11" i="6"/>
  <c r="AG10" i="6"/>
  <c r="Z63" i="20"/>
  <c r="Z64" i="20"/>
  <c r="AE56" i="20"/>
  <c r="AQ57" i="6"/>
  <c r="AQ51" i="6"/>
  <c r="AE50" i="20"/>
  <c r="AQ54" i="6"/>
  <c r="AE53" i="20"/>
  <c r="AQ48" i="6"/>
  <c r="AE47" i="20"/>
  <c r="AF47" i="20" s="1"/>
  <c r="L68" i="20"/>
  <c r="L69" i="20" s="1"/>
  <c r="L70" i="20" s="1"/>
  <c r="L14" i="6"/>
  <c r="L17" i="6"/>
  <c r="M20" i="6"/>
  <c r="N20" i="6"/>
  <c r="L8" i="6"/>
  <c r="L7" i="6"/>
  <c r="AD68" i="20"/>
  <c r="AD69" i="20" s="1"/>
  <c r="AD70" i="20" s="1"/>
  <c r="R11" i="6"/>
  <c r="R10" i="6"/>
  <c r="T64" i="20"/>
  <c r="T63" i="20"/>
  <c r="S50" i="20"/>
  <c r="Y51" i="6"/>
  <c r="S53" i="20"/>
  <c r="Y54" i="6"/>
  <c r="S44" i="20"/>
  <c r="T44" i="20" s="1"/>
  <c r="Y45" i="6"/>
  <c r="AB68" i="20"/>
  <c r="AB69" i="20" s="1"/>
  <c r="AB70" i="20" s="1"/>
  <c r="AB63" i="20"/>
  <c r="AB64" i="20" s="1"/>
  <c r="J68" i="20"/>
  <c r="J69" i="20" s="1"/>
  <c r="J70" i="20" s="1"/>
  <c r="X63" i="20"/>
  <c r="X64" i="20"/>
  <c r="AE60" i="6"/>
  <c r="W59" i="20"/>
  <c r="AE42" i="6"/>
  <c r="W41" i="20"/>
  <c r="X41" i="20" s="1"/>
  <c r="AE51" i="6"/>
  <c r="W50" i="20"/>
  <c r="V54" i="6"/>
  <c r="Q53" i="20"/>
  <c r="Q59" i="20"/>
  <c r="V60" i="6"/>
  <c r="V42" i="6"/>
  <c r="Q41" i="20"/>
  <c r="R41" i="20" s="1"/>
  <c r="R63" i="20"/>
  <c r="R64" i="20"/>
  <c r="AH57" i="6"/>
  <c r="Y56" i="20"/>
  <c r="AH42" i="6"/>
  <c r="Y41" i="20"/>
  <c r="Z41" i="20" s="1"/>
  <c r="Z68" i="20"/>
  <c r="Z69" i="20" s="1"/>
  <c r="Z70" i="20"/>
  <c r="AG14" i="6"/>
  <c r="R59" i="20" l="1"/>
  <c r="R60" i="20" s="1"/>
  <c r="R61" i="20"/>
  <c r="T45" i="20"/>
  <c r="T46" i="20"/>
  <c r="T55" i="20"/>
  <c r="T53" i="20"/>
  <c r="T54" i="20" s="1"/>
  <c r="T50" i="20"/>
  <c r="T51" i="20" s="1"/>
  <c r="T52" i="20"/>
  <c r="M22" i="6"/>
  <c r="M21" i="6"/>
  <c r="AF48" i="20"/>
  <c r="AF49" i="20" s="1"/>
  <c r="AF53" i="20"/>
  <c r="AF54" i="20" s="1"/>
  <c r="AF55" i="20" s="1"/>
  <c r="AF50" i="20"/>
  <c r="AF51" i="20" s="1"/>
  <c r="AF52" i="20" s="1"/>
  <c r="AB59" i="20"/>
  <c r="AB60" i="20" s="1"/>
  <c r="AB61" i="20" s="1"/>
  <c r="AB21" i="6"/>
  <c r="AB22" i="6"/>
  <c r="V52" i="20"/>
  <c r="V50" i="20"/>
  <c r="Y21" i="6"/>
  <c r="Y22" i="6"/>
  <c r="P50" i="20"/>
  <c r="P51" i="20" s="1"/>
  <c r="P52" i="20" s="1"/>
  <c r="P59" i="20"/>
  <c r="P60" i="20" s="1"/>
  <c r="P61" i="20" s="1"/>
  <c r="AD59" i="20"/>
  <c r="AD60" i="20" s="1"/>
  <c r="AD61" i="20" s="1"/>
  <c r="AN21" i="6"/>
  <c r="AN22" i="6"/>
  <c r="L59" i="20"/>
  <c r="L60" i="20" s="1"/>
  <c r="L61" i="20" s="1"/>
  <c r="L50" i="20"/>
  <c r="L51" i="20" s="1"/>
  <c r="L52" i="20" s="1"/>
  <c r="Z59" i="20"/>
  <c r="Z60" i="20" s="1"/>
  <c r="Z61" i="20"/>
  <c r="R45" i="20"/>
  <c r="R46" i="20"/>
  <c r="R56" i="20"/>
  <c r="R57" i="20" s="1"/>
  <c r="R58" i="20"/>
  <c r="X49" i="20"/>
  <c r="X48" i="20"/>
  <c r="X58" i="20"/>
  <c r="X56" i="20"/>
  <c r="X57" i="20" s="1"/>
  <c r="K21" i="6"/>
  <c r="K22" i="6"/>
  <c r="T42" i="20"/>
  <c r="T43" i="20"/>
  <c r="S22" i="6"/>
  <c r="S21" i="6"/>
  <c r="T22" i="6"/>
  <c r="T21" i="6"/>
  <c r="AF42" i="20"/>
  <c r="AF43" i="20" s="1"/>
  <c r="AI22" i="6"/>
  <c r="AI21" i="6"/>
  <c r="W21" i="6"/>
  <c r="W22" i="6"/>
  <c r="AF22" i="6"/>
  <c r="AF21" i="6"/>
  <c r="AB48" i="20"/>
  <c r="AB49" i="20" s="1"/>
  <c r="AB56" i="20"/>
  <c r="AB57" i="20" s="1"/>
  <c r="AB58" i="20" s="1"/>
  <c r="AB53" i="20"/>
  <c r="AB54" i="20" s="1"/>
  <c r="AB55" i="20" s="1"/>
  <c r="V53" i="20"/>
  <c r="V54" i="20" s="1"/>
  <c r="V55" i="20" s="1"/>
  <c r="P45" i="20"/>
  <c r="P46" i="20" s="1"/>
  <c r="P48" i="20"/>
  <c r="P49" i="20" s="1"/>
  <c r="AD53" i="20"/>
  <c r="AD54" i="20" s="1"/>
  <c r="AD55" i="20" s="1"/>
  <c r="AD48" i="20"/>
  <c r="AD49" i="20" s="1"/>
  <c r="L56" i="20"/>
  <c r="L57" i="20" s="1"/>
  <c r="L58" i="20" s="1"/>
  <c r="L53" i="20"/>
  <c r="L54" i="20" s="1"/>
  <c r="L55" i="20" s="1"/>
  <c r="AR22" i="6"/>
  <c r="AR21" i="6"/>
  <c r="Z42" i="20"/>
  <c r="Z43" i="20"/>
  <c r="Z58" i="20"/>
  <c r="Z56" i="20"/>
  <c r="Z57" i="20" s="1"/>
  <c r="R43" i="20"/>
  <c r="R42" i="20"/>
  <c r="R53" i="20"/>
  <c r="R54" i="20" s="1"/>
  <c r="R55" i="20"/>
  <c r="X52" i="20"/>
  <c r="X50" i="20"/>
  <c r="X51" i="20" s="1"/>
  <c r="X42" i="20"/>
  <c r="X43" i="20"/>
  <c r="X61" i="20"/>
  <c r="X59" i="20"/>
  <c r="X60" i="20" s="1"/>
  <c r="N22" i="6"/>
  <c r="N21" i="6"/>
  <c r="AF56" i="20"/>
  <c r="AF57" i="20" s="1"/>
  <c r="AF58" i="20" s="1"/>
  <c r="J59" i="20"/>
  <c r="J60" i="20" s="1"/>
  <c r="J61" i="20" s="1"/>
  <c r="J50" i="20"/>
  <c r="J51" i="20" s="1"/>
  <c r="J52" i="20" s="1"/>
  <c r="AB50" i="20"/>
  <c r="AB51" i="20" s="1"/>
  <c r="AB52" i="20" s="1"/>
  <c r="AB45" i="20"/>
  <c r="AB46" i="20" s="1"/>
  <c r="AC21" i="6"/>
  <c r="AC22" i="6"/>
  <c r="V45" i="20"/>
  <c r="V46" i="20" s="1"/>
  <c r="V59" i="20"/>
  <c r="V60" i="20" s="1"/>
  <c r="V61" i="20" s="1"/>
  <c r="Z22" i="6"/>
  <c r="Z21" i="6"/>
  <c r="P42" i="20"/>
  <c r="P43" i="20" s="1"/>
  <c r="P56" i="20"/>
  <c r="P57" i="20" s="1"/>
  <c r="P58" i="20" s="1"/>
  <c r="AD50" i="20"/>
  <c r="AD51" i="20" s="1"/>
  <c r="AD52" i="20" s="1"/>
  <c r="AD45" i="20"/>
  <c r="AD46" i="20" s="1"/>
  <c r="AO22" i="6"/>
  <c r="AO21" i="6"/>
  <c r="L48" i="20"/>
  <c r="L49" i="20" s="1"/>
  <c r="L42" i="20"/>
  <c r="L43" i="20" s="1"/>
  <c r="Z45" i="20"/>
  <c r="Z46" i="20"/>
  <c r="Z53" i="20"/>
  <c r="Z55" i="20"/>
  <c r="R48" i="20"/>
  <c r="R49" i="20"/>
  <c r="R50" i="20"/>
  <c r="R52" i="20"/>
  <c r="X46" i="20"/>
  <c r="X45" i="20"/>
  <c r="X53" i="20"/>
  <c r="X54" i="20" s="1"/>
  <c r="X55" i="20"/>
  <c r="J22" i="6"/>
  <c r="J21" i="6"/>
  <c r="T48" i="20"/>
  <c r="T49" i="20"/>
  <c r="T61" i="20"/>
  <c r="T59" i="20"/>
  <c r="T60" i="20" s="1"/>
  <c r="T58" i="20"/>
  <c r="T56" i="20"/>
  <c r="T57" i="20" s="1"/>
  <c r="AF45" i="20"/>
  <c r="AF46" i="20" s="1"/>
  <c r="AF59" i="20"/>
  <c r="AF60" i="20" s="1"/>
  <c r="AF61" i="20" s="1"/>
  <c r="AH21" i="6"/>
  <c r="AH22" i="6"/>
  <c r="V21" i="6"/>
  <c r="V22" i="6"/>
  <c r="AE22" i="6"/>
  <c r="AE21" i="6"/>
  <c r="J42" i="20"/>
  <c r="J43" i="20" s="1"/>
  <c r="J45" i="20"/>
  <c r="J46" i="20" s="1"/>
  <c r="J56" i="20"/>
  <c r="J57" i="20" s="1"/>
  <c r="J58" i="20" s="1"/>
  <c r="J53" i="20"/>
  <c r="J48" i="20"/>
  <c r="J49" i="20" s="1"/>
  <c r="AK22" i="6"/>
  <c r="AK21" i="6"/>
  <c r="AL21" i="6"/>
  <c r="AL22" i="6"/>
  <c r="AB42" i="20"/>
  <c r="AB43" i="20" s="1"/>
  <c r="V56" i="20"/>
  <c r="V57" i="20" s="1"/>
  <c r="V58" i="20" s="1"/>
  <c r="V42" i="20"/>
  <c r="V43" i="20" s="1"/>
  <c r="V48" i="20"/>
  <c r="V49" i="20" s="1"/>
  <c r="P53" i="20"/>
  <c r="P54" i="20" s="1"/>
  <c r="P55" i="20" s="1"/>
  <c r="AD42" i="20"/>
  <c r="AD43" i="20" s="1"/>
  <c r="AD56" i="20"/>
  <c r="AD57" i="20" s="1"/>
  <c r="AD58" i="20" s="1"/>
  <c r="L45" i="20"/>
  <c r="L46" i="20" s="1"/>
  <c r="AQ22" i="6"/>
  <c r="AQ21" i="6"/>
  <c r="J38" i="20" l="1"/>
  <c r="J54" i="20"/>
  <c r="J55" i="20" s="1"/>
  <c r="V51" i="20"/>
  <c r="V38" i="20"/>
  <c r="AD38" i="20"/>
  <c r="AF38" i="20"/>
  <c r="R51" i="20"/>
  <c r="R38" i="20"/>
  <c r="Z54" i="20"/>
  <c r="Z38" i="20"/>
  <c r="X38" i="20"/>
  <c r="AB38" i="20"/>
  <c r="L38" i="20"/>
  <c r="P38" i="20"/>
  <c r="T38" i="20"/>
  <c r="T39" i="20" l="1"/>
  <c r="T65" i="20"/>
  <c r="T66" i="20" s="1"/>
  <c r="L39" i="20"/>
  <c r="L40" i="20" s="1"/>
  <c r="L65" i="20"/>
  <c r="X65" i="20"/>
  <c r="X39" i="20"/>
  <c r="AD39" i="20"/>
  <c r="AD40" i="20" s="1"/>
  <c r="AD65" i="20"/>
  <c r="AD66" i="20" s="1"/>
  <c r="AD67" i="20" s="1"/>
  <c r="J65" i="20"/>
  <c r="J66" i="20" s="1"/>
  <c r="J67" i="20" s="1"/>
  <c r="J39" i="20"/>
  <c r="J40" i="20" s="1"/>
  <c r="P39" i="20"/>
  <c r="P40" i="20" s="1"/>
  <c r="P65" i="20"/>
  <c r="P66" i="20" s="1"/>
  <c r="P67" i="20" s="1"/>
  <c r="AB65" i="20"/>
  <c r="AB66" i="20" s="1"/>
  <c r="AB67" i="20" s="1"/>
  <c r="AB39" i="20"/>
  <c r="AB40" i="20" s="1"/>
  <c r="Z65" i="20"/>
  <c r="Z39" i="20"/>
  <c r="R39" i="20"/>
  <c r="R65" i="20"/>
  <c r="R66" i="20" s="1"/>
  <c r="AF39" i="20"/>
  <c r="AF40" i="20" s="1"/>
  <c r="AF65" i="20"/>
  <c r="AF66" i="20" s="1"/>
  <c r="AF67" i="20" s="1"/>
  <c r="V65" i="20"/>
  <c r="V39" i="20"/>
  <c r="V40" i="20" s="1"/>
  <c r="AB35" i="20" l="1"/>
  <c r="AB12" i="20" s="1"/>
  <c r="J35" i="20"/>
  <c r="E41" i="10" s="1"/>
  <c r="E47" i="10" s="1"/>
  <c r="E50" i="10" s="1"/>
  <c r="J110" i="20" s="1"/>
  <c r="J108" i="20" s="1"/>
  <c r="T35" i="20"/>
  <c r="T36" i="20" s="1"/>
  <c r="T37" i="20" s="1"/>
  <c r="AF35" i="20"/>
  <c r="AF12" i="20" s="1"/>
  <c r="L66" i="20"/>
  <c r="L67" i="20" s="1"/>
  <c r="L35" i="20"/>
  <c r="V66" i="20"/>
  <c r="V67" i="20" s="1"/>
  <c r="V35" i="20"/>
  <c r="Z66" i="20"/>
  <c r="Z35" i="20"/>
  <c r="X66" i="20"/>
  <c r="X35" i="20"/>
  <c r="R35" i="20"/>
  <c r="P35" i="20"/>
  <c r="AD35" i="20"/>
  <c r="J100" i="20" l="1"/>
  <c r="J101" i="20" s="1"/>
  <c r="J109" i="20"/>
  <c r="N41" i="10"/>
  <c r="N47" i="10" s="1"/>
  <c r="N50" i="10" s="1"/>
  <c r="AB110" i="20" s="1"/>
  <c r="AB108" i="20" s="1"/>
  <c r="J12" i="20"/>
  <c r="J13" i="20" s="1"/>
  <c r="J14" i="20" s="1"/>
  <c r="AB36" i="20"/>
  <c r="AB37" i="20" s="1"/>
  <c r="J36" i="20"/>
  <c r="J37" i="20" s="1"/>
  <c r="T12" i="20"/>
  <c r="J41" i="10"/>
  <c r="J47" i="10" s="1"/>
  <c r="J50" i="10" s="1"/>
  <c r="T110" i="20" s="1"/>
  <c r="T108" i="20" s="1"/>
  <c r="J18" i="20"/>
  <c r="J19" i="20" s="1"/>
  <c r="J20" i="20" s="1"/>
  <c r="P41" i="10"/>
  <c r="P47" i="10" s="1"/>
  <c r="P50" i="10" s="1"/>
  <c r="AF110" i="20" s="1"/>
  <c r="AF108" i="20" s="1"/>
  <c r="AF36" i="20"/>
  <c r="AF37" i="20" s="1"/>
  <c r="I41" i="10"/>
  <c r="I47" i="10" s="1"/>
  <c r="I50" i="10" s="1"/>
  <c r="R110" i="20" s="1"/>
  <c r="R108" i="20" s="1"/>
  <c r="R36" i="20"/>
  <c r="R37" i="20" s="1"/>
  <c r="R12" i="20"/>
  <c r="P12" i="20"/>
  <c r="H41" i="10"/>
  <c r="H47" i="10" s="1"/>
  <c r="H50" i="10" s="1"/>
  <c r="P110" i="20" s="1"/>
  <c r="P108" i="20" s="1"/>
  <c r="P36" i="20"/>
  <c r="P37" i="20" s="1"/>
  <c r="X36" i="20"/>
  <c r="X37" i="20" s="1"/>
  <c r="X12" i="20"/>
  <c r="L41" i="10"/>
  <c r="L47" i="10" s="1"/>
  <c r="L50" i="10" s="1"/>
  <c r="X110" i="20" s="1"/>
  <c r="X108" i="20" s="1"/>
  <c r="Z12" i="20"/>
  <c r="M41" i="10"/>
  <c r="M47" i="10" s="1"/>
  <c r="M50" i="10" s="1"/>
  <c r="Z110" i="20" s="1"/>
  <c r="Z108" i="20" s="1"/>
  <c r="Z36" i="20"/>
  <c r="Z37" i="20" s="1"/>
  <c r="K41" i="10"/>
  <c r="K47" i="10" s="1"/>
  <c r="K50" i="10" s="1"/>
  <c r="V110" i="20" s="1"/>
  <c r="V108" i="20" s="1"/>
  <c r="V12" i="20"/>
  <c r="V36" i="20"/>
  <c r="V37" i="20" s="1"/>
  <c r="L12" i="20"/>
  <c r="F41" i="10"/>
  <c r="F47" i="10" s="1"/>
  <c r="F50" i="10" s="1"/>
  <c r="L110" i="20" s="1"/>
  <c r="L108" i="20" s="1"/>
  <c r="L36" i="20"/>
  <c r="L37" i="20" s="1"/>
  <c r="AB13" i="20"/>
  <c r="AB14" i="20" s="1"/>
  <c r="AF13" i="20"/>
  <c r="AF14" i="20" s="1"/>
  <c r="AD12" i="20"/>
  <c r="O41" i="10"/>
  <c r="O47" i="10" s="1"/>
  <c r="O50" i="10" s="1"/>
  <c r="AD110" i="20" s="1"/>
  <c r="AD108" i="20" s="1"/>
  <c r="AD36" i="20"/>
  <c r="AD37" i="20" s="1"/>
  <c r="V100" i="20" l="1"/>
  <c r="V18" i="20" s="1"/>
  <c r="V19" i="20" s="1"/>
  <c r="V20" i="20" s="1"/>
  <c r="V109" i="20"/>
  <c r="Z100" i="20"/>
  <c r="Z18" i="20" s="1"/>
  <c r="Z19" i="20" s="1"/>
  <c r="Z20" i="20" s="1"/>
  <c r="Z109" i="20"/>
  <c r="P100" i="20"/>
  <c r="P18" i="20" s="1"/>
  <c r="P19" i="20" s="1"/>
  <c r="P20" i="20" s="1"/>
  <c r="P109" i="20"/>
  <c r="AD100" i="20"/>
  <c r="AD101" i="20" s="1"/>
  <c r="AD109" i="20"/>
  <c r="T100" i="20"/>
  <c r="T18" i="20" s="1"/>
  <c r="T19" i="20" s="1"/>
  <c r="T20" i="20" s="1"/>
  <c r="T109" i="20"/>
  <c r="L100" i="20"/>
  <c r="L101" i="20" s="1"/>
  <c r="L109" i="20"/>
  <c r="X100" i="20"/>
  <c r="X101" i="20" s="1"/>
  <c r="X109" i="20"/>
  <c r="R100" i="20"/>
  <c r="R101" i="20" s="1"/>
  <c r="R109" i="20"/>
  <c r="AF100" i="20"/>
  <c r="AF101" i="20" s="1"/>
  <c r="AF109" i="20"/>
  <c r="AB100" i="20"/>
  <c r="AB109" i="20"/>
  <c r="T13" i="20"/>
  <c r="T14" i="20" s="1"/>
  <c r="L13" i="20"/>
  <c r="L14" i="20" s="1"/>
  <c r="V13" i="20"/>
  <c r="V14" i="20" s="1"/>
  <c r="Z13" i="20"/>
  <c r="Z14" i="20" s="1"/>
  <c r="X13" i="20"/>
  <c r="X14" i="20" s="1"/>
  <c r="P13" i="20"/>
  <c r="P14" i="20" s="1"/>
  <c r="R13" i="20"/>
  <c r="R14" i="20" s="1"/>
  <c r="AD13" i="20"/>
  <c r="AD14" i="20" s="1"/>
  <c r="Z101" i="20" l="1"/>
  <c r="V101" i="20"/>
  <c r="P101" i="20"/>
  <c r="L18" i="20"/>
  <c r="L19" i="20" s="1"/>
  <c r="L20" i="20" s="1"/>
  <c r="R18" i="20"/>
  <c r="R19" i="20" s="1"/>
  <c r="R20" i="20" s="1"/>
  <c r="X18" i="20"/>
  <c r="X19" i="20" s="1"/>
  <c r="X20" i="20" s="1"/>
  <c r="AF18" i="20"/>
  <c r="AF19" i="20" s="1"/>
  <c r="AF20" i="20" s="1"/>
  <c r="AD18" i="20"/>
  <c r="AD19" i="20" s="1"/>
  <c r="AD20" i="20" s="1"/>
  <c r="AB18" i="20"/>
  <c r="AB19" i="20" s="1"/>
  <c r="AB20" i="20" s="1"/>
  <c r="AB101" i="20"/>
  <c r="T101" i="20"/>
  <c r="P34" i="15" l="1"/>
  <c r="I148" i="20"/>
  <c r="G49" i="10" s="1"/>
  <c r="L275" i="5"/>
  <c r="E315" i="5"/>
  <c r="F315" i="5" s="1"/>
  <c r="G275" i="5"/>
  <c r="I149" i="20" s="1"/>
  <c r="O71" i="6"/>
  <c r="O72" i="6" s="1"/>
  <c r="D209" i="5"/>
  <c r="C73" i="4" s="1"/>
  <c r="M275" i="5"/>
  <c r="K219" i="5" s="1"/>
  <c r="N86" i="6" s="1"/>
  <c r="P71" i="6" l="1"/>
  <c r="J219" i="5"/>
  <c r="P36" i="6" s="1"/>
  <c r="P35" i="6" s="1"/>
  <c r="C49" i="10"/>
  <c r="E320" i="5"/>
  <c r="F320" i="5" s="1"/>
  <c r="N88" i="6"/>
  <c r="N85" i="6"/>
  <c r="P16" i="6"/>
  <c r="Q16" i="6" s="1"/>
  <c r="I163" i="20"/>
  <c r="I145" i="20"/>
  <c r="I138" i="20"/>
  <c r="I142" i="20"/>
  <c r="I137" i="20"/>
  <c r="I192" i="20"/>
  <c r="I143" i="20"/>
  <c r="I141" i="20"/>
  <c r="I140" i="20"/>
  <c r="I191" i="20"/>
  <c r="I190" i="20"/>
  <c r="I144" i="20"/>
  <c r="I136" i="20"/>
  <c r="K285" i="5"/>
  <c r="E285" i="5" s="1"/>
  <c r="O65" i="6"/>
  <c r="K229" i="5"/>
  <c r="D148" i="20"/>
  <c r="H275" i="5"/>
  <c r="C25" i="30"/>
  <c r="C26" i="30" s="1"/>
  <c r="E168" i="5"/>
  <c r="E210" i="5"/>
  <c r="C48" i="10"/>
  <c r="O68" i="6"/>
  <c r="D35" i="10"/>
  <c r="C35" i="10"/>
  <c r="M93" i="20"/>
  <c r="G48" i="10"/>
  <c r="Q36" i="6" l="1"/>
  <c r="Q13" i="6" s="1"/>
  <c r="I146" i="20"/>
  <c r="P13" i="6"/>
  <c r="I219" i="5"/>
  <c r="M71" i="20"/>
  <c r="N71" i="20" s="1"/>
  <c r="N72" i="20" s="1"/>
  <c r="Q71" i="6"/>
  <c r="Q72" i="6" s="1"/>
  <c r="P72" i="6"/>
  <c r="M35" i="20"/>
  <c r="P12" i="6"/>
  <c r="M12" i="20" s="1"/>
  <c r="O69" i="6"/>
  <c r="J229" i="5"/>
  <c r="D36" i="6" s="1"/>
  <c r="D86" i="6"/>
  <c r="L285" i="5"/>
  <c r="D155" i="31"/>
  <c r="E321" i="5"/>
  <c r="C24" i="30"/>
  <c r="G285" i="5"/>
  <c r="I229" i="5" s="1"/>
  <c r="M85" i="20"/>
  <c r="N87" i="6"/>
  <c r="N89" i="6" s="1"/>
  <c r="P15" i="6"/>
  <c r="Q35" i="6"/>
  <c r="E175" i="20"/>
  <c r="E86" i="20" s="1"/>
  <c r="D167" i="20"/>
  <c r="O66" i="6"/>
  <c r="O35" i="6"/>
  <c r="O12" i="6" l="1"/>
  <c r="P51" i="6"/>
  <c r="P63" i="6"/>
  <c r="P48" i="6"/>
  <c r="P57" i="6"/>
  <c r="P45" i="6"/>
  <c r="P54" i="6"/>
  <c r="G40" i="10"/>
  <c r="G46" i="10" s="1"/>
  <c r="P62" i="6"/>
  <c r="M62" i="20" s="1"/>
  <c r="N62" i="20" s="1"/>
  <c r="P73" i="6"/>
  <c r="P75" i="6" s="1"/>
  <c r="O36" i="6"/>
  <c r="P38" i="6"/>
  <c r="D173" i="20"/>
  <c r="D171" i="20"/>
  <c r="Q54" i="6"/>
  <c r="Q57" i="6"/>
  <c r="Q45" i="6"/>
  <c r="Q62" i="6"/>
  <c r="Q63" i="6"/>
  <c r="Q51" i="6"/>
  <c r="Q48" i="6"/>
  <c r="Q73" i="6"/>
  <c r="Q75" i="6" s="1"/>
  <c r="Q38" i="6"/>
  <c r="Q12" i="6"/>
  <c r="M15" i="20"/>
  <c r="P6" i="6"/>
  <c r="P17" i="6" s="1"/>
  <c r="Q15" i="6"/>
  <c r="P9" i="6"/>
  <c r="AB85" i="20"/>
  <c r="D13" i="6"/>
  <c r="H24" i="33" s="1"/>
  <c r="D35" i="6"/>
  <c r="AD85" i="20"/>
  <c r="Z85" i="20"/>
  <c r="R85" i="20"/>
  <c r="X85" i="20"/>
  <c r="P85" i="20"/>
  <c r="P68" i="6"/>
  <c r="P66" i="6"/>
  <c r="Q66" i="6"/>
  <c r="P65" i="6"/>
  <c r="M65" i="20" s="1"/>
  <c r="Q65" i="6"/>
  <c r="C110" i="6"/>
  <c r="C108" i="6" s="1"/>
  <c r="H285" i="5"/>
  <c r="D54" i="25"/>
  <c r="D7" i="25"/>
  <c r="D53" i="25"/>
  <c r="D24" i="25"/>
  <c r="D66" i="25"/>
  <c r="D20" i="25"/>
  <c r="D101" i="25"/>
  <c r="D40" i="25"/>
  <c r="D41" i="25"/>
  <c r="D78" i="25"/>
  <c r="D18" i="25"/>
  <c r="D92" i="25"/>
  <c r="D94" i="25"/>
  <c r="D98" i="25"/>
  <c r="D14" i="25"/>
  <c r="D19" i="25"/>
  <c r="D11" i="25"/>
  <c r="D90" i="25"/>
  <c r="D35" i="25"/>
  <c r="D93" i="25"/>
  <c r="D31" i="25"/>
  <c r="D38" i="25"/>
  <c r="D57" i="25"/>
  <c r="D27" i="25"/>
  <c r="D17" i="25"/>
  <c r="D56" i="25"/>
  <c r="D67" i="25"/>
  <c r="D9" i="25"/>
  <c r="D44" i="25"/>
  <c r="D95" i="25"/>
  <c r="D43" i="25"/>
  <c r="D71" i="25"/>
  <c r="D64" i="25"/>
  <c r="D15" i="25"/>
  <c r="D25" i="25"/>
  <c r="D39" i="25"/>
  <c r="D96" i="25"/>
  <c r="D83" i="25"/>
  <c r="D99" i="25"/>
  <c r="D81" i="25"/>
  <c r="D86" i="25"/>
  <c r="D26" i="25"/>
  <c r="D28" i="25"/>
  <c r="D76" i="25"/>
  <c r="D72" i="25"/>
  <c r="D97" i="25"/>
  <c r="D69" i="25"/>
  <c r="D21" i="25"/>
  <c r="D47" i="25"/>
  <c r="D61" i="25"/>
  <c r="D36" i="25"/>
  <c r="D10" i="25"/>
  <c r="D46" i="25"/>
  <c r="D49" i="25"/>
  <c r="D45" i="25"/>
  <c r="D65" i="25"/>
  <c r="D55" i="25"/>
  <c r="D8" i="25"/>
  <c r="D33" i="25"/>
  <c r="D88" i="25"/>
  <c r="D6" i="25"/>
  <c r="D12" i="25"/>
  <c r="D89" i="25"/>
  <c r="D87" i="25"/>
  <c r="D80" i="25"/>
  <c r="D103" i="25"/>
  <c r="D51" i="25"/>
  <c r="D48" i="25"/>
  <c r="D23" i="25"/>
  <c r="D5" i="25"/>
  <c r="D85" i="25"/>
  <c r="D102" i="25"/>
  <c r="D30" i="25"/>
  <c r="D91" i="25"/>
  <c r="D70" i="25"/>
  <c r="D62" i="25"/>
  <c r="D52" i="25"/>
  <c r="D74" i="25"/>
  <c r="D50" i="25"/>
  <c r="D63" i="25"/>
  <c r="D100" i="25"/>
  <c r="D29" i="25"/>
  <c r="D34" i="25"/>
  <c r="D60" i="25"/>
  <c r="D79" i="25"/>
  <c r="D68" i="25"/>
  <c r="D84" i="25"/>
  <c r="D104" i="25"/>
  <c r="D75" i="25"/>
  <c r="D37" i="25"/>
  <c r="D32" i="25"/>
  <c r="D16" i="25"/>
  <c r="D59" i="25"/>
  <c r="D82" i="25"/>
  <c r="D13" i="25"/>
  <c r="D42" i="25"/>
  <c r="D77" i="25"/>
  <c r="D58" i="25"/>
  <c r="D73" i="25"/>
  <c r="D22" i="25"/>
  <c r="B20" i="24"/>
  <c r="D149" i="20"/>
  <c r="B12" i="24"/>
  <c r="F321" i="5"/>
  <c r="E323" i="5"/>
  <c r="N85" i="20"/>
  <c r="N15" i="20" s="1"/>
  <c r="D94" i="6"/>
  <c r="E16" i="6"/>
  <c r="D88" i="6"/>
  <c r="D85" i="6"/>
  <c r="D16" i="6"/>
  <c r="AF85" i="20"/>
  <c r="J85" i="20"/>
  <c r="V85" i="20"/>
  <c r="L85" i="20"/>
  <c r="T85" i="20"/>
  <c r="Q68" i="6"/>
  <c r="O70" i="6"/>
  <c r="C12" i="24" l="1"/>
  <c r="C20" i="24"/>
  <c r="F20" i="24"/>
  <c r="H25" i="33"/>
  <c r="Q70" i="6"/>
  <c r="Q69" i="6"/>
  <c r="T86" i="20"/>
  <c r="T87" i="20" s="1"/>
  <c r="T15" i="20"/>
  <c r="V86" i="20"/>
  <c r="V87" i="20" s="1"/>
  <c r="V15" i="20"/>
  <c r="AF86" i="20"/>
  <c r="AF87" i="20" s="1"/>
  <c r="AF15" i="20"/>
  <c r="C85" i="20"/>
  <c r="T40" i="15"/>
  <c r="T37" i="15"/>
  <c r="U37" i="15" s="1"/>
  <c r="D15" i="6"/>
  <c r="T36" i="15"/>
  <c r="U36" i="15" s="1"/>
  <c r="D93" i="6"/>
  <c r="C93" i="20" s="1"/>
  <c r="D87" i="6"/>
  <c r="D89" i="6" s="1"/>
  <c r="T41" i="15"/>
  <c r="U41" i="15" s="1"/>
  <c r="E15" i="6"/>
  <c r="C29" i="6" s="1"/>
  <c r="T34" i="15"/>
  <c r="D163" i="20"/>
  <c r="C100" i="6"/>
  <c r="C109" i="6" s="1"/>
  <c r="P69" i="6"/>
  <c r="P70" i="6"/>
  <c r="M68" i="20"/>
  <c r="X15" i="20"/>
  <c r="X86" i="20"/>
  <c r="X87" i="20" s="1"/>
  <c r="Z15" i="20"/>
  <c r="Z86" i="20"/>
  <c r="Z87" i="20" s="1"/>
  <c r="R14" i="15"/>
  <c r="S14" i="15" s="1"/>
  <c r="D65" i="6"/>
  <c r="R64" i="15"/>
  <c r="S64" i="15" s="1"/>
  <c r="R13" i="15"/>
  <c r="S13" i="15" s="1"/>
  <c r="R26" i="15"/>
  <c r="S26" i="15" s="1"/>
  <c r="D62" i="6"/>
  <c r="R22" i="15"/>
  <c r="S22" i="15" s="1"/>
  <c r="C35" i="20"/>
  <c r="R39" i="15"/>
  <c r="D68" i="6"/>
  <c r="D73" i="6"/>
  <c r="D50" i="6"/>
  <c r="D47" i="6"/>
  <c r="D76" i="6"/>
  <c r="R29" i="15"/>
  <c r="S29" i="15" s="1"/>
  <c r="D12" i="6"/>
  <c r="R16" i="15"/>
  <c r="S16" i="15" s="1"/>
  <c r="D38" i="6"/>
  <c r="R62" i="15"/>
  <c r="S62" i="15" s="1"/>
  <c r="R12" i="15"/>
  <c r="S12" i="15" s="1"/>
  <c r="R69" i="15"/>
  <c r="S69" i="15" s="1"/>
  <c r="R75" i="15"/>
  <c r="S75" i="15" s="1"/>
  <c r="R9" i="15"/>
  <c r="S9" i="15" s="1"/>
  <c r="R7" i="15"/>
  <c r="S7" i="15" s="1"/>
  <c r="R20" i="15"/>
  <c r="S20" i="15" s="1"/>
  <c r="E35" i="6"/>
  <c r="R73" i="15"/>
  <c r="S73" i="15" s="1"/>
  <c r="AB86" i="20"/>
  <c r="AB87" i="20" s="1"/>
  <c r="AB15" i="20"/>
  <c r="P7" i="6"/>
  <c r="P8" i="6"/>
  <c r="P14" i="6"/>
  <c r="M6" i="20"/>
  <c r="Q9" i="6"/>
  <c r="Q6" i="6"/>
  <c r="D172" i="20"/>
  <c r="C56" i="10"/>
  <c r="C53" i="10" s="1"/>
  <c r="C59" i="10" s="1"/>
  <c r="C65" i="10" s="1"/>
  <c r="M38" i="20"/>
  <c r="P39" i="6"/>
  <c r="P41" i="6"/>
  <c r="P44" i="6"/>
  <c r="M44" i="20" s="1"/>
  <c r="N44" i="20" s="1"/>
  <c r="P59" i="6"/>
  <c r="P47" i="6"/>
  <c r="M47" i="20" s="1"/>
  <c r="N47" i="20" s="1"/>
  <c r="P56" i="6"/>
  <c r="M56" i="20" s="1"/>
  <c r="P53" i="6"/>
  <c r="M53" i="20" s="1"/>
  <c r="P50" i="6"/>
  <c r="M50" i="20" s="1"/>
  <c r="L15" i="20"/>
  <c r="L86" i="20"/>
  <c r="L87" i="20" s="1"/>
  <c r="J86" i="20"/>
  <c r="J87" i="20" s="1"/>
  <c r="J15" i="20"/>
  <c r="B324" i="5"/>
  <c r="G89" i="15"/>
  <c r="I30" i="33"/>
  <c r="B326" i="5"/>
  <c r="C49" i="4"/>
  <c r="AR12" i="24"/>
  <c r="X50" i="24"/>
  <c r="S12" i="24"/>
  <c r="P86" i="20"/>
  <c r="P87" i="20" s="1"/>
  <c r="P15" i="20"/>
  <c r="R86" i="20"/>
  <c r="R87" i="20" s="1"/>
  <c r="R15" i="20"/>
  <c r="AD86" i="20"/>
  <c r="AD87" i="20" s="1"/>
  <c r="AD15" i="20"/>
  <c r="M184" i="31"/>
  <c r="N86" i="20"/>
  <c r="N87" i="20" s="1"/>
  <c r="P10" i="6"/>
  <c r="P11" i="6"/>
  <c r="M9" i="20"/>
  <c r="N16" i="20"/>
  <c r="N17" i="20" s="1"/>
  <c r="Q44" i="6"/>
  <c r="Q39" i="6"/>
  <c r="Q56" i="6"/>
  <c r="Q50" i="6"/>
  <c r="Q47" i="6"/>
  <c r="Q53" i="6"/>
  <c r="Q59" i="6"/>
  <c r="Q60" i="6" s="1"/>
  <c r="Q41" i="6"/>
  <c r="Q42" i="6" s="1"/>
  <c r="P74" i="6"/>
  <c r="Q74" i="6"/>
  <c r="N63" i="20"/>
  <c r="N64" i="20" s="1"/>
  <c r="O13" i="6"/>
  <c r="O9" i="6"/>
  <c r="O6" i="6"/>
  <c r="P20" i="6" s="1"/>
  <c r="U34" i="15" l="1"/>
  <c r="U33" i="15" s="1"/>
  <c r="AS12" i="24"/>
  <c r="BI12" i="24" s="1"/>
  <c r="H23" i="33"/>
  <c r="S20" i="24"/>
  <c r="O14" i="6"/>
  <c r="P22" i="6"/>
  <c r="P21" i="6"/>
  <c r="AE50" i="24"/>
  <c r="AN50" i="24"/>
  <c r="AH50" i="24"/>
  <c r="AM50" i="24"/>
  <c r="AG50" i="24"/>
  <c r="AL50" i="24"/>
  <c r="Y50" i="24"/>
  <c r="AD50" i="24"/>
  <c r="AB50" i="24"/>
  <c r="AI50" i="24"/>
  <c r="AC50" i="24"/>
  <c r="AJ50" i="24"/>
  <c r="Z50" i="24"/>
  <c r="AK50" i="24"/>
  <c r="AA50" i="24"/>
  <c r="AF50" i="24"/>
  <c r="X52" i="24"/>
  <c r="C51" i="4"/>
  <c r="C53" i="4"/>
  <c r="L16" i="20"/>
  <c r="L17" i="20" s="1"/>
  <c r="L9" i="20"/>
  <c r="L10" i="20" s="1"/>
  <c r="L11" i="20" s="1"/>
  <c r="L6" i="20"/>
  <c r="N53" i="20"/>
  <c r="N54" i="20" s="1"/>
  <c r="N55" i="20" s="1"/>
  <c r="N48" i="20"/>
  <c r="N49" i="20" s="1"/>
  <c r="N45" i="20"/>
  <c r="N46" i="20" s="1"/>
  <c r="Q7" i="6"/>
  <c r="Q20" i="6"/>
  <c r="Q8" i="6"/>
  <c r="Q14" i="6"/>
  <c r="Q17" i="6"/>
  <c r="L84" i="15"/>
  <c r="E65" i="6"/>
  <c r="E68" i="6"/>
  <c r="E73" i="6"/>
  <c r="E76" i="6"/>
  <c r="E77" i="6" s="1"/>
  <c r="E36" i="6"/>
  <c r="E13" i="6" s="1"/>
  <c r="E38" i="6"/>
  <c r="E62" i="6"/>
  <c r="E63" i="6" s="1"/>
  <c r="E12" i="6"/>
  <c r="D48" i="6"/>
  <c r="C47" i="20"/>
  <c r="D75" i="6"/>
  <c r="D74" i="6"/>
  <c r="D66" i="6"/>
  <c r="C65" i="20"/>
  <c r="N68" i="20"/>
  <c r="N69" i="20" s="1"/>
  <c r="N70" i="20" s="1"/>
  <c r="C107" i="6"/>
  <c r="C114" i="6"/>
  <c r="D115" i="6"/>
  <c r="D116" i="6" s="1"/>
  <c r="C103" i="6"/>
  <c r="C117" i="6"/>
  <c r="C101" i="6"/>
  <c r="C18" i="6"/>
  <c r="C15" i="20"/>
  <c r="C28" i="6"/>
  <c r="V3" i="25"/>
  <c r="U40" i="15"/>
  <c r="AF16" i="20"/>
  <c r="AF17" i="20" s="1"/>
  <c r="AF9" i="20"/>
  <c r="AF10" i="20" s="1"/>
  <c r="AF11" i="20" s="1"/>
  <c r="AF6" i="20"/>
  <c r="V16" i="20"/>
  <c r="V17" i="20" s="1"/>
  <c r="V6" i="20"/>
  <c r="V9" i="20"/>
  <c r="V10" i="20" s="1"/>
  <c r="V11" i="20" s="1"/>
  <c r="T9" i="20"/>
  <c r="T10" i="20" s="1"/>
  <c r="T11" i="20" s="1"/>
  <c r="T16" i="20"/>
  <c r="T17" i="20" s="1"/>
  <c r="T6" i="20"/>
  <c r="O7" i="6"/>
  <c r="O8" i="6"/>
  <c r="O17" i="6"/>
  <c r="O10" i="6"/>
  <c r="O11" i="6"/>
  <c r="AD16" i="20"/>
  <c r="AD17" i="20" s="1"/>
  <c r="AD9" i="20"/>
  <c r="AD10" i="20" s="1"/>
  <c r="AD11" i="20" s="1"/>
  <c r="AD6" i="20"/>
  <c r="R16" i="20"/>
  <c r="R17" i="20" s="1"/>
  <c r="R6" i="20"/>
  <c r="R9" i="20"/>
  <c r="R10" i="20" s="1"/>
  <c r="R11" i="20" s="1"/>
  <c r="P16" i="20"/>
  <c r="P17" i="20" s="1"/>
  <c r="P6" i="20"/>
  <c r="P9" i="20"/>
  <c r="P10" i="20" s="1"/>
  <c r="P11" i="20" s="1"/>
  <c r="AR20" i="24"/>
  <c r="J16" i="20"/>
  <c r="J17" i="20" s="1"/>
  <c r="J6" i="20"/>
  <c r="J9" i="20"/>
  <c r="J10" i="20" s="1"/>
  <c r="J11" i="20" s="1"/>
  <c r="N52" i="20"/>
  <c r="N50" i="20"/>
  <c r="N51" i="20" s="1"/>
  <c r="N56" i="20"/>
  <c r="N57" i="20" s="1"/>
  <c r="N58" i="20" s="1"/>
  <c r="P60" i="6"/>
  <c r="M59" i="20"/>
  <c r="P42" i="6"/>
  <c r="M41" i="20"/>
  <c r="N41" i="20" s="1"/>
  <c r="Q11" i="6"/>
  <c r="Q10" i="6"/>
  <c r="AB16" i="20"/>
  <c r="AB17" i="20" s="1"/>
  <c r="AB6" i="20"/>
  <c r="AB9" i="20"/>
  <c r="AB10" i="20" s="1"/>
  <c r="AB11" i="20" s="1"/>
  <c r="C41" i="30"/>
  <c r="C44" i="30" s="1"/>
  <c r="C45" i="30" s="1"/>
  <c r="C51" i="30" s="1"/>
  <c r="C52" i="30" s="1"/>
  <c r="D44" i="6"/>
  <c r="C38" i="20"/>
  <c r="D41" i="6"/>
  <c r="D39" i="6"/>
  <c r="D53" i="6"/>
  <c r="D56" i="6"/>
  <c r="D59" i="6"/>
  <c r="U3" i="25"/>
  <c r="D9" i="6"/>
  <c r="W9" i="15" s="1"/>
  <c r="N5" i="33" s="1"/>
  <c r="B28" i="6"/>
  <c r="C12" i="20"/>
  <c r="D6" i="6"/>
  <c r="D77" i="6"/>
  <c r="C76" i="20"/>
  <c r="C77" i="20" s="1"/>
  <c r="D51" i="6"/>
  <c r="C50" i="20"/>
  <c r="D69" i="6"/>
  <c r="D70" i="6"/>
  <c r="C68" i="20"/>
  <c r="D63" i="6"/>
  <c r="C62" i="20"/>
  <c r="Z16" i="20"/>
  <c r="Z17" i="20" s="1"/>
  <c r="Z9" i="20"/>
  <c r="Z10" i="20" s="1"/>
  <c r="Z11" i="20" s="1"/>
  <c r="Z6" i="20"/>
  <c r="X16" i="20"/>
  <c r="X17" i="20" s="1"/>
  <c r="X6" i="20"/>
  <c r="X9" i="20"/>
  <c r="X10" i="20" s="1"/>
  <c r="X11" i="20" s="1"/>
  <c r="E87" i="20"/>
  <c r="D85" i="20"/>
  <c r="H22" i="33" l="1"/>
  <c r="V88" i="33" s="1"/>
  <c r="AS20" i="24"/>
  <c r="AV20" i="24"/>
  <c r="W14" i="15"/>
  <c r="N8" i="33" s="1"/>
  <c r="Q8" i="33" s="1"/>
  <c r="Q5" i="33"/>
  <c r="D93" i="20"/>
  <c r="D15" i="20"/>
  <c r="D16" i="20" s="1"/>
  <c r="D17" i="20" s="1"/>
  <c r="D86" i="20"/>
  <c r="U90" i="25"/>
  <c r="U83" i="25"/>
  <c r="U95" i="25"/>
  <c r="U8" i="25"/>
  <c r="U97" i="25"/>
  <c r="U12" i="25"/>
  <c r="U29" i="25"/>
  <c r="U51" i="25"/>
  <c r="U20" i="25"/>
  <c r="U21" i="25"/>
  <c r="U73" i="25"/>
  <c r="U17" i="25"/>
  <c r="U60" i="25"/>
  <c r="U98" i="25"/>
  <c r="U58" i="25"/>
  <c r="U41" i="25"/>
  <c r="U67" i="25"/>
  <c r="U53" i="25"/>
  <c r="U37" i="25"/>
  <c r="U93" i="25"/>
  <c r="U92" i="25"/>
  <c r="U5" i="25"/>
  <c r="U103" i="25"/>
  <c r="U13" i="25"/>
  <c r="U18" i="25"/>
  <c r="U56" i="25"/>
  <c r="U30" i="25"/>
  <c r="U52" i="25"/>
  <c r="U54" i="25"/>
  <c r="U32" i="25"/>
  <c r="U22" i="25"/>
  <c r="U44" i="25"/>
  <c r="U82" i="25"/>
  <c r="U6" i="25"/>
  <c r="U49" i="25"/>
  <c r="U76" i="25"/>
  <c r="U35" i="25"/>
  <c r="U96" i="25"/>
  <c r="U62" i="25"/>
  <c r="U80" i="25"/>
  <c r="U31" i="25"/>
  <c r="U38" i="25"/>
  <c r="U50" i="25"/>
  <c r="U75" i="25"/>
  <c r="U74" i="25"/>
  <c r="U47" i="25"/>
  <c r="U40" i="25"/>
  <c r="U14" i="25"/>
  <c r="U24" i="25"/>
  <c r="U70" i="25"/>
  <c r="U69" i="25"/>
  <c r="U57" i="25"/>
  <c r="U63" i="25"/>
  <c r="U91" i="25"/>
  <c r="U7" i="25"/>
  <c r="U15" i="25"/>
  <c r="U84" i="25"/>
  <c r="U43" i="25"/>
  <c r="U101" i="25"/>
  <c r="U11" i="25"/>
  <c r="U100" i="25"/>
  <c r="U66" i="25"/>
  <c r="U25" i="25"/>
  <c r="U33" i="25"/>
  <c r="U61" i="25"/>
  <c r="U16" i="25"/>
  <c r="U23" i="25"/>
  <c r="U48" i="25"/>
  <c r="U94" i="25"/>
  <c r="U9" i="25"/>
  <c r="U99" i="25"/>
  <c r="U45" i="25"/>
  <c r="U10" i="25"/>
  <c r="U55" i="25"/>
  <c r="U89" i="25"/>
  <c r="U81" i="25"/>
  <c r="U87" i="25"/>
  <c r="U102" i="25"/>
  <c r="U104" i="25"/>
  <c r="U78" i="25"/>
  <c r="U88" i="25"/>
  <c r="U77" i="25"/>
  <c r="U72" i="25"/>
  <c r="U79" i="25"/>
  <c r="U64" i="25"/>
  <c r="U26" i="25"/>
  <c r="U86" i="25"/>
  <c r="U71" i="25"/>
  <c r="U46" i="25"/>
  <c r="U28" i="25"/>
  <c r="U27" i="25"/>
  <c r="U36" i="25"/>
  <c r="U19" i="25"/>
  <c r="U85" i="25"/>
  <c r="U68" i="25"/>
  <c r="U39" i="25"/>
  <c r="U65" i="25"/>
  <c r="U59" i="25"/>
  <c r="U34" i="25"/>
  <c r="U42" i="25"/>
  <c r="D37" i="6"/>
  <c r="X7" i="20"/>
  <c r="X8" i="20" s="1"/>
  <c r="X23" i="20"/>
  <c r="X24" i="20" s="1"/>
  <c r="Z7" i="20"/>
  <c r="Z8" i="20" s="1"/>
  <c r="Z23" i="20"/>
  <c r="Z24" i="20" s="1"/>
  <c r="W13" i="15"/>
  <c r="N7" i="33" s="1"/>
  <c r="Q7" i="33" s="1"/>
  <c r="D52" i="20"/>
  <c r="D50" i="20"/>
  <c r="D51" i="20" s="1"/>
  <c r="D32" i="24"/>
  <c r="D19" i="6"/>
  <c r="D34" i="24"/>
  <c r="D30" i="24"/>
  <c r="D33" i="24"/>
  <c r="D7" i="6"/>
  <c r="D31" i="24"/>
  <c r="D29" i="24"/>
  <c r="D27" i="24"/>
  <c r="D28" i="24"/>
  <c r="C6" i="20"/>
  <c r="D26" i="24"/>
  <c r="W3" i="25"/>
  <c r="D23" i="6"/>
  <c r="D14" i="6"/>
  <c r="D60" i="6"/>
  <c r="C59" i="20"/>
  <c r="D54" i="6"/>
  <c r="C53" i="20"/>
  <c r="D42" i="6"/>
  <c r="C41" i="20"/>
  <c r="C44" i="20"/>
  <c r="D46" i="6"/>
  <c r="C43" i="30"/>
  <c r="D45" i="6"/>
  <c r="W12" i="15"/>
  <c r="N6" i="33" s="1"/>
  <c r="Q6" i="33" s="1"/>
  <c r="W73" i="15"/>
  <c r="AB7" i="20"/>
  <c r="AB8" i="20" s="1"/>
  <c r="AB23" i="20"/>
  <c r="AB24" i="20" s="1"/>
  <c r="N42" i="20"/>
  <c r="N43" i="20" s="1"/>
  <c r="N59" i="20"/>
  <c r="N60" i="20" s="1"/>
  <c r="N61" i="20" s="1"/>
  <c r="P7" i="20"/>
  <c r="P8" i="20" s="1"/>
  <c r="P23" i="20"/>
  <c r="P24" i="20" s="1"/>
  <c r="M187" i="31"/>
  <c r="Q29" i="33"/>
  <c r="Q22" i="33"/>
  <c r="Q28" i="33"/>
  <c r="Q19" i="33"/>
  <c r="Q23" i="33"/>
  <c r="Q24" i="33"/>
  <c r="Q20" i="33"/>
  <c r="Q21" i="33"/>
  <c r="U38" i="15"/>
  <c r="U6" i="15" s="1"/>
  <c r="W40" i="15"/>
  <c r="N17" i="33" s="1"/>
  <c r="Q17" i="33" s="1"/>
  <c r="D28" i="20"/>
  <c r="D27" i="6"/>
  <c r="C6" i="6"/>
  <c r="W64" i="15"/>
  <c r="N25" i="33" s="1"/>
  <c r="Q25" i="33" s="1"/>
  <c r="W22" i="15"/>
  <c r="N10" i="33" s="1"/>
  <c r="Q10" i="33" s="1"/>
  <c r="D47" i="20"/>
  <c r="D48" i="20" s="1"/>
  <c r="D49" i="20" s="1"/>
  <c r="W29" i="15"/>
  <c r="N12" i="33" s="1"/>
  <c r="Q12" i="33" s="1"/>
  <c r="W62" i="15"/>
  <c r="F14" i="6"/>
  <c r="F15" i="6"/>
  <c r="O34" i="15"/>
  <c r="E75" i="6"/>
  <c r="E74" i="6"/>
  <c r="E66" i="6"/>
  <c r="E67" i="6"/>
  <c r="L23" i="20"/>
  <c r="L24" i="20" s="1"/>
  <c r="L7" i="20"/>
  <c r="L8" i="20" s="1"/>
  <c r="B84" i="15"/>
  <c r="X54" i="24"/>
  <c r="Z52" i="24"/>
  <c r="Z53" i="24" s="1"/>
  <c r="AB52" i="24"/>
  <c r="AB53" i="24" s="1"/>
  <c r="AN52" i="24"/>
  <c r="AN53" i="24" s="1"/>
  <c r="AL52" i="24"/>
  <c r="AL53" i="24" s="1"/>
  <c r="AD52" i="24"/>
  <c r="AD53" i="24" s="1"/>
  <c r="AF52" i="24"/>
  <c r="AF53" i="24" s="1"/>
  <c r="AC52" i="24"/>
  <c r="AC53" i="24" s="1"/>
  <c r="AG52" i="24"/>
  <c r="AG53" i="24" s="1"/>
  <c r="AK52" i="24"/>
  <c r="AK53" i="24" s="1"/>
  <c r="AI52" i="24"/>
  <c r="AI53" i="24" s="1"/>
  <c r="AM52" i="24"/>
  <c r="AM53" i="24" s="1"/>
  <c r="AH52" i="24"/>
  <c r="AH53" i="24" s="1"/>
  <c r="Y52" i="24"/>
  <c r="Y53" i="24" s="1"/>
  <c r="B210" i="25" s="1"/>
  <c r="AA52" i="24"/>
  <c r="AA53" i="24" s="1"/>
  <c r="AE52" i="24"/>
  <c r="AE53" i="24" s="1"/>
  <c r="AJ52" i="24"/>
  <c r="AJ53" i="24" s="1"/>
  <c r="AA51" i="24"/>
  <c r="Z51" i="24"/>
  <c r="Z54" i="24"/>
  <c r="AC51" i="24"/>
  <c r="AB51" i="24"/>
  <c r="Y51" i="24"/>
  <c r="B420" i="25" s="1"/>
  <c r="AG51" i="24"/>
  <c r="AH51" i="24"/>
  <c r="AE51" i="24"/>
  <c r="D68" i="20"/>
  <c r="D80" i="20" s="1"/>
  <c r="B28" i="20"/>
  <c r="V73" i="15"/>
  <c r="V9" i="15"/>
  <c r="V69" i="15"/>
  <c r="V64" i="15"/>
  <c r="V16" i="15"/>
  <c r="V14" i="15"/>
  <c r="V40" i="15"/>
  <c r="V26" i="15"/>
  <c r="V12" i="15"/>
  <c r="V62" i="15"/>
  <c r="D10" i="6"/>
  <c r="E44" i="24" s="1"/>
  <c r="V7" i="15"/>
  <c r="V36" i="15"/>
  <c r="D11" i="6"/>
  <c r="V22" i="15"/>
  <c r="V20" i="15"/>
  <c r="V13" i="15"/>
  <c r="V37" i="15"/>
  <c r="V39" i="15"/>
  <c r="V41" i="15"/>
  <c r="V29" i="15"/>
  <c r="V75" i="15"/>
  <c r="W75" i="15" s="1"/>
  <c r="N27" i="33" s="1"/>
  <c r="Q27" i="33" s="1"/>
  <c r="C9" i="20"/>
  <c r="W36" i="15"/>
  <c r="N14" i="33" s="1"/>
  <c r="Q14" i="33" s="1"/>
  <c r="W37" i="15"/>
  <c r="N15" i="33" s="1"/>
  <c r="Q15" i="33" s="1"/>
  <c r="W41" i="15"/>
  <c r="N18" i="33" s="1"/>
  <c r="Q18" i="33" s="1"/>
  <c r="C56" i="20"/>
  <c r="D57" i="6"/>
  <c r="C53" i="30"/>
  <c r="W20" i="15"/>
  <c r="J7" i="20"/>
  <c r="J8" i="20" s="1"/>
  <c r="J23" i="20"/>
  <c r="J24" i="20" s="1"/>
  <c r="R7" i="20"/>
  <c r="R8" i="20" s="1"/>
  <c r="R23" i="20"/>
  <c r="R24" i="20" s="1"/>
  <c r="AD7" i="20"/>
  <c r="AD8" i="20" s="1"/>
  <c r="AD23" i="20"/>
  <c r="AD24" i="20" s="1"/>
  <c r="T7" i="20"/>
  <c r="T8" i="20" s="1"/>
  <c r="T23" i="20"/>
  <c r="T24" i="20" s="1"/>
  <c r="V7" i="20"/>
  <c r="V8" i="20" s="1"/>
  <c r="V23" i="20"/>
  <c r="V24" i="20" s="1"/>
  <c r="AF7" i="20"/>
  <c r="AF8" i="20" s="1"/>
  <c r="AF23" i="20"/>
  <c r="AF24" i="20" s="1"/>
  <c r="V24" i="25"/>
  <c r="V30" i="25"/>
  <c r="V93" i="25"/>
  <c r="V87" i="25"/>
  <c r="V42" i="25"/>
  <c r="V68" i="25"/>
  <c r="V98" i="25"/>
  <c r="V29" i="25"/>
  <c r="V80" i="25"/>
  <c r="V100" i="25"/>
  <c r="V41" i="25"/>
  <c r="V76" i="25"/>
  <c r="V9" i="25"/>
  <c r="V92" i="25"/>
  <c r="V90" i="25"/>
  <c r="V50" i="25"/>
  <c r="V36" i="25"/>
  <c r="V34" i="25"/>
  <c r="V65" i="25"/>
  <c r="V78" i="25"/>
  <c r="V89" i="25"/>
  <c r="V91" i="25"/>
  <c r="V74" i="25"/>
  <c r="V82" i="25"/>
  <c r="V17" i="25"/>
  <c r="V77" i="25"/>
  <c r="V99" i="25"/>
  <c r="V52" i="25"/>
  <c r="V38" i="25"/>
  <c r="V81" i="25"/>
  <c r="V57" i="25"/>
  <c r="V70" i="25"/>
  <c r="V88" i="25"/>
  <c r="V14" i="25"/>
  <c r="V31" i="25"/>
  <c r="V59" i="25"/>
  <c r="V63" i="25"/>
  <c r="V103" i="25"/>
  <c r="V19" i="25"/>
  <c r="V62" i="25"/>
  <c r="V35" i="25"/>
  <c r="V33" i="25"/>
  <c r="V45" i="25"/>
  <c r="V101" i="25"/>
  <c r="V37" i="25"/>
  <c r="V54" i="25"/>
  <c r="V71" i="25"/>
  <c r="V96" i="25"/>
  <c r="V18" i="25"/>
  <c r="V86" i="25"/>
  <c r="V95" i="25"/>
  <c r="V25" i="25"/>
  <c r="V47" i="25"/>
  <c r="V49" i="25"/>
  <c r="V97" i="25"/>
  <c r="V85" i="25"/>
  <c r="V20" i="25"/>
  <c r="V11" i="25"/>
  <c r="V60" i="25"/>
  <c r="V67" i="25"/>
  <c r="V58" i="25"/>
  <c r="V56" i="25"/>
  <c r="V84" i="25"/>
  <c r="V26" i="25"/>
  <c r="V69" i="25"/>
  <c r="V104" i="25"/>
  <c r="V64" i="25"/>
  <c r="V28" i="25"/>
  <c r="V51" i="25"/>
  <c r="V21" i="25"/>
  <c r="V48" i="25"/>
  <c r="V43" i="25"/>
  <c r="V66" i="25"/>
  <c r="V22" i="25"/>
  <c r="V44" i="25"/>
  <c r="V8" i="25"/>
  <c r="V10" i="25"/>
  <c r="V53" i="25"/>
  <c r="V79" i="25"/>
  <c r="V94" i="25"/>
  <c r="V32" i="25"/>
  <c r="V27" i="25"/>
  <c r="V15" i="25"/>
  <c r="V6" i="25"/>
  <c r="V72" i="25"/>
  <c r="V5" i="25"/>
  <c r="V73" i="25"/>
  <c r="V23" i="25"/>
  <c r="V46" i="25"/>
  <c r="V102" i="25"/>
  <c r="V61" i="25"/>
  <c r="V75" i="25"/>
  <c r="V40" i="25"/>
  <c r="V16" i="25"/>
  <c r="V13" i="25"/>
  <c r="V7" i="25"/>
  <c r="V55" i="25"/>
  <c r="V39" i="25"/>
  <c r="V83" i="25"/>
  <c r="V12" i="25"/>
  <c r="D17" i="6"/>
  <c r="W26" i="15"/>
  <c r="N11" i="33" s="1"/>
  <c r="Q11" i="33" s="1"/>
  <c r="W16" i="15"/>
  <c r="N9" i="33" s="1"/>
  <c r="Q9" i="33" s="1"/>
  <c r="W69" i="15"/>
  <c r="N26" i="33" s="1"/>
  <c r="Q26" i="33" s="1"/>
  <c r="W7" i="15"/>
  <c r="C324" i="5"/>
  <c r="H29" i="33"/>
  <c r="C4" i="15"/>
  <c r="B29" i="6"/>
  <c r="E4" i="15"/>
  <c r="E6" i="6"/>
  <c r="E9" i="6"/>
  <c r="E10" i="6" s="1"/>
  <c r="F11" i="6" s="1"/>
  <c r="E47" i="6"/>
  <c r="E48" i="6" s="1"/>
  <c r="E53" i="6"/>
  <c r="E54" i="6" s="1"/>
  <c r="E59" i="6"/>
  <c r="E60" i="6" s="1"/>
  <c r="E50" i="6"/>
  <c r="E51" i="6" s="1"/>
  <c r="E44" i="6"/>
  <c r="F38" i="6" s="1"/>
  <c r="E41" i="6"/>
  <c r="E42" i="6" s="1"/>
  <c r="E39" i="6"/>
  <c r="E56" i="6"/>
  <c r="E57" i="6" s="1"/>
  <c r="E70" i="6"/>
  <c r="E69" i="6"/>
  <c r="Q21" i="6"/>
  <c r="Q22" i="6"/>
  <c r="H34" i="33"/>
  <c r="F94" i="15" s="1"/>
  <c r="F89" i="15"/>
  <c r="F90" i="15" s="1"/>
  <c r="B83" i="15"/>
  <c r="AF51" i="24"/>
  <c r="AK51" i="24"/>
  <c r="AJ51" i="24"/>
  <c r="AI51" i="24"/>
  <c r="AD51" i="24"/>
  <c r="AL51" i="24"/>
  <c r="AM51" i="24"/>
  <c r="AN51" i="24"/>
  <c r="D62" i="20"/>
  <c r="D63" i="20" s="1"/>
  <c r="D64" i="20" s="1"/>
  <c r="V86" i="33" l="1"/>
  <c r="U86" i="33" s="1"/>
  <c r="V87" i="33"/>
  <c r="V84" i="33"/>
  <c r="U84" i="33" s="1"/>
  <c r="V85" i="33"/>
  <c r="V82" i="33"/>
  <c r="U82" i="33" s="1"/>
  <c r="V83" i="33"/>
  <c r="U83" i="33" s="1"/>
  <c r="V80" i="33"/>
  <c r="U80" i="33" s="1"/>
  <c r="V81" i="33"/>
  <c r="U81" i="33" s="1"/>
  <c r="U88" i="33"/>
  <c r="V79" i="33"/>
  <c r="U79" i="33" s="1"/>
  <c r="J25" i="33"/>
  <c r="H420" i="25"/>
  <c r="H425" i="25" s="1"/>
  <c r="J420" i="25"/>
  <c r="K420" i="25" s="1"/>
  <c r="F91" i="15"/>
  <c r="D420" i="25"/>
  <c r="D430" i="25" s="1"/>
  <c r="F210" i="25"/>
  <c r="F211" i="25" s="1"/>
  <c r="L420" i="25"/>
  <c r="L421" i="25" s="1"/>
  <c r="L210" i="25"/>
  <c r="M210" i="25" s="1"/>
  <c r="M211" i="25" s="1"/>
  <c r="J210" i="25"/>
  <c r="J211" i="25" s="1"/>
  <c r="F420" i="25"/>
  <c r="F425" i="25" s="1"/>
  <c r="H210" i="25"/>
  <c r="H211" i="25" s="1"/>
  <c r="D210" i="25"/>
  <c r="E210" i="25" s="1"/>
  <c r="E211" i="25" s="1"/>
  <c r="BI20" i="24"/>
  <c r="D94" i="20"/>
  <c r="D87" i="20"/>
  <c r="AB54" i="24"/>
  <c r="AN54" i="24"/>
  <c r="Y54" i="24"/>
  <c r="B315" i="25" s="1"/>
  <c r="B316" i="25" s="1"/>
  <c r="AM54" i="24"/>
  <c r="AD54" i="24"/>
  <c r="AK54" i="24"/>
  <c r="AE54" i="24"/>
  <c r="AC54" i="24"/>
  <c r="C325" i="5"/>
  <c r="C326" i="5" s="1"/>
  <c r="AL54" i="24"/>
  <c r="AI54" i="24"/>
  <c r="AH54" i="24"/>
  <c r="AJ54" i="24"/>
  <c r="AF54" i="24"/>
  <c r="N38" i="20"/>
  <c r="N39" i="20" s="1"/>
  <c r="N40" i="20" s="1"/>
  <c r="AG54" i="24"/>
  <c r="C338" i="5"/>
  <c r="E37" i="6"/>
  <c r="D69" i="20"/>
  <c r="D70" i="20" s="1"/>
  <c r="AA54" i="24"/>
  <c r="D315" i="25" s="1"/>
  <c r="H427" i="25"/>
  <c r="E19" i="6"/>
  <c r="E7" i="6"/>
  <c r="E20" i="6"/>
  <c r="E23" i="6"/>
  <c r="E24" i="6" s="1"/>
  <c r="D56" i="20"/>
  <c r="D57" i="20" s="1"/>
  <c r="D58" i="20" s="1"/>
  <c r="E327" i="5"/>
  <c r="C420" i="25"/>
  <c r="B429" i="25"/>
  <c r="B427" i="25"/>
  <c r="B424" i="25"/>
  <c r="B423" i="25"/>
  <c r="B428" i="25"/>
  <c r="B426" i="25"/>
  <c r="B430" i="25"/>
  <c r="B421" i="25"/>
  <c r="B425" i="25"/>
  <c r="D423" i="25"/>
  <c r="C210" i="25"/>
  <c r="C211" i="25" s="1"/>
  <c r="B211" i="25"/>
  <c r="V34" i="15"/>
  <c r="R34" i="15"/>
  <c r="AP19" i="6"/>
  <c r="L19" i="6"/>
  <c r="R19" i="6"/>
  <c r="C17" i="6"/>
  <c r="U19" i="6"/>
  <c r="X19" i="6"/>
  <c r="I19" i="6"/>
  <c r="O19" i="6"/>
  <c r="AJ19" i="6"/>
  <c r="C11" i="6"/>
  <c r="AD19" i="6"/>
  <c r="C23" i="6"/>
  <c r="AG19" i="6"/>
  <c r="AM19" i="6"/>
  <c r="AA19" i="6"/>
  <c r="C14" i="6"/>
  <c r="C7" i="6"/>
  <c r="C24" i="6" s="1"/>
  <c r="E46" i="20"/>
  <c r="D44" i="20"/>
  <c r="D45" i="20" s="1"/>
  <c r="D46" i="20" s="1"/>
  <c r="C23" i="20"/>
  <c r="D24" i="6"/>
  <c r="B80" i="20"/>
  <c r="E46" i="6"/>
  <c r="E45" i="6"/>
  <c r="C57" i="30"/>
  <c r="C58" i="30"/>
  <c r="C60" i="30"/>
  <c r="C61" i="30"/>
  <c r="C19" i="6"/>
  <c r="M186" i="31"/>
  <c r="D41" i="20"/>
  <c r="D53" i="20"/>
  <c r="D54" i="20" s="1"/>
  <c r="D55" i="20" s="1"/>
  <c r="D59" i="20"/>
  <c r="D60" i="20" s="1"/>
  <c r="D61" i="20" s="1"/>
  <c r="D8" i="6"/>
  <c r="D20" i="6"/>
  <c r="Z3" i="25"/>
  <c r="D27" i="20"/>
  <c r="K210" i="25" l="1"/>
  <c r="K211" i="25" s="1"/>
  <c r="J430" i="25"/>
  <c r="L426" i="25"/>
  <c r="D424" i="25"/>
  <c r="M420" i="25"/>
  <c r="M425" i="25" s="1"/>
  <c r="J423" i="25"/>
  <c r="J424" i="25"/>
  <c r="D421" i="25"/>
  <c r="H429" i="25"/>
  <c r="H428" i="25"/>
  <c r="H423" i="25"/>
  <c r="H430" i="25"/>
  <c r="L429" i="25"/>
  <c r="L430" i="25"/>
  <c r="L423" i="25"/>
  <c r="J425" i="25"/>
  <c r="J429" i="25"/>
  <c r="I210" i="25"/>
  <c r="I211" i="25" s="1"/>
  <c r="D429" i="25"/>
  <c r="D425" i="25"/>
  <c r="L427" i="25"/>
  <c r="L424" i="25"/>
  <c r="L425" i="25"/>
  <c r="L428" i="25"/>
  <c r="J428" i="25"/>
  <c r="J421" i="25"/>
  <c r="J427" i="25"/>
  <c r="J426" i="25"/>
  <c r="D427" i="25"/>
  <c r="D428" i="25"/>
  <c r="E420" i="25"/>
  <c r="E421" i="25" s="1"/>
  <c r="D426" i="25"/>
  <c r="L211" i="25"/>
  <c r="H424" i="25"/>
  <c r="H421" i="25"/>
  <c r="I420" i="25"/>
  <c r="I426" i="25" s="1"/>
  <c r="H426" i="25"/>
  <c r="F423" i="25"/>
  <c r="G210" i="25"/>
  <c r="G211" i="25" s="1"/>
  <c r="G420" i="25"/>
  <c r="G421" i="25" s="1"/>
  <c r="D211" i="25"/>
  <c r="F424" i="25"/>
  <c r="F421" i="25"/>
  <c r="F429" i="25"/>
  <c r="L315" i="25"/>
  <c r="M315" i="25" s="1"/>
  <c r="M316" i="25" s="1"/>
  <c r="D316" i="25"/>
  <c r="E315" i="25"/>
  <c r="E316" i="25" s="1"/>
  <c r="J315" i="25"/>
  <c r="K315" i="25" s="1"/>
  <c r="K316" i="25" s="1"/>
  <c r="F427" i="25"/>
  <c r="F428" i="25"/>
  <c r="F426" i="25"/>
  <c r="F430" i="25"/>
  <c r="H315" i="25"/>
  <c r="I315" i="25" s="1"/>
  <c r="I316" i="25" s="1"/>
  <c r="F315" i="25"/>
  <c r="F316" i="25" s="1"/>
  <c r="C315" i="25"/>
  <c r="C316" i="25" s="1"/>
  <c r="N65" i="20"/>
  <c r="N66" i="20" s="1"/>
  <c r="N67" i="20" s="1"/>
  <c r="Z28" i="25"/>
  <c r="Z18" i="25"/>
  <c r="Z27" i="25"/>
  <c r="Z7" i="25"/>
  <c r="Z81" i="25"/>
  <c r="Z31" i="25"/>
  <c r="Z77" i="25"/>
  <c r="Z56" i="25"/>
  <c r="Z95" i="25"/>
  <c r="Z82" i="25"/>
  <c r="Z9" i="25"/>
  <c r="Z42" i="25"/>
  <c r="Z102" i="25"/>
  <c r="Z91" i="25"/>
  <c r="Z71" i="25"/>
  <c r="Z17" i="25"/>
  <c r="Z47" i="25"/>
  <c r="Z63" i="25"/>
  <c r="Z103" i="25"/>
  <c r="Z10" i="25"/>
  <c r="Z41" i="25"/>
  <c r="Z15" i="25"/>
  <c r="Z24" i="25"/>
  <c r="Z92" i="25"/>
  <c r="Z29" i="25"/>
  <c r="Z79" i="25"/>
  <c r="Z39" i="25"/>
  <c r="Z66" i="25"/>
  <c r="Z38" i="25"/>
  <c r="Z86" i="25"/>
  <c r="Z64" i="25"/>
  <c r="Z20" i="25"/>
  <c r="Z97" i="25"/>
  <c r="Z93" i="25"/>
  <c r="Z53" i="25"/>
  <c r="Z90" i="25"/>
  <c r="Z76" i="25"/>
  <c r="Z25" i="25"/>
  <c r="Z46" i="25"/>
  <c r="Z69" i="25"/>
  <c r="Z35" i="25"/>
  <c r="Z14" i="25"/>
  <c r="Z51" i="25"/>
  <c r="Z21" i="25"/>
  <c r="Z50" i="25"/>
  <c r="Z83" i="25"/>
  <c r="Z89" i="25"/>
  <c r="Z73" i="25"/>
  <c r="Z22" i="25"/>
  <c r="Z84" i="25"/>
  <c r="Z80" i="25"/>
  <c r="Z87" i="25"/>
  <c r="Z11" i="25"/>
  <c r="Z43" i="25"/>
  <c r="Z45" i="25"/>
  <c r="Z100" i="25"/>
  <c r="Z75" i="25"/>
  <c r="Z88" i="25"/>
  <c r="Z44" i="25"/>
  <c r="Z19" i="25"/>
  <c r="Z62" i="25"/>
  <c r="Z55" i="25"/>
  <c r="Z70" i="25"/>
  <c r="Z16" i="25"/>
  <c r="Z34" i="25"/>
  <c r="Z57" i="25"/>
  <c r="Z72" i="25"/>
  <c r="Z30" i="25"/>
  <c r="Z68" i="25"/>
  <c r="Z74" i="25"/>
  <c r="Z33" i="25"/>
  <c r="Z37" i="25"/>
  <c r="Z78" i="25"/>
  <c r="Z54" i="25"/>
  <c r="Z60" i="25"/>
  <c r="Z13" i="25"/>
  <c r="Z101" i="25"/>
  <c r="Z99" i="25"/>
  <c r="Z49" i="25"/>
  <c r="Z6" i="25"/>
  <c r="Z32" i="25"/>
  <c r="Z5" i="25"/>
  <c r="Z67" i="25"/>
  <c r="Z85" i="25"/>
  <c r="Z23" i="25"/>
  <c r="Z96" i="25"/>
  <c r="Z61" i="25"/>
  <c r="Z8" i="25"/>
  <c r="Z58" i="25"/>
  <c r="Z52" i="25"/>
  <c r="Z59" i="25"/>
  <c r="Z98" i="25"/>
  <c r="Z36" i="25"/>
  <c r="Z65" i="25"/>
  <c r="Z40" i="25"/>
  <c r="Z26" i="25"/>
  <c r="Z12" i="25"/>
  <c r="Z94" i="25"/>
  <c r="Z104" i="25"/>
  <c r="Z48" i="25"/>
  <c r="D21" i="6"/>
  <c r="D22" i="6"/>
  <c r="D38" i="20"/>
  <c r="C73" i="30" s="1"/>
  <c r="D42" i="20"/>
  <c r="D43" i="20" s="1"/>
  <c r="C114" i="30"/>
  <c r="C69" i="30"/>
  <c r="C66" i="30"/>
  <c r="K428" i="25"/>
  <c r="K423" i="25"/>
  <c r="K429" i="25"/>
  <c r="K421" i="25"/>
  <c r="K426" i="25"/>
  <c r="K425" i="25"/>
  <c r="K424" i="25"/>
  <c r="K427" i="25"/>
  <c r="K430" i="25"/>
  <c r="C68" i="30"/>
  <c r="C65" i="30"/>
  <c r="C8" i="6"/>
  <c r="S34" i="15"/>
  <c r="R33" i="15"/>
  <c r="S39" i="15" s="1"/>
  <c r="C425" i="25"/>
  <c r="C423" i="25"/>
  <c r="C428" i="25"/>
  <c r="C427" i="25"/>
  <c r="C426" i="25"/>
  <c r="C424" i="25"/>
  <c r="C429" i="25"/>
  <c r="C421" i="25"/>
  <c r="C430" i="25"/>
  <c r="E21" i="6"/>
  <c r="E22" i="6"/>
  <c r="H316" i="25" l="1"/>
  <c r="L316" i="25"/>
  <c r="G315" i="25"/>
  <c r="G316" i="25" s="1"/>
  <c r="M429" i="25"/>
  <c r="E428" i="25"/>
  <c r="M421" i="25"/>
  <c r="M426" i="25"/>
  <c r="M423" i="25"/>
  <c r="M430" i="25"/>
  <c r="M427" i="25"/>
  <c r="M428" i="25"/>
  <c r="M424" i="25"/>
  <c r="I423" i="25"/>
  <c r="G426" i="25"/>
  <c r="E423" i="25"/>
  <c r="E427" i="25"/>
  <c r="E430" i="25"/>
  <c r="E426" i="25"/>
  <c r="I428" i="25"/>
  <c r="E425" i="25"/>
  <c r="E424" i="25"/>
  <c r="E429" i="25"/>
  <c r="N420" i="25"/>
  <c r="I429" i="25"/>
  <c r="I430" i="25"/>
  <c r="P5" i="25"/>
  <c r="P6" i="25" s="1"/>
  <c r="P7" i="25" s="1"/>
  <c r="P8" i="25" s="1"/>
  <c r="P9" i="25" s="1"/>
  <c r="P10" i="25" s="1"/>
  <c r="P11" i="25" s="1"/>
  <c r="P12" i="25" s="1"/>
  <c r="P13" i="25" s="1"/>
  <c r="P14" i="25" s="1"/>
  <c r="P15" i="25" s="1"/>
  <c r="P16" i="25" s="1"/>
  <c r="P17" i="25" s="1"/>
  <c r="P18" i="25" s="1"/>
  <c r="P19" i="25" s="1"/>
  <c r="P20" i="25" s="1"/>
  <c r="P21" i="25" s="1"/>
  <c r="P22" i="25" s="1"/>
  <c r="P23" i="25" s="1"/>
  <c r="P24" i="25" s="1"/>
  <c r="P25" i="25" s="1"/>
  <c r="P26" i="25" s="1"/>
  <c r="P27" i="25" s="1"/>
  <c r="P28" i="25" s="1"/>
  <c r="P29" i="25" s="1"/>
  <c r="P30" i="25" s="1"/>
  <c r="P31" i="25" s="1"/>
  <c r="P32" i="25" s="1"/>
  <c r="P33" i="25" s="1"/>
  <c r="P34" i="25" s="1"/>
  <c r="P35" i="25" s="1"/>
  <c r="P36" i="25" s="1"/>
  <c r="P37" i="25" s="1"/>
  <c r="P38" i="25" s="1"/>
  <c r="P39" i="25" s="1"/>
  <c r="P40" i="25" s="1"/>
  <c r="P41" i="25" s="1"/>
  <c r="P42" i="25" s="1"/>
  <c r="P43" i="25" s="1"/>
  <c r="P44" i="25" s="1"/>
  <c r="P45" i="25" s="1"/>
  <c r="P46" i="25" s="1"/>
  <c r="P47" i="25" s="1"/>
  <c r="P48" i="25" s="1"/>
  <c r="P49" i="25" s="1"/>
  <c r="P50" i="25" s="1"/>
  <c r="P51" i="25" s="1"/>
  <c r="P52" i="25" s="1"/>
  <c r="P53" i="25" s="1"/>
  <c r="P54" i="25" s="1"/>
  <c r="P55" i="25" s="1"/>
  <c r="P56" i="25" s="1"/>
  <c r="P57" i="25" s="1"/>
  <c r="P58" i="25" s="1"/>
  <c r="P59" i="25" s="1"/>
  <c r="P60" i="25" s="1"/>
  <c r="P61" i="25" s="1"/>
  <c r="P62" i="25" s="1"/>
  <c r="P63" i="25" s="1"/>
  <c r="P64" i="25" s="1"/>
  <c r="P65" i="25" s="1"/>
  <c r="P66" i="25" s="1"/>
  <c r="P67" i="25" s="1"/>
  <c r="P68" i="25" s="1"/>
  <c r="P69" i="25" s="1"/>
  <c r="P70" i="25" s="1"/>
  <c r="P71" i="25" s="1"/>
  <c r="P72" i="25" s="1"/>
  <c r="P73" i="25" s="1"/>
  <c r="P74" i="25" s="1"/>
  <c r="P75" i="25" s="1"/>
  <c r="P76" i="25" s="1"/>
  <c r="P77" i="25" s="1"/>
  <c r="P78" i="25" s="1"/>
  <c r="P79" i="25" s="1"/>
  <c r="P80" i="25" s="1"/>
  <c r="P81" i="25" s="1"/>
  <c r="P82" i="25" s="1"/>
  <c r="P83" i="25" s="1"/>
  <c r="P84" i="25" s="1"/>
  <c r="P85" i="25" s="1"/>
  <c r="P86" i="25" s="1"/>
  <c r="P87" i="25" s="1"/>
  <c r="P88" i="25" s="1"/>
  <c r="P89" i="25" s="1"/>
  <c r="P90" i="25" s="1"/>
  <c r="P91" i="25" s="1"/>
  <c r="P92" i="25" s="1"/>
  <c r="P93" i="25" s="1"/>
  <c r="P94" i="25" s="1"/>
  <c r="P95" i="25" s="1"/>
  <c r="P96" i="25" s="1"/>
  <c r="P97" i="25" s="1"/>
  <c r="P98" i="25" s="1"/>
  <c r="P99" i="25" s="1"/>
  <c r="P100" i="25" s="1"/>
  <c r="P101" i="25" s="1"/>
  <c r="P102" i="25" s="1"/>
  <c r="P103" i="25" s="1"/>
  <c r="P104" i="25" s="1"/>
  <c r="G429" i="25"/>
  <c r="G425" i="25"/>
  <c r="G424" i="25"/>
  <c r="Q5" i="25"/>
  <c r="Q6" i="25" s="1"/>
  <c r="Q7" i="25" s="1"/>
  <c r="Q8" i="25" s="1"/>
  <c r="Q9" i="25" s="1"/>
  <c r="Q10" i="25" s="1"/>
  <c r="Q11" i="25" s="1"/>
  <c r="Q12" i="25" s="1"/>
  <c r="Q13" i="25" s="1"/>
  <c r="Q14" i="25" s="1"/>
  <c r="Q15" i="25" s="1"/>
  <c r="Q16" i="25" s="1"/>
  <c r="Q17" i="25" s="1"/>
  <c r="Q18" i="25" s="1"/>
  <c r="Q19" i="25" s="1"/>
  <c r="Q20" i="25" s="1"/>
  <c r="Q21" i="25" s="1"/>
  <c r="Q22" i="25" s="1"/>
  <c r="Q23" i="25" s="1"/>
  <c r="Q24" i="25" s="1"/>
  <c r="Q25" i="25" s="1"/>
  <c r="Q26" i="25" s="1"/>
  <c r="Q27" i="25" s="1"/>
  <c r="Q28" i="25" s="1"/>
  <c r="Q29" i="25" s="1"/>
  <c r="Q30" i="25" s="1"/>
  <c r="Q31" i="25" s="1"/>
  <c r="Q32" i="25" s="1"/>
  <c r="Q33" i="25" s="1"/>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Q101" i="25" s="1"/>
  <c r="Q102" i="25" s="1"/>
  <c r="Q103" i="25" s="1"/>
  <c r="Q104" i="25" s="1"/>
  <c r="I421" i="25"/>
  <c r="I424" i="25"/>
  <c r="I425" i="25"/>
  <c r="I427" i="25"/>
  <c r="G423" i="25"/>
  <c r="G427" i="25"/>
  <c r="N427" i="25" s="1"/>
  <c r="G428" i="25"/>
  <c r="N428" i="25" s="1"/>
  <c r="G430" i="25"/>
  <c r="J316" i="25"/>
  <c r="N5" i="25"/>
  <c r="N6" i="25" s="1"/>
  <c r="N7" i="25" s="1"/>
  <c r="N8" i="25" s="1"/>
  <c r="N9" i="25" s="1"/>
  <c r="N10" i="25" s="1"/>
  <c r="N11" i="25" s="1"/>
  <c r="N12" i="25" s="1"/>
  <c r="N13" i="25" s="1"/>
  <c r="N14" i="25" s="1"/>
  <c r="N15" i="25" s="1"/>
  <c r="N16" i="25" s="1"/>
  <c r="N17" i="25" s="1"/>
  <c r="N18" i="25" s="1"/>
  <c r="N19" i="25" s="1"/>
  <c r="N20" i="25" s="1"/>
  <c r="N21" i="25" s="1"/>
  <c r="N22" i="25" s="1"/>
  <c r="N23" i="25" s="1"/>
  <c r="N24" i="25" s="1"/>
  <c r="N25" i="25" s="1"/>
  <c r="N26" i="25" s="1"/>
  <c r="N27" i="25" s="1"/>
  <c r="N28" i="25" s="1"/>
  <c r="N29" i="25" s="1"/>
  <c r="N30" i="25" s="1"/>
  <c r="N31" i="25" s="1"/>
  <c r="N32" i="25" s="1"/>
  <c r="N33" i="25" s="1"/>
  <c r="N34" i="25" s="1"/>
  <c r="N35" i="25" s="1"/>
  <c r="N36" i="25" s="1"/>
  <c r="N37" i="25" s="1"/>
  <c r="N38" i="25" s="1"/>
  <c r="N39" i="25" s="1"/>
  <c r="N40" i="25" s="1"/>
  <c r="N41" i="25" s="1"/>
  <c r="N42" i="25" s="1"/>
  <c r="N43" i="25" s="1"/>
  <c r="N44" i="25" s="1"/>
  <c r="N45" i="25" s="1"/>
  <c r="N46" i="25" s="1"/>
  <c r="N47" i="25" s="1"/>
  <c r="N48" i="25" s="1"/>
  <c r="N49" i="25" s="1"/>
  <c r="N50" i="25" s="1"/>
  <c r="N51" i="25" s="1"/>
  <c r="N52" i="25" s="1"/>
  <c r="N53" i="25" s="1"/>
  <c r="N54" i="25" s="1"/>
  <c r="N55" i="25" s="1"/>
  <c r="N56" i="25" s="1"/>
  <c r="N57" i="25" s="1"/>
  <c r="N58" i="25" s="1"/>
  <c r="N59" i="25" s="1"/>
  <c r="N60" i="25" s="1"/>
  <c r="N61" i="25" s="1"/>
  <c r="N62" i="25" s="1"/>
  <c r="N63" i="25" s="1"/>
  <c r="N64" i="25" s="1"/>
  <c r="N65" i="25" s="1"/>
  <c r="N66" i="25" s="1"/>
  <c r="N67" i="25" s="1"/>
  <c r="N68" i="25" s="1"/>
  <c r="N69" i="25" s="1"/>
  <c r="N70" i="25" s="1"/>
  <c r="N71" i="25" s="1"/>
  <c r="N72" i="25" s="1"/>
  <c r="N73" i="25" s="1"/>
  <c r="N74" i="25" s="1"/>
  <c r="N75" i="25" s="1"/>
  <c r="N76" i="25" s="1"/>
  <c r="N77" i="25" s="1"/>
  <c r="N78" i="25" s="1"/>
  <c r="N79" i="25" s="1"/>
  <c r="N80" i="25" s="1"/>
  <c r="N81" i="25" s="1"/>
  <c r="N82" i="25" s="1"/>
  <c r="N83" i="25" s="1"/>
  <c r="N84" i="25" s="1"/>
  <c r="N85" i="25" s="1"/>
  <c r="N86" i="25" s="1"/>
  <c r="N87" i="25" s="1"/>
  <c r="N88" i="25" s="1"/>
  <c r="N89" i="25" s="1"/>
  <c r="N90" i="25" s="1"/>
  <c r="N91" i="25" s="1"/>
  <c r="N92" i="25" s="1"/>
  <c r="N93" i="25" s="1"/>
  <c r="N94" i="25" s="1"/>
  <c r="N95" i="25" s="1"/>
  <c r="N96" i="25" s="1"/>
  <c r="N97" i="25" s="1"/>
  <c r="N98" i="25" s="1"/>
  <c r="N99" i="25" s="1"/>
  <c r="N100" i="25" s="1"/>
  <c r="N101" i="25" s="1"/>
  <c r="N102" i="25" s="1"/>
  <c r="N103" i="25" s="1"/>
  <c r="N104" i="25" s="1"/>
  <c r="F46" i="20"/>
  <c r="N35" i="20"/>
  <c r="N12" i="20" s="1"/>
  <c r="S38" i="15"/>
  <c r="W39" i="15"/>
  <c r="S33" i="15"/>
  <c r="W34" i="15"/>
  <c r="C115" i="30"/>
  <c r="C75" i="30"/>
  <c r="C76" i="30" s="1"/>
  <c r="C77" i="30" s="1"/>
  <c r="C78" i="30" s="1"/>
  <c r="C79" i="30" s="1"/>
  <c r="C80" i="30" s="1"/>
  <c r="A80" i="20"/>
  <c r="D39" i="20"/>
  <c r="D40" i="20" s="1"/>
  <c r="D65" i="20"/>
  <c r="O5" i="25" l="1"/>
  <c r="O6" i="25" s="1"/>
  <c r="O7" i="25" s="1"/>
  <c r="O8" i="25" s="1"/>
  <c r="O9" i="25" s="1"/>
  <c r="O10" i="25" s="1"/>
  <c r="O11" i="25" s="1"/>
  <c r="O12" i="25" s="1"/>
  <c r="O13" i="25" s="1"/>
  <c r="O14" i="25" s="1"/>
  <c r="O15" i="25" s="1"/>
  <c r="O16" i="25" s="1"/>
  <c r="O17" i="25" s="1"/>
  <c r="O18" i="25" s="1"/>
  <c r="O19" i="25" s="1"/>
  <c r="O20" i="25" s="1"/>
  <c r="O21" i="25" s="1"/>
  <c r="O22" i="25" s="1"/>
  <c r="O23" i="25" s="1"/>
  <c r="O24" i="25" s="1"/>
  <c r="O25" i="25" s="1"/>
  <c r="O26" i="25" s="1"/>
  <c r="O27" i="25" s="1"/>
  <c r="O28" i="25" s="1"/>
  <c r="O29" i="25" s="1"/>
  <c r="O30" i="25" s="1"/>
  <c r="O31" i="25" s="1"/>
  <c r="O32" i="25" s="1"/>
  <c r="O33" i="25" s="1"/>
  <c r="O34" i="25" s="1"/>
  <c r="O35" i="25" s="1"/>
  <c r="O36" i="25" s="1"/>
  <c r="O37" i="25" s="1"/>
  <c r="O38" i="25" s="1"/>
  <c r="O39" i="25" s="1"/>
  <c r="O40" i="25" s="1"/>
  <c r="O41" i="25" s="1"/>
  <c r="O42" i="25" s="1"/>
  <c r="O43" i="25" s="1"/>
  <c r="O44" i="25" s="1"/>
  <c r="O45" i="25" s="1"/>
  <c r="O46" i="25" s="1"/>
  <c r="O47" i="25" s="1"/>
  <c r="O48" i="25" s="1"/>
  <c r="O49" i="25" s="1"/>
  <c r="O50" i="25" s="1"/>
  <c r="O51" i="25" s="1"/>
  <c r="O52" i="25" s="1"/>
  <c r="O53" i="25" s="1"/>
  <c r="O54" i="25" s="1"/>
  <c r="O55" i="25" s="1"/>
  <c r="O56" i="25" s="1"/>
  <c r="O57" i="25" s="1"/>
  <c r="O58" i="25" s="1"/>
  <c r="O59" i="25" s="1"/>
  <c r="O60" i="25" s="1"/>
  <c r="O61" i="25" s="1"/>
  <c r="O62" i="25" s="1"/>
  <c r="O63" i="25" s="1"/>
  <c r="O64" i="25" s="1"/>
  <c r="O65" i="25" s="1"/>
  <c r="O66" i="25" s="1"/>
  <c r="O67" i="25" s="1"/>
  <c r="O68" i="25" s="1"/>
  <c r="O69" i="25" s="1"/>
  <c r="O70" i="25" s="1"/>
  <c r="O71" i="25" s="1"/>
  <c r="O72" i="25" s="1"/>
  <c r="O73" i="25" s="1"/>
  <c r="O74" i="25" s="1"/>
  <c r="O75" i="25" s="1"/>
  <c r="O76" i="25" s="1"/>
  <c r="O77" i="25" s="1"/>
  <c r="O78" i="25" s="1"/>
  <c r="O79" i="25" s="1"/>
  <c r="O80" i="25" s="1"/>
  <c r="O81" i="25" s="1"/>
  <c r="O82" i="25" s="1"/>
  <c r="O83" i="25" s="1"/>
  <c r="O84" i="25" s="1"/>
  <c r="O85" i="25" s="1"/>
  <c r="O86" i="25" s="1"/>
  <c r="O87" i="25" s="1"/>
  <c r="O88" i="25" s="1"/>
  <c r="O89" i="25" s="1"/>
  <c r="O90" i="25" s="1"/>
  <c r="O91" i="25" s="1"/>
  <c r="O92" i="25" s="1"/>
  <c r="O93" i="25" s="1"/>
  <c r="O94" i="25" s="1"/>
  <c r="O95" i="25" s="1"/>
  <c r="O96" i="25" s="1"/>
  <c r="O97" i="25" s="1"/>
  <c r="O98" i="25" s="1"/>
  <c r="O99" i="25" s="1"/>
  <c r="O100" i="25" s="1"/>
  <c r="O101" i="25" s="1"/>
  <c r="O102" i="25" s="1"/>
  <c r="O103" i="25" s="1"/>
  <c r="O104" i="25" s="1"/>
  <c r="R5" i="25"/>
  <c r="R6" i="25" s="1"/>
  <c r="R7" i="25" s="1"/>
  <c r="R8" i="25" s="1"/>
  <c r="R9" i="25" s="1"/>
  <c r="R10" i="25" s="1"/>
  <c r="R11" i="25" s="1"/>
  <c r="R12" i="25" s="1"/>
  <c r="R13" i="25" s="1"/>
  <c r="R14" i="25" s="1"/>
  <c r="R15" i="25" s="1"/>
  <c r="R16" i="25" s="1"/>
  <c r="R17" i="25" s="1"/>
  <c r="R18" i="25" s="1"/>
  <c r="R19" i="25" s="1"/>
  <c r="R20" i="25" s="1"/>
  <c r="R21" i="25" s="1"/>
  <c r="R22" i="25" s="1"/>
  <c r="R23" i="25" s="1"/>
  <c r="R24" i="25" s="1"/>
  <c r="R25" i="25" s="1"/>
  <c r="R26" i="25" s="1"/>
  <c r="R27" i="25" s="1"/>
  <c r="R28" i="25" s="1"/>
  <c r="R29" i="25" s="1"/>
  <c r="R30" i="25" s="1"/>
  <c r="R31" i="25" s="1"/>
  <c r="R32" i="25" s="1"/>
  <c r="R33" i="25" s="1"/>
  <c r="R34" i="25" s="1"/>
  <c r="R35" i="25" s="1"/>
  <c r="R36" i="25" s="1"/>
  <c r="R37" i="25" s="1"/>
  <c r="R38" i="25" s="1"/>
  <c r="R39" i="25" s="1"/>
  <c r="R40" i="25" s="1"/>
  <c r="R41" i="25" s="1"/>
  <c r="R42" i="25" s="1"/>
  <c r="R43" i="25" s="1"/>
  <c r="R44" i="25" s="1"/>
  <c r="R45" i="25" s="1"/>
  <c r="R46" i="25" s="1"/>
  <c r="R47" i="25" s="1"/>
  <c r="R48" i="25" s="1"/>
  <c r="R49" i="25" s="1"/>
  <c r="R50" i="25" s="1"/>
  <c r="R51" i="25" s="1"/>
  <c r="R52" i="25" s="1"/>
  <c r="R53" i="25" s="1"/>
  <c r="R54" i="25" s="1"/>
  <c r="R55" i="25" s="1"/>
  <c r="R56" i="25" s="1"/>
  <c r="R57" i="25" s="1"/>
  <c r="R58" i="25" s="1"/>
  <c r="R59" i="25" s="1"/>
  <c r="R60" i="25" s="1"/>
  <c r="R61" i="25" s="1"/>
  <c r="R62" i="25" s="1"/>
  <c r="R63" i="25" s="1"/>
  <c r="R64" i="25" s="1"/>
  <c r="R65" i="25" s="1"/>
  <c r="R66" i="25" s="1"/>
  <c r="R67" i="25" s="1"/>
  <c r="R68" i="25" s="1"/>
  <c r="R69" i="25" s="1"/>
  <c r="R70" i="25" s="1"/>
  <c r="R71" i="25" s="1"/>
  <c r="R72" i="25" s="1"/>
  <c r="R73" i="25" s="1"/>
  <c r="R74" i="25" s="1"/>
  <c r="R75" i="25" s="1"/>
  <c r="R76" i="25" s="1"/>
  <c r="R77" i="25" s="1"/>
  <c r="R78" i="25" s="1"/>
  <c r="R79" i="25" s="1"/>
  <c r="R80" i="25" s="1"/>
  <c r="R81" i="25" s="1"/>
  <c r="R82" i="25" s="1"/>
  <c r="R83" i="25" s="1"/>
  <c r="R84" i="25" s="1"/>
  <c r="R85" i="25" s="1"/>
  <c r="R86" i="25" s="1"/>
  <c r="R87" i="25" s="1"/>
  <c r="R88" i="25" s="1"/>
  <c r="R89" i="25" s="1"/>
  <c r="R90" i="25" s="1"/>
  <c r="R91" i="25" s="1"/>
  <c r="R92" i="25" s="1"/>
  <c r="R93" i="25" s="1"/>
  <c r="R94" i="25" s="1"/>
  <c r="R95" i="25" s="1"/>
  <c r="R96" i="25" s="1"/>
  <c r="R97" i="25" s="1"/>
  <c r="R98" i="25" s="1"/>
  <c r="R99" i="25" s="1"/>
  <c r="R100" i="25" s="1"/>
  <c r="R101" i="25" s="1"/>
  <c r="R102" i="25" s="1"/>
  <c r="R103" i="25" s="1"/>
  <c r="R104" i="25" s="1"/>
  <c r="N423" i="25"/>
  <c r="E66" i="25" s="1"/>
  <c r="S5" i="25"/>
  <c r="S6" i="25" s="1"/>
  <c r="S7" i="25" s="1"/>
  <c r="S8" i="25" s="1"/>
  <c r="S9" i="25" s="1"/>
  <c r="S10" i="25" s="1"/>
  <c r="S11" i="25" s="1"/>
  <c r="S12" i="25" s="1"/>
  <c r="S13" i="25" s="1"/>
  <c r="S14" i="25" s="1"/>
  <c r="S15" i="25" s="1"/>
  <c r="S16" i="25" s="1"/>
  <c r="S17" i="25" s="1"/>
  <c r="S18" i="25" s="1"/>
  <c r="S19" i="25" s="1"/>
  <c r="S20" i="25" s="1"/>
  <c r="S21" i="25" s="1"/>
  <c r="S22" i="25" s="1"/>
  <c r="S23" i="25" s="1"/>
  <c r="S24" i="25" s="1"/>
  <c r="S25" i="25" s="1"/>
  <c r="S26" i="25" s="1"/>
  <c r="S27" i="25" s="1"/>
  <c r="S28" i="25" s="1"/>
  <c r="S29" i="25" s="1"/>
  <c r="S30" i="25" s="1"/>
  <c r="S31" i="25" s="1"/>
  <c r="S32" i="25" s="1"/>
  <c r="S33" i="25" s="1"/>
  <c r="S34" i="25" s="1"/>
  <c r="S35" i="25" s="1"/>
  <c r="S36" i="25" s="1"/>
  <c r="S37" i="25" s="1"/>
  <c r="S38" i="25" s="1"/>
  <c r="S39" i="25" s="1"/>
  <c r="S40" i="25" s="1"/>
  <c r="S41" i="25" s="1"/>
  <c r="S42" i="25" s="1"/>
  <c r="S43" i="25" s="1"/>
  <c r="S44" i="25" s="1"/>
  <c r="S45" i="25" s="1"/>
  <c r="S46" i="25" s="1"/>
  <c r="S47" i="25" s="1"/>
  <c r="S48" i="25" s="1"/>
  <c r="S49" i="25" s="1"/>
  <c r="S50" i="25" s="1"/>
  <c r="S51" i="25" s="1"/>
  <c r="S52" i="25" s="1"/>
  <c r="S53" i="25" s="1"/>
  <c r="S54" i="25" s="1"/>
  <c r="S55" i="25" s="1"/>
  <c r="S56" i="25" s="1"/>
  <c r="S57" i="25" s="1"/>
  <c r="S58" i="25" s="1"/>
  <c r="S59" i="25" s="1"/>
  <c r="S60" i="25" s="1"/>
  <c r="S61" i="25" s="1"/>
  <c r="S62" i="25" s="1"/>
  <c r="S63" i="25" s="1"/>
  <c r="S64" i="25" s="1"/>
  <c r="S65" i="25" s="1"/>
  <c r="S66" i="25" s="1"/>
  <c r="S67" i="25" s="1"/>
  <c r="S68" i="25" s="1"/>
  <c r="S69" i="25" s="1"/>
  <c r="S70" i="25" s="1"/>
  <c r="S71" i="25" s="1"/>
  <c r="S72" i="25" s="1"/>
  <c r="S73" i="25" s="1"/>
  <c r="S74" i="25" s="1"/>
  <c r="S75" i="25" s="1"/>
  <c r="S76" i="25" s="1"/>
  <c r="S77" i="25" s="1"/>
  <c r="S78" i="25" s="1"/>
  <c r="S79" i="25" s="1"/>
  <c r="S80" i="25" s="1"/>
  <c r="S81" i="25" s="1"/>
  <c r="S82" i="25" s="1"/>
  <c r="S83" i="25" s="1"/>
  <c r="S84" i="25" s="1"/>
  <c r="S85" i="25" s="1"/>
  <c r="S86" i="25" s="1"/>
  <c r="S87" i="25" s="1"/>
  <c r="S88" i="25" s="1"/>
  <c r="S89" i="25" s="1"/>
  <c r="S90" i="25" s="1"/>
  <c r="S91" i="25" s="1"/>
  <c r="S92" i="25" s="1"/>
  <c r="S93" i="25" s="1"/>
  <c r="S94" i="25" s="1"/>
  <c r="S95" i="25" s="1"/>
  <c r="S96" i="25" s="1"/>
  <c r="S97" i="25" s="1"/>
  <c r="S98" i="25" s="1"/>
  <c r="S99" i="25" s="1"/>
  <c r="S100" i="25" s="1"/>
  <c r="S101" i="25" s="1"/>
  <c r="S102" i="25" s="1"/>
  <c r="S103" i="25" s="1"/>
  <c r="S104" i="25" s="1"/>
  <c r="N426" i="25"/>
  <c r="I26" i="25" s="1"/>
  <c r="N421" i="25"/>
  <c r="N429" i="25"/>
  <c r="K33" i="25" s="1"/>
  <c r="N425" i="25"/>
  <c r="N430" i="25"/>
  <c r="M64" i="25" s="1"/>
  <c r="N424" i="25"/>
  <c r="G41" i="10"/>
  <c r="G47" i="10" s="1"/>
  <c r="G50" i="10" s="1"/>
  <c r="N110" i="20" s="1"/>
  <c r="N108" i="20" s="1"/>
  <c r="N36" i="20"/>
  <c r="N37" i="20" s="1"/>
  <c r="J88" i="25"/>
  <c r="J13" i="25"/>
  <c r="J31" i="25"/>
  <c r="J99" i="25"/>
  <c r="J8" i="25"/>
  <c r="J27" i="25"/>
  <c r="J101" i="25"/>
  <c r="J89" i="25"/>
  <c r="J71" i="25"/>
  <c r="J74" i="25"/>
  <c r="J75" i="25"/>
  <c r="J92" i="25"/>
  <c r="J76" i="25"/>
  <c r="J42" i="25"/>
  <c r="J57" i="25"/>
  <c r="J47" i="25"/>
  <c r="J50" i="25"/>
  <c r="J78" i="25"/>
  <c r="J81" i="25"/>
  <c r="J5" i="25"/>
  <c r="J68" i="25"/>
  <c r="J33" i="25"/>
  <c r="J24" i="25"/>
  <c r="J19" i="25"/>
  <c r="J95" i="25"/>
  <c r="J49" i="25"/>
  <c r="J37" i="25"/>
  <c r="J54" i="25"/>
  <c r="J18" i="25"/>
  <c r="J43" i="25"/>
  <c r="J28" i="25"/>
  <c r="J45" i="25"/>
  <c r="J85" i="25"/>
  <c r="J32" i="25"/>
  <c r="J7" i="25"/>
  <c r="J38" i="25"/>
  <c r="J39" i="25"/>
  <c r="J21" i="25"/>
  <c r="J87" i="25"/>
  <c r="J91" i="25"/>
  <c r="J29" i="25"/>
  <c r="J53" i="25"/>
  <c r="J96" i="25"/>
  <c r="J52" i="25"/>
  <c r="J77" i="25"/>
  <c r="J84" i="25"/>
  <c r="J100" i="25"/>
  <c r="J30" i="25"/>
  <c r="J80" i="25"/>
  <c r="J55" i="25"/>
  <c r="J69" i="25"/>
  <c r="J25" i="25"/>
  <c r="J17" i="25"/>
  <c r="J35" i="25"/>
  <c r="J94" i="25"/>
  <c r="J58" i="25"/>
  <c r="J104" i="25"/>
  <c r="J40" i="25"/>
  <c r="J98" i="25"/>
  <c r="J93" i="25"/>
  <c r="J9" i="25"/>
  <c r="J26" i="25"/>
  <c r="J61" i="25"/>
  <c r="J65" i="25"/>
  <c r="J48" i="25"/>
  <c r="J16" i="25"/>
  <c r="J22" i="25"/>
  <c r="J66" i="25"/>
  <c r="J41" i="25"/>
  <c r="J14" i="25"/>
  <c r="J67" i="25"/>
  <c r="J64" i="25"/>
  <c r="J86" i="25"/>
  <c r="J72" i="25"/>
  <c r="J36" i="25"/>
  <c r="J6" i="25"/>
  <c r="J51" i="25"/>
  <c r="J70" i="25"/>
  <c r="J34" i="25"/>
  <c r="J59" i="25"/>
  <c r="J73" i="25"/>
  <c r="J20" i="25"/>
  <c r="J90" i="25"/>
  <c r="J56" i="25"/>
  <c r="J15" i="25"/>
  <c r="J83" i="25"/>
  <c r="J97" i="25"/>
  <c r="J10" i="25"/>
  <c r="J12" i="25"/>
  <c r="J103" i="25"/>
  <c r="J102" i="25"/>
  <c r="J62" i="25"/>
  <c r="J63" i="25"/>
  <c r="J60" i="25"/>
  <c r="J82" i="25"/>
  <c r="J11" i="25"/>
  <c r="J44" i="25"/>
  <c r="J46" i="25"/>
  <c r="J23" i="25"/>
  <c r="J79" i="25"/>
  <c r="W33" i="15"/>
  <c r="C80" i="20"/>
  <c r="D66" i="20"/>
  <c r="D67" i="20" s="1"/>
  <c r="D35" i="20"/>
  <c r="C86" i="30"/>
  <c r="C84" i="30"/>
  <c r="C83" i="30"/>
  <c r="C87" i="30"/>
  <c r="S6" i="15"/>
  <c r="W38" i="15"/>
  <c r="N16" i="33"/>
  <c r="Q16" i="33" s="1"/>
  <c r="N9" i="20"/>
  <c r="N10" i="20" s="1"/>
  <c r="N11" i="20" s="1"/>
  <c r="N13" i="20"/>
  <c r="N14" i="20" s="1"/>
  <c r="I83" i="25" l="1"/>
  <c r="M8" i="25"/>
  <c r="K98" i="25"/>
  <c r="E12" i="25"/>
  <c r="M73" i="25"/>
  <c r="I50" i="25"/>
  <c r="E71" i="25"/>
  <c r="G74" i="25"/>
  <c r="G41" i="25"/>
  <c r="I54" i="25"/>
  <c r="I67" i="25"/>
  <c r="E102" i="25"/>
  <c r="M39" i="25"/>
  <c r="I80" i="25"/>
  <c r="I102" i="25"/>
  <c r="I21" i="25"/>
  <c r="I5" i="25"/>
  <c r="E5" i="25"/>
  <c r="E25" i="25"/>
  <c r="E13" i="25"/>
  <c r="I55" i="25"/>
  <c r="I71" i="25"/>
  <c r="I58" i="25"/>
  <c r="I39" i="25"/>
  <c r="I42" i="25"/>
  <c r="I79" i="25"/>
  <c r="I11" i="25"/>
  <c r="I31" i="25"/>
  <c r="I63" i="25"/>
  <c r="E32" i="25"/>
  <c r="E43" i="25"/>
  <c r="E48" i="25"/>
  <c r="E7" i="25"/>
  <c r="E64" i="25"/>
  <c r="E31" i="25"/>
  <c r="E96" i="25"/>
  <c r="K47" i="25"/>
  <c r="G20" i="25"/>
  <c r="I32" i="25"/>
  <c r="I44" i="25"/>
  <c r="I8" i="25"/>
  <c r="I24" i="25"/>
  <c r="I43" i="25"/>
  <c r="I91" i="25"/>
  <c r="I7" i="25"/>
  <c r="M66" i="25"/>
  <c r="I90" i="25"/>
  <c r="I65" i="25"/>
  <c r="I29" i="25"/>
  <c r="I18" i="25"/>
  <c r="I36" i="25"/>
  <c r="I93" i="25"/>
  <c r="I60" i="25"/>
  <c r="I47" i="25"/>
  <c r="H48" i="25"/>
  <c r="I75" i="25"/>
  <c r="I96" i="25"/>
  <c r="E44" i="25"/>
  <c r="E77" i="25"/>
  <c r="E103" i="25"/>
  <c r="E54" i="25"/>
  <c r="E55" i="25"/>
  <c r="E15" i="25"/>
  <c r="E53" i="25"/>
  <c r="E23" i="25"/>
  <c r="E75" i="25"/>
  <c r="E73" i="25"/>
  <c r="H22" i="25"/>
  <c r="I34" i="25"/>
  <c r="I51" i="25"/>
  <c r="I101" i="25"/>
  <c r="I10" i="25"/>
  <c r="I66" i="25"/>
  <c r="H104" i="25"/>
  <c r="I98" i="25"/>
  <c r="I99" i="25"/>
  <c r="I103" i="25"/>
  <c r="I77" i="25"/>
  <c r="I9" i="25"/>
  <c r="I82" i="25"/>
  <c r="I33" i="25"/>
  <c r="I56" i="25"/>
  <c r="I104" i="25"/>
  <c r="I46" i="25"/>
  <c r="H31" i="25"/>
  <c r="I73" i="25"/>
  <c r="I84" i="25"/>
  <c r="I85" i="25"/>
  <c r="I45" i="25"/>
  <c r="I86" i="25"/>
  <c r="I17" i="25"/>
  <c r="I41" i="25"/>
  <c r="I37" i="25"/>
  <c r="I48" i="25"/>
  <c r="I49" i="25"/>
  <c r="I76" i="25"/>
  <c r="I95" i="25"/>
  <c r="I92" i="25"/>
  <c r="I59" i="25"/>
  <c r="I52" i="25"/>
  <c r="I89" i="25"/>
  <c r="I28" i="25"/>
  <c r="E34" i="25"/>
  <c r="E85" i="25"/>
  <c r="E81" i="25"/>
  <c r="E61" i="25"/>
  <c r="E41" i="25"/>
  <c r="E40" i="25"/>
  <c r="E91" i="25"/>
  <c r="E24" i="25"/>
  <c r="E99" i="25"/>
  <c r="E98" i="25"/>
  <c r="E26" i="25"/>
  <c r="E37" i="25"/>
  <c r="E36" i="25"/>
  <c r="E93" i="25"/>
  <c r="E16" i="25"/>
  <c r="E89" i="25"/>
  <c r="E84" i="25"/>
  <c r="E30" i="25"/>
  <c r="E80" i="25"/>
  <c r="E28" i="25"/>
  <c r="E17" i="25"/>
  <c r="E14" i="25"/>
  <c r="E42" i="25"/>
  <c r="E63" i="25"/>
  <c r="E88" i="25"/>
  <c r="E76" i="25"/>
  <c r="E56" i="25"/>
  <c r="E20" i="25"/>
  <c r="E59" i="25"/>
  <c r="E52" i="25"/>
  <c r="E46" i="25"/>
  <c r="E86" i="25"/>
  <c r="E67" i="25"/>
  <c r="E101" i="25"/>
  <c r="E82" i="25"/>
  <c r="E74" i="25"/>
  <c r="E87" i="25"/>
  <c r="E78" i="25"/>
  <c r="E27" i="25"/>
  <c r="E83" i="25"/>
  <c r="E49" i="25"/>
  <c r="E29" i="25"/>
  <c r="E18" i="25"/>
  <c r="E69" i="25"/>
  <c r="E100" i="25"/>
  <c r="E92" i="25"/>
  <c r="E21" i="25"/>
  <c r="E60" i="25"/>
  <c r="E11" i="25"/>
  <c r="E72" i="25"/>
  <c r="E70" i="25"/>
  <c r="I70" i="25"/>
  <c r="I72" i="25"/>
  <c r="I94" i="25"/>
  <c r="I62" i="25"/>
  <c r="I97" i="25"/>
  <c r="I19" i="25"/>
  <c r="I100" i="25"/>
  <c r="I69" i="25"/>
  <c r="I14" i="25"/>
  <c r="I68" i="25"/>
  <c r="I88" i="25"/>
  <c r="I38" i="25"/>
  <c r="K21" i="25"/>
  <c r="I20" i="25"/>
  <c r="I27" i="25"/>
  <c r="I81" i="25"/>
  <c r="I87" i="25"/>
  <c r="I74" i="25"/>
  <c r="I16" i="25"/>
  <c r="I22" i="25"/>
  <c r="I35" i="25"/>
  <c r="I25" i="25"/>
  <c r="I23" i="25"/>
  <c r="I40" i="25"/>
  <c r="I15" i="25"/>
  <c r="I12" i="25"/>
  <c r="I53" i="25"/>
  <c r="I64" i="25"/>
  <c r="I6" i="25"/>
  <c r="I13" i="25"/>
  <c r="F99" i="25"/>
  <c r="I61" i="25"/>
  <c r="I57" i="25"/>
  <c r="H26" i="25"/>
  <c r="I78" i="25"/>
  <c r="E51" i="25"/>
  <c r="E22" i="25"/>
  <c r="E95" i="25"/>
  <c r="E45" i="25"/>
  <c r="E58" i="25"/>
  <c r="E97" i="25"/>
  <c r="E90" i="25"/>
  <c r="E8" i="25"/>
  <c r="E68" i="25"/>
  <c r="E94" i="25"/>
  <c r="E47" i="25"/>
  <c r="E79" i="25"/>
  <c r="E19" i="25"/>
  <c r="E10" i="25"/>
  <c r="E104" i="25"/>
  <c r="E35" i="25"/>
  <c r="E33" i="25"/>
  <c r="E50" i="25"/>
  <c r="I30" i="25"/>
  <c r="H65" i="25"/>
  <c r="E65" i="25"/>
  <c r="E57" i="25"/>
  <c r="E9" i="25"/>
  <c r="E62" i="25"/>
  <c r="E39" i="25"/>
  <c r="E6" i="25"/>
  <c r="E38" i="25"/>
  <c r="F19" i="25"/>
  <c r="F39" i="25"/>
  <c r="H90" i="25"/>
  <c r="M53" i="25"/>
  <c r="M27" i="25"/>
  <c r="M89" i="25"/>
  <c r="M59" i="25"/>
  <c r="M20" i="25"/>
  <c r="M85" i="25"/>
  <c r="M10" i="25"/>
  <c r="M21" i="25"/>
  <c r="M80" i="25"/>
  <c r="M55" i="25"/>
  <c r="M43" i="25"/>
  <c r="M32" i="25"/>
  <c r="M104" i="25"/>
  <c r="M67" i="25"/>
  <c r="K94" i="25"/>
  <c r="K62" i="25"/>
  <c r="K69" i="25"/>
  <c r="H38" i="25"/>
  <c r="F7" i="25"/>
  <c r="K16" i="25"/>
  <c r="F67" i="25"/>
  <c r="K52" i="25"/>
  <c r="G26" i="25"/>
  <c r="L58" i="25"/>
  <c r="L70" i="25"/>
  <c r="K50" i="25"/>
  <c r="K9" i="25"/>
  <c r="K72" i="25"/>
  <c r="K82" i="25"/>
  <c r="L83" i="25"/>
  <c r="H69" i="25"/>
  <c r="H5" i="25"/>
  <c r="H34" i="25"/>
  <c r="F87" i="25"/>
  <c r="H25" i="25"/>
  <c r="H53" i="25"/>
  <c r="F100" i="25"/>
  <c r="F94" i="25"/>
  <c r="G28" i="25"/>
  <c r="G62" i="25"/>
  <c r="F5" i="25"/>
  <c r="F10" i="25"/>
  <c r="F54" i="25"/>
  <c r="F80" i="25"/>
  <c r="F31" i="25"/>
  <c r="F93" i="25"/>
  <c r="F79" i="25"/>
  <c r="F46" i="25"/>
  <c r="F16" i="25"/>
  <c r="F97" i="25"/>
  <c r="F71" i="25"/>
  <c r="F29" i="25"/>
  <c r="F28" i="25"/>
  <c r="F64" i="25"/>
  <c r="F59" i="25"/>
  <c r="F20" i="25"/>
  <c r="F82" i="25"/>
  <c r="F55" i="25"/>
  <c r="F75" i="25"/>
  <c r="F45" i="25"/>
  <c r="F35" i="25"/>
  <c r="F37" i="25"/>
  <c r="F83" i="25"/>
  <c r="F90" i="25"/>
  <c r="F32" i="25"/>
  <c r="G52" i="25"/>
  <c r="G69" i="25"/>
  <c r="G71" i="25"/>
  <c r="G66" i="25"/>
  <c r="H51" i="25"/>
  <c r="G58" i="25"/>
  <c r="G81" i="25"/>
  <c r="G89" i="25"/>
  <c r="H11" i="25"/>
  <c r="H103" i="25"/>
  <c r="G97" i="25"/>
  <c r="G22" i="25"/>
  <c r="G30" i="25"/>
  <c r="G76" i="25"/>
  <c r="G18" i="25"/>
  <c r="G23" i="25"/>
  <c r="H83" i="25"/>
  <c r="H39" i="25"/>
  <c r="H99" i="25"/>
  <c r="H7" i="25"/>
  <c r="H88" i="25"/>
  <c r="H41" i="25"/>
  <c r="H70" i="25"/>
  <c r="H13" i="25"/>
  <c r="H85" i="25"/>
  <c r="H64" i="25"/>
  <c r="H54" i="25"/>
  <c r="H63" i="25"/>
  <c r="H8" i="25"/>
  <c r="H81" i="25"/>
  <c r="H77" i="25"/>
  <c r="H33" i="25"/>
  <c r="H67" i="25"/>
  <c r="H37" i="25"/>
  <c r="H15" i="25"/>
  <c r="H40" i="25"/>
  <c r="K65" i="25"/>
  <c r="K76" i="25"/>
  <c r="K85" i="25"/>
  <c r="K66" i="25"/>
  <c r="K75" i="25"/>
  <c r="K55" i="25"/>
  <c r="K43" i="25"/>
  <c r="K53" i="25"/>
  <c r="K91" i="25"/>
  <c r="K56" i="25"/>
  <c r="K73" i="25"/>
  <c r="K51" i="25"/>
  <c r="K17" i="25"/>
  <c r="K104" i="25"/>
  <c r="K12" i="25"/>
  <c r="K81" i="25"/>
  <c r="K24" i="25"/>
  <c r="L102" i="25"/>
  <c r="L37" i="25"/>
  <c r="K93" i="25"/>
  <c r="K102" i="25"/>
  <c r="K96" i="25"/>
  <c r="K92" i="25"/>
  <c r="K37" i="25"/>
  <c r="K28" i="25"/>
  <c r="K23" i="25"/>
  <c r="K26" i="25"/>
  <c r="K101" i="25"/>
  <c r="L57" i="25"/>
  <c r="K10" i="25"/>
  <c r="K41" i="25"/>
  <c r="K34" i="25"/>
  <c r="K61" i="25"/>
  <c r="K35" i="25"/>
  <c r="K30" i="25"/>
  <c r="H93" i="25"/>
  <c r="H18" i="25"/>
  <c r="H30" i="25"/>
  <c r="H61" i="25"/>
  <c r="H82" i="25"/>
  <c r="H47" i="25"/>
  <c r="F50" i="25"/>
  <c r="F9" i="25"/>
  <c r="F101" i="25"/>
  <c r="F23" i="25"/>
  <c r="K95" i="25"/>
  <c r="K59" i="25"/>
  <c r="H29" i="25"/>
  <c r="H89" i="25"/>
  <c r="H78" i="25"/>
  <c r="F26" i="25"/>
  <c r="H43" i="25"/>
  <c r="F73" i="25"/>
  <c r="F88" i="25"/>
  <c r="K49" i="25"/>
  <c r="G29" i="25"/>
  <c r="G96" i="25"/>
  <c r="G93" i="25"/>
  <c r="F24" i="25"/>
  <c r="F57" i="25"/>
  <c r="G85" i="25"/>
  <c r="G80" i="25"/>
  <c r="F66" i="25"/>
  <c r="F74" i="25"/>
  <c r="F76" i="25"/>
  <c r="F104" i="25"/>
  <c r="F69" i="25"/>
  <c r="F36" i="25"/>
  <c r="F68" i="25"/>
  <c r="F98" i="25"/>
  <c r="F6" i="25"/>
  <c r="F72" i="25"/>
  <c r="F44" i="25"/>
  <c r="F11" i="25"/>
  <c r="F58" i="25"/>
  <c r="F60" i="25"/>
  <c r="F62" i="25"/>
  <c r="F12" i="25"/>
  <c r="F61" i="25"/>
  <c r="F81" i="25"/>
  <c r="F92" i="25"/>
  <c r="G21" i="25"/>
  <c r="G53" i="25"/>
  <c r="G49" i="25"/>
  <c r="G14" i="25"/>
  <c r="G38" i="25"/>
  <c r="G86" i="25"/>
  <c r="G68" i="25"/>
  <c r="H71" i="25"/>
  <c r="G40" i="25"/>
  <c r="G87" i="25"/>
  <c r="G17" i="25"/>
  <c r="G13" i="25"/>
  <c r="G103" i="25"/>
  <c r="G43" i="25"/>
  <c r="G32" i="25"/>
  <c r="H75" i="25"/>
  <c r="G56" i="25"/>
  <c r="G8" i="25"/>
  <c r="G60" i="25"/>
  <c r="G35" i="25"/>
  <c r="G45" i="25"/>
  <c r="G34" i="25"/>
  <c r="G90" i="25"/>
  <c r="G10" i="25"/>
  <c r="G16" i="25"/>
  <c r="G57" i="25"/>
  <c r="G36" i="25"/>
  <c r="G79" i="25"/>
  <c r="H57" i="25"/>
  <c r="H73" i="25"/>
  <c r="H72" i="25"/>
  <c r="H16" i="25"/>
  <c r="H97" i="25"/>
  <c r="H23" i="25"/>
  <c r="H101" i="25"/>
  <c r="H19" i="25"/>
  <c r="G92" i="25"/>
  <c r="G27" i="25"/>
  <c r="G15" i="25"/>
  <c r="G65" i="25"/>
  <c r="G5" i="25"/>
  <c r="G63" i="25"/>
  <c r="G42" i="25"/>
  <c r="G94" i="25"/>
  <c r="G44" i="25"/>
  <c r="G72" i="25"/>
  <c r="G51" i="25"/>
  <c r="G50" i="25"/>
  <c r="G73" i="25"/>
  <c r="G98" i="25"/>
  <c r="G83" i="25"/>
  <c r="G61" i="25"/>
  <c r="G48" i="25"/>
  <c r="G37" i="25"/>
  <c r="G101" i="25"/>
  <c r="G11" i="25"/>
  <c r="G64" i="25"/>
  <c r="G47" i="25"/>
  <c r="G6" i="25"/>
  <c r="G100" i="25"/>
  <c r="G59" i="25"/>
  <c r="K58" i="25"/>
  <c r="K71" i="25"/>
  <c r="K36" i="25"/>
  <c r="K90" i="25"/>
  <c r="K14" i="25"/>
  <c r="L11" i="25"/>
  <c r="L56" i="25"/>
  <c r="K79" i="25"/>
  <c r="K45" i="25"/>
  <c r="K44" i="25"/>
  <c r="K54" i="25"/>
  <c r="K5" i="25"/>
  <c r="K27" i="25"/>
  <c r="K13" i="25"/>
  <c r="K89" i="25"/>
  <c r="K31" i="25"/>
  <c r="K68" i="25"/>
  <c r="K88" i="25"/>
  <c r="K83" i="25"/>
  <c r="K7" i="25"/>
  <c r="L93" i="25"/>
  <c r="L38" i="25"/>
  <c r="L45" i="25"/>
  <c r="K19" i="25"/>
  <c r="K39" i="25"/>
  <c r="K97" i="25"/>
  <c r="K8" i="25"/>
  <c r="K48" i="25"/>
  <c r="K60" i="25"/>
  <c r="K42" i="25"/>
  <c r="K11" i="25"/>
  <c r="K25" i="25"/>
  <c r="K6" i="25"/>
  <c r="K70" i="25"/>
  <c r="K32" i="25"/>
  <c r="K40" i="25"/>
  <c r="K38" i="25"/>
  <c r="K15" i="25"/>
  <c r="K103" i="25"/>
  <c r="K29" i="25"/>
  <c r="K22" i="25"/>
  <c r="K18" i="25"/>
  <c r="K67" i="25"/>
  <c r="K86" i="25"/>
  <c r="K46" i="25"/>
  <c r="K80" i="25"/>
  <c r="K100" i="25"/>
  <c r="K77" i="25"/>
  <c r="H24" i="25"/>
  <c r="H92" i="25"/>
  <c r="H95" i="25"/>
  <c r="H21" i="25"/>
  <c r="H60" i="25"/>
  <c r="H66" i="25"/>
  <c r="H35" i="25"/>
  <c r="H86" i="25"/>
  <c r="H45" i="25"/>
  <c r="H80" i="25"/>
  <c r="H79" i="25"/>
  <c r="H98" i="25"/>
  <c r="H9" i="25"/>
  <c r="H76" i="25"/>
  <c r="H49" i="25"/>
  <c r="H12" i="25"/>
  <c r="H91" i="25"/>
  <c r="H68" i="25"/>
  <c r="H58" i="25"/>
  <c r="H94" i="25"/>
  <c r="H44" i="25"/>
  <c r="H96" i="25"/>
  <c r="H6" i="25"/>
  <c r="H50" i="25"/>
  <c r="H32" i="25"/>
  <c r="F85" i="25"/>
  <c r="F34" i="25"/>
  <c r="F77" i="25"/>
  <c r="F78" i="25"/>
  <c r="F38" i="25"/>
  <c r="F15" i="25"/>
  <c r="F49" i="25"/>
  <c r="F91" i="25"/>
  <c r="F22" i="25"/>
  <c r="F18" i="25"/>
  <c r="F43" i="25"/>
  <c r="F47" i="25"/>
  <c r="F89" i="25"/>
  <c r="F52" i="25"/>
  <c r="L101" i="25"/>
  <c r="K99" i="25"/>
  <c r="K74" i="25"/>
  <c r="K20" i="25"/>
  <c r="K64" i="25"/>
  <c r="K87" i="25"/>
  <c r="K78" i="25"/>
  <c r="H84" i="25"/>
  <c r="H46" i="25"/>
  <c r="H17" i="25"/>
  <c r="H42" i="25"/>
  <c r="H102" i="25"/>
  <c r="H10" i="25"/>
  <c r="H27" i="25"/>
  <c r="H52" i="25"/>
  <c r="H36" i="25"/>
  <c r="H14" i="25"/>
  <c r="H62" i="25"/>
  <c r="H56" i="25"/>
  <c r="F30" i="25"/>
  <c r="F86" i="25"/>
  <c r="F41" i="25"/>
  <c r="F48" i="25"/>
  <c r="F95" i="25"/>
  <c r="F13" i="25"/>
  <c r="F51" i="25"/>
  <c r="H59" i="25"/>
  <c r="H74" i="25"/>
  <c r="H55" i="25"/>
  <c r="H20" i="25"/>
  <c r="F8" i="25"/>
  <c r="F33" i="25"/>
  <c r="F17" i="25"/>
  <c r="F42" i="25"/>
  <c r="F102" i="25"/>
  <c r="F21" i="25"/>
  <c r="F40" i="25"/>
  <c r="K57" i="25"/>
  <c r="K84" i="25"/>
  <c r="G75" i="25"/>
  <c r="G46" i="25"/>
  <c r="G67" i="25"/>
  <c r="G54" i="25"/>
  <c r="G88" i="25"/>
  <c r="G95" i="25"/>
  <c r="G84" i="25"/>
  <c r="G55" i="25"/>
  <c r="G31" i="25"/>
  <c r="G104" i="25"/>
  <c r="G12" i="25"/>
  <c r="G9" i="25"/>
  <c r="G7" i="25"/>
  <c r="H28" i="25"/>
  <c r="H87" i="25"/>
  <c r="H100" i="25"/>
  <c r="F27" i="25"/>
  <c r="F65" i="25"/>
  <c r="F63" i="25"/>
  <c r="F53" i="25"/>
  <c r="F96" i="25"/>
  <c r="F84" i="25"/>
  <c r="F14" i="25"/>
  <c r="K63" i="25"/>
  <c r="F56" i="25"/>
  <c r="F103" i="25"/>
  <c r="G77" i="25"/>
  <c r="G99" i="25"/>
  <c r="G91" i="25"/>
  <c r="G24" i="25"/>
  <c r="G25" i="25"/>
  <c r="G102" i="25"/>
  <c r="G19" i="25"/>
  <c r="F25" i="25"/>
  <c r="G33" i="25"/>
  <c r="G39" i="25"/>
  <c r="G82" i="25"/>
  <c r="G78" i="25"/>
  <c r="G70" i="25"/>
  <c r="F70" i="25"/>
  <c r="M96" i="25"/>
  <c r="L5" i="25"/>
  <c r="L24" i="25"/>
  <c r="M69" i="25"/>
  <c r="L68" i="25"/>
  <c r="M81" i="25"/>
  <c r="M78" i="25"/>
  <c r="L20" i="25"/>
  <c r="L39" i="25"/>
  <c r="M91" i="25"/>
  <c r="L43" i="25"/>
  <c r="L32" i="25"/>
  <c r="L88" i="25"/>
  <c r="M57" i="25"/>
  <c r="M13" i="25"/>
  <c r="L104" i="25"/>
  <c r="M11" i="25"/>
  <c r="L47" i="25"/>
  <c r="M52" i="25"/>
  <c r="M40" i="25"/>
  <c r="M83" i="25"/>
  <c r="M102" i="25"/>
  <c r="M54" i="25"/>
  <c r="L86" i="25"/>
  <c r="L30" i="25"/>
  <c r="L13" i="25"/>
  <c r="M50" i="25"/>
  <c r="M31" i="25"/>
  <c r="M74" i="25"/>
  <c r="M98" i="25"/>
  <c r="M97" i="25"/>
  <c r="L46" i="25"/>
  <c r="L34" i="25"/>
  <c r="M38" i="25"/>
  <c r="M82" i="25"/>
  <c r="M23" i="25"/>
  <c r="M12" i="25"/>
  <c r="M6" i="25"/>
  <c r="L9" i="25"/>
  <c r="L41" i="25"/>
  <c r="L61" i="25"/>
  <c r="L72" i="25"/>
  <c r="L77" i="25"/>
  <c r="L79" i="25"/>
  <c r="L52" i="25"/>
  <c r="M51" i="25"/>
  <c r="L6" i="25"/>
  <c r="M47" i="25"/>
  <c r="L28" i="25"/>
  <c r="L96" i="25"/>
  <c r="L17" i="25"/>
  <c r="L14" i="25"/>
  <c r="M101" i="25"/>
  <c r="M58" i="25"/>
  <c r="M16" i="25"/>
  <c r="M60" i="25"/>
  <c r="L74" i="25"/>
  <c r="M48" i="25"/>
  <c r="L12" i="25"/>
  <c r="M49" i="25"/>
  <c r="L97" i="25"/>
  <c r="L71" i="25"/>
  <c r="L27" i="25"/>
  <c r="L19" i="25"/>
  <c r="L78" i="25"/>
  <c r="L7" i="25"/>
  <c r="L59" i="25"/>
  <c r="L84" i="25"/>
  <c r="M100" i="25"/>
  <c r="M30" i="25"/>
  <c r="L51" i="25"/>
  <c r="L33" i="25"/>
  <c r="M46" i="25"/>
  <c r="M28" i="25"/>
  <c r="L64" i="25"/>
  <c r="M44" i="25"/>
  <c r="L35" i="25"/>
  <c r="M14" i="25"/>
  <c r="M41" i="25"/>
  <c r="L54" i="25"/>
  <c r="L16" i="25"/>
  <c r="L60" i="25"/>
  <c r="L91" i="25"/>
  <c r="L48" i="25"/>
  <c r="L8" i="25"/>
  <c r="M34" i="25"/>
  <c r="L80" i="25"/>
  <c r="L69" i="25"/>
  <c r="M25" i="25"/>
  <c r="M94" i="25"/>
  <c r="M42" i="25"/>
  <c r="L29" i="25"/>
  <c r="L103" i="25"/>
  <c r="L49" i="25"/>
  <c r="M71" i="25"/>
  <c r="M19" i="25"/>
  <c r="L73" i="25"/>
  <c r="M84" i="25"/>
  <c r="L85" i="25"/>
  <c r="L55" i="25"/>
  <c r="M99" i="25"/>
  <c r="L67" i="25"/>
  <c r="L94" i="25"/>
  <c r="M22" i="25"/>
  <c r="M29" i="25"/>
  <c r="M103" i="25"/>
  <c r="L10" i="25"/>
  <c r="M76" i="25"/>
  <c r="L81" i="25"/>
  <c r="M15" i="25"/>
  <c r="M56" i="25"/>
  <c r="L90" i="25"/>
  <c r="M75" i="25"/>
  <c r="L36" i="25"/>
  <c r="L31" i="25"/>
  <c r="M68" i="25"/>
  <c r="L65" i="25"/>
  <c r="M93" i="25"/>
  <c r="L75" i="25"/>
  <c r="M33" i="25"/>
  <c r="L44" i="25"/>
  <c r="L53" i="25"/>
  <c r="M5" i="25"/>
  <c r="L21" i="25"/>
  <c r="L15" i="25"/>
  <c r="M90" i="25"/>
  <c r="M7" i="25"/>
  <c r="M24" i="25"/>
  <c r="L92" i="25"/>
  <c r="L95" i="25"/>
  <c r="L26" i="25"/>
  <c r="M65" i="25"/>
  <c r="M37" i="25"/>
  <c r="M35" i="25"/>
  <c r="M36" i="25"/>
  <c r="L50" i="25"/>
  <c r="L40" i="25"/>
  <c r="M26" i="25"/>
  <c r="M62" i="25"/>
  <c r="L66" i="25"/>
  <c r="M86" i="25"/>
  <c r="M70" i="25"/>
  <c r="L87" i="25"/>
  <c r="L63" i="25"/>
  <c r="L22" i="25"/>
  <c r="L18" i="25"/>
  <c r="M17" i="25"/>
  <c r="L99" i="25"/>
  <c r="M45" i="25"/>
  <c r="L23" i="25"/>
  <c r="M79" i="25"/>
  <c r="M77" i="25"/>
  <c r="L98" i="25"/>
  <c r="M9" i="25"/>
  <c r="M61" i="25"/>
  <c r="M87" i="25"/>
  <c r="M63" i="25"/>
  <c r="L42" i="25"/>
  <c r="M18" i="25"/>
  <c r="L25" i="25"/>
  <c r="M72" i="25"/>
  <c r="L89" i="25"/>
  <c r="L100" i="25"/>
  <c r="L62" i="25"/>
  <c r="L82" i="25"/>
  <c r="M92" i="25"/>
  <c r="L76" i="25"/>
  <c r="M88" i="25"/>
  <c r="M95" i="25"/>
  <c r="N100" i="20"/>
  <c r="N109" i="20"/>
  <c r="C90" i="30"/>
  <c r="C104" i="30" s="1"/>
  <c r="C97" i="30"/>
  <c r="C93" i="30"/>
  <c r="C107" i="30" s="1"/>
  <c r="C100" i="30"/>
  <c r="C94" i="30"/>
  <c r="C117" i="30"/>
  <c r="C120" i="30" s="1"/>
  <c r="C121" i="30" s="1"/>
  <c r="C101" i="30"/>
  <c r="C91" i="30"/>
  <c r="C105" i="30" s="1"/>
  <c r="C98" i="30"/>
  <c r="D12" i="20"/>
  <c r="D76" i="20"/>
  <c r="D77" i="20" s="1"/>
  <c r="C41" i="10"/>
  <c r="C47" i="10" s="1"/>
  <c r="C50" i="10" s="1"/>
  <c r="D110" i="20" s="1"/>
  <c r="D36" i="20"/>
  <c r="D37" i="20" s="1"/>
  <c r="W6" i="15"/>
  <c r="W51" i="25" l="1"/>
  <c r="W33" i="25"/>
  <c r="W48" i="25"/>
  <c r="W73" i="25"/>
  <c r="W54" i="25"/>
  <c r="W53" i="25"/>
  <c r="W86" i="25"/>
  <c r="W104" i="25"/>
  <c r="W66" i="25"/>
  <c r="W69" i="25"/>
  <c r="W76" i="25"/>
  <c r="W82" i="25"/>
  <c r="W72" i="25"/>
  <c r="W63" i="25"/>
  <c r="W98" i="25"/>
  <c r="W79" i="25"/>
  <c r="W45" i="25"/>
  <c r="W22" i="25"/>
  <c r="W40" i="25"/>
  <c r="W36" i="25"/>
  <c r="W37" i="25"/>
  <c r="W26" i="25"/>
  <c r="W92" i="25"/>
  <c r="W7" i="25"/>
  <c r="W14" i="25"/>
  <c r="W5" i="25"/>
  <c r="W31" i="25"/>
  <c r="W56" i="25"/>
  <c r="W29" i="25"/>
  <c r="W93" i="25"/>
  <c r="W70" i="25"/>
  <c r="W103" i="25"/>
  <c r="W42" i="25"/>
  <c r="W8" i="25"/>
  <c r="W90" i="25"/>
  <c r="W59" i="25"/>
  <c r="W27" i="25"/>
  <c r="W12" i="25"/>
  <c r="W101" i="25"/>
  <c r="W49" i="25"/>
  <c r="W83" i="25"/>
  <c r="W13" i="25"/>
  <c r="W67" i="25"/>
  <c r="W23" i="25"/>
  <c r="W19" i="25"/>
  <c r="W96" i="25"/>
  <c r="W84" i="25"/>
  <c r="W47" i="25"/>
  <c r="W89" i="25"/>
  <c r="W100" i="25"/>
  <c r="W94" i="25"/>
  <c r="W24" i="25"/>
  <c r="W28" i="25"/>
  <c r="W10" i="25"/>
  <c r="W55" i="25"/>
  <c r="W88" i="25"/>
  <c r="W20" i="25"/>
  <c r="W74" i="25"/>
  <c r="W95" i="25"/>
  <c r="W52" i="25"/>
  <c r="W18" i="25"/>
  <c r="W15" i="25"/>
  <c r="W32" i="25"/>
  <c r="W46" i="25"/>
  <c r="W65" i="25"/>
  <c r="W57" i="25"/>
  <c r="W43" i="25"/>
  <c r="W87" i="25"/>
  <c r="W62" i="25"/>
  <c r="W44" i="25"/>
  <c r="W85" i="25"/>
  <c r="W80" i="25"/>
  <c r="W78" i="25"/>
  <c r="W77" i="25"/>
  <c r="W9" i="25"/>
  <c r="W34" i="25"/>
  <c r="W11" i="25"/>
  <c r="W39" i="25"/>
  <c r="W75" i="25"/>
  <c r="W81" i="25"/>
  <c r="W99" i="25"/>
  <c r="W25" i="25"/>
  <c r="W16" i="25"/>
  <c r="W41" i="25"/>
  <c r="W35" i="25"/>
  <c r="W64" i="25"/>
  <c r="W97" i="25"/>
  <c r="W17" i="25"/>
  <c r="W6" i="25"/>
  <c r="W60" i="25"/>
  <c r="W21" i="25"/>
  <c r="W68" i="25"/>
  <c r="W38" i="25"/>
  <c r="W61" i="25"/>
  <c r="W91" i="25"/>
  <c r="W71" i="25"/>
  <c r="W50" i="25"/>
  <c r="W102" i="25"/>
  <c r="W58" i="25"/>
  <c r="W30" i="25"/>
  <c r="J24" i="33"/>
  <c r="J23" i="33" s="1"/>
  <c r="M189" i="31"/>
  <c r="N18" i="20"/>
  <c r="N101" i="20"/>
  <c r="D108" i="20"/>
  <c r="Q34" i="15"/>
  <c r="C118" i="30"/>
  <c r="C122" i="30" s="1"/>
  <c r="C123" i="30" s="1"/>
  <c r="C108" i="30"/>
  <c r="Y3" i="25"/>
  <c r="B27" i="20"/>
  <c r="D9" i="20"/>
  <c r="D13" i="20"/>
  <c r="D14" i="20" s="1"/>
  <c r="F98" i="15" l="1"/>
  <c r="H30" i="33"/>
  <c r="F96" i="15"/>
  <c r="M192" i="31"/>
  <c r="D100" i="20"/>
  <c r="D101" i="20" s="1"/>
  <c r="D109" i="20"/>
  <c r="N19" i="20"/>
  <c r="N20" i="20" s="1"/>
  <c r="N6" i="20"/>
  <c r="Y78" i="25"/>
  <c r="Y102" i="25"/>
  <c r="Y67" i="25"/>
  <c r="Y83" i="25"/>
  <c r="Y58" i="25"/>
  <c r="Y74" i="25"/>
  <c r="Y42" i="25"/>
  <c r="Y5" i="25"/>
  <c r="Y57" i="25"/>
  <c r="Y90" i="25"/>
  <c r="Y84" i="25"/>
  <c r="Y98" i="25"/>
  <c r="Y65" i="25"/>
  <c r="Y76" i="25"/>
  <c r="Y28" i="25"/>
  <c r="Y72" i="25"/>
  <c r="Y63" i="25"/>
  <c r="Y55" i="25"/>
  <c r="Y19" i="25"/>
  <c r="Y15" i="25"/>
  <c r="Y30" i="25"/>
  <c r="Y6" i="25"/>
  <c r="Y18" i="25"/>
  <c r="Y92" i="25"/>
  <c r="Y94" i="25"/>
  <c r="Y43" i="25"/>
  <c r="Y31" i="25"/>
  <c r="Y80" i="25"/>
  <c r="Y56" i="25"/>
  <c r="Y51" i="25"/>
  <c r="Y40" i="25"/>
  <c r="Y52" i="25"/>
  <c r="Y46" i="25"/>
  <c r="Y59" i="25"/>
  <c r="Y77" i="25"/>
  <c r="Y12" i="25"/>
  <c r="Y66" i="25"/>
  <c r="Y93" i="25"/>
  <c r="Y10" i="25"/>
  <c r="Y95" i="25"/>
  <c r="Y20" i="25"/>
  <c r="Y50" i="25"/>
  <c r="Y101" i="25"/>
  <c r="Y26" i="25"/>
  <c r="Y27" i="25"/>
  <c r="Y7" i="25"/>
  <c r="Y96" i="25"/>
  <c r="Y91" i="25"/>
  <c r="Y62" i="25"/>
  <c r="Y86" i="25"/>
  <c r="Y8" i="25"/>
  <c r="Y44" i="25"/>
  <c r="Y103" i="25"/>
  <c r="Y41" i="25"/>
  <c r="Y13" i="25"/>
  <c r="Y99" i="25"/>
  <c r="Y88" i="25"/>
  <c r="Y61" i="25"/>
  <c r="Y85" i="25"/>
  <c r="Y34" i="25"/>
  <c r="Y70" i="25"/>
  <c r="Y14" i="25"/>
  <c r="Y45" i="25"/>
  <c r="Y82" i="25"/>
  <c r="Y79" i="25"/>
  <c r="Y47" i="25"/>
  <c r="Y100" i="25"/>
  <c r="Y17" i="25"/>
  <c r="Y49" i="25"/>
  <c r="Y53" i="25"/>
  <c r="Y69" i="25"/>
  <c r="Y29" i="25"/>
  <c r="Y24" i="25"/>
  <c r="Y21" i="25"/>
  <c r="Y33" i="25"/>
  <c r="Y81" i="25"/>
  <c r="Y97" i="25"/>
  <c r="Y87" i="25"/>
  <c r="Y89" i="25"/>
  <c r="Y73" i="25"/>
  <c r="Y48" i="25"/>
  <c r="Y71" i="25"/>
  <c r="Y37" i="25"/>
  <c r="Y54" i="25"/>
  <c r="Y22" i="25"/>
  <c r="Y11" i="25"/>
  <c r="Y9" i="25"/>
  <c r="Y39" i="25"/>
  <c r="Y60" i="25"/>
  <c r="Y35" i="25"/>
  <c r="Y64" i="25"/>
  <c r="Y38" i="25"/>
  <c r="Y36" i="25"/>
  <c r="Y32" i="25"/>
  <c r="Y23" i="25"/>
  <c r="Y75" i="25"/>
  <c r="Y68" i="25"/>
  <c r="Y25" i="25"/>
  <c r="Y104" i="25"/>
  <c r="Y16" i="25"/>
  <c r="G44" i="24"/>
  <c r="D10" i="20"/>
  <c r="D11" i="20" s="1"/>
  <c r="Q33" i="15"/>
  <c r="X34" i="15"/>
  <c r="D117" i="20"/>
  <c r="U87" i="33" l="1"/>
  <c r="H28" i="33"/>
  <c r="D18" i="20"/>
  <c r="N7" i="20"/>
  <c r="N8" i="20" s="1"/>
  <c r="N23" i="20"/>
  <c r="N24" i="20" s="1"/>
  <c r="X33" i="15"/>
  <c r="Y34" i="15"/>
  <c r="U85" i="33" l="1"/>
  <c r="Q81" i="33" s="1"/>
  <c r="C27" i="20"/>
  <c r="M190" i="31"/>
  <c r="J26" i="33"/>
  <c r="D6" i="20"/>
  <c r="AS22" i="24" s="1"/>
  <c r="D19" i="20"/>
  <c r="D20" i="20" s="1"/>
  <c r="H44" i="24"/>
  <c r="I36" i="33" s="1"/>
  <c r="Y33" i="15"/>
  <c r="Y6" i="15" s="1"/>
  <c r="N13" i="33"/>
  <c r="Q13" i="33" s="1"/>
  <c r="N80" i="33" l="1"/>
  <c r="Q82" i="33"/>
  <c r="E29" i="24"/>
  <c r="E30" i="24"/>
  <c r="E34" i="24"/>
  <c r="H36" i="33"/>
  <c r="D23" i="20"/>
  <c r="E27" i="24"/>
  <c r="E28" i="24"/>
  <c r="M193" i="31"/>
  <c r="F97" i="15"/>
  <c r="J22" i="33"/>
  <c r="D7" i="20"/>
  <c r="F99" i="15" s="1"/>
  <c r="F100" i="15" s="1"/>
  <c r="AA3" i="25"/>
  <c r="AA31" i="25" s="1"/>
  <c r="E33" i="24"/>
  <c r="E26" i="24"/>
  <c r="E31" i="24"/>
  <c r="E32" i="24"/>
  <c r="P13" i="33"/>
  <c r="O13" i="33" s="1"/>
  <c r="P10" i="33"/>
  <c r="O10" i="33" s="1"/>
  <c r="P21" i="33"/>
  <c r="O21" i="33" s="1"/>
  <c r="P19" i="33"/>
  <c r="O19" i="33" s="1"/>
  <c r="P6" i="33"/>
  <c r="O6" i="33" s="1"/>
  <c r="P7" i="33"/>
  <c r="O7" i="33" s="1"/>
  <c r="P11" i="33"/>
  <c r="O11" i="33" s="1"/>
  <c r="P18" i="33"/>
  <c r="O18" i="33" s="1"/>
  <c r="P27" i="33"/>
  <c r="O27" i="33" s="1"/>
  <c r="P25" i="33"/>
  <c r="O25" i="33" s="1"/>
  <c r="P17" i="33"/>
  <c r="O17" i="33" s="1"/>
  <c r="P23" i="33"/>
  <c r="O23" i="33" s="1"/>
  <c r="P29" i="33"/>
  <c r="O29" i="33" s="1"/>
  <c r="P5" i="33"/>
  <c r="O5" i="33" s="1"/>
  <c r="P9" i="33"/>
  <c r="O9" i="33" s="1"/>
  <c r="P15" i="33"/>
  <c r="O15" i="33" s="1"/>
  <c r="P8" i="33"/>
  <c r="O8" i="33" s="1"/>
  <c r="P12" i="33"/>
  <c r="O12" i="33" s="1"/>
  <c r="P24" i="33"/>
  <c r="O24" i="33" s="1"/>
  <c r="P22" i="33"/>
  <c r="O22" i="33" s="1"/>
  <c r="P26" i="33"/>
  <c r="O26" i="33" s="1"/>
  <c r="P14" i="33"/>
  <c r="O14" i="33" s="1"/>
  <c r="P20" i="33"/>
  <c r="O20" i="33" s="1"/>
  <c r="P28" i="33"/>
  <c r="O28" i="33" s="1"/>
  <c r="P16" i="33"/>
  <c r="O16" i="33" s="1"/>
  <c r="AA20" i="25"/>
  <c r="AS24" i="24"/>
  <c r="AS25" i="24"/>
  <c r="AS29" i="24"/>
  <c r="AS32" i="24"/>
  <c r="AS27" i="24"/>
  <c r="AS26" i="24"/>
  <c r="AS30" i="24"/>
  <c r="AS31" i="24"/>
  <c r="AS28" i="24"/>
  <c r="AA9" i="25" l="1"/>
  <c r="AA67" i="25"/>
  <c r="AA94" i="25"/>
  <c r="AA100" i="25"/>
  <c r="AA63" i="25"/>
  <c r="AA40" i="25"/>
  <c r="AA18" i="25"/>
  <c r="AA69" i="25"/>
  <c r="AA62" i="25"/>
  <c r="AA11" i="25"/>
  <c r="AA8" i="25"/>
  <c r="AA75" i="25"/>
  <c r="AA32" i="25"/>
  <c r="AA104" i="25"/>
  <c r="AA46" i="25"/>
  <c r="AA13" i="25"/>
  <c r="AA64" i="25"/>
  <c r="AA57" i="25"/>
  <c r="AA28" i="25"/>
  <c r="AA91" i="25"/>
  <c r="AA37" i="25"/>
  <c r="AA103" i="25"/>
  <c r="AA41" i="25"/>
  <c r="AA16" i="25"/>
  <c r="AA17" i="25"/>
  <c r="AA15" i="25"/>
  <c r="AA55" i="25"/>
  <c r="AA43" i="25"/>
  <c r="AA86" i="25"/>
  <c r="AA73" i="25"/>
  <c r="AA23" i="25"/>
  <c r="AA87" i="25"/>
  <c r="AA81" i="25"/>
  <c r="AA42" i="25"/>
  <c r="AA60" i="25"/>
  <c r="AA52" i="25"/>
  <c r="AA93" i="25"/>
  <c r="AA78" i="25"/>
  <c r="AA7" i="25"/>
  <c r="AA97" i="25"/>
  <c r="AA98" i="25"/>
  <c r="AA12" i="25"/>
  <c r="AA27" i="25"/>
  <c r="AA48" i="25"/>
  <c r="AA30" i="25"/>
  <c r="AA101" i="25"/>
  <c r="AA92" i="25"/>
  <c r="AA88" i="25"/>
  <c r="AA71" i="25"/>
  <c r="AA84" i="25"/>
  <c r="AA39" i="25"/>
  <c r="AA53" i="25"/>
  <c r="AA90" i="25"/>
  <c r="AA26" i="25"/>
  <c r="AA50" i="25"/>
  <c r="AA36" i="25"/>
  <c r="AA70" i="25"/>
  <c r="AA59" i="25"/>
  <c r="AA54" i="25"/>
  <c r="AA76" i="25"/>
  <c r="AA66" i="25"/>
  <c r="AA19" i="25"/>
  <c r="AA65" i="25"/>
  <c r="AA61" i="25"/>
  <c r="AA38" i="25"/>
  <c r="AA85" i="25"/>
  <c r="AA24" i="25"/>
  <c r="AA14" i="25"/>
  <c r="AA34" i="25"/>
  <c r="AA83" i="25"/>
  <c r="AA80" i="25"/>
  <c r="AA21" i="25"/>
  <c r="AA51" i="25"/>
  <c r="AA49" i="25"/>
  <c r="AA74" i="25"/>
  <c r="AA95" i="25"/>
  <c r="AA96" i="25"/>
  <c r="AA99" i="25"/>
  <c r="AA45" i="25"/>
  <c r="AA33" i="25"/>
  <c r="AA72" i="25"/>
  <c r="AA89" i="25"/>
  <c r="AA25" i="25"/>
  <c r="AA79" i="25"/>
  <c r="AA77" i="25"/>
  <c r="AA10" i="25"/>
  <c r="AA102" i="25"/>
  <c r="AA82" i="25"/>
  <c r="AA6" i="25"/>
  <c r="AA35" i="25"/>
  <c r="AA56" i="25"/>
  <c r="AA68" i="25"/>
  <c r="AA22" i="25"/>
  <c r="AA5" i="25"/>
  <c r="AA47" i="25"/>
  <c r="AA44" i="25"/>
  <c r="AA29" i="25"/>
  <c r="AA58" i="25"/>
  <c r="D24" i="20"/>
  <c r="D8" i="20"/>
  <c r="M191" i="31"/>
  <c r="H33" i="33"/>
  <c r="H81" i="33" s="1"/>
  <c r="F92" i="15"/>
  <c r="H35" i="33"/>
  <c r="M196" i="31" l="1"/>
  <c r="H82" i="33"/>
  <c r="I82" i="33" s="1"/>
  <c r="H32" i="33"/>
  <c r="M194" i="31"/>
  <c r="F93" i="15"/>
  <c r="I33" i="33"/>
  <c r="E1" i="15"/>
  <c r="H80" i="33" l="1"/>
  <c r="I32" i="33"/>
  <c r="M195" i="31"/>
</calcChain>
</file>

<file path=xl/comments1.xml><?xml version="1.0" encoding="utf-8"?>
<comments xmlns="http://schemas.openxmlformats.org/spreadsheetml/2006/main">
  <authors>
    <author>Anna D. Myshak</author>
  </authors>
  <commentList>
    <comment ref="D17" authorId="0" shapeId="0">
      <text>
        <r>
          <rPr>
            <b/>
            <sz val="9"/>
            <color indexed="81"/>
            <rFont val="Tahoma"/>
            <family val="2"/>
            <charset val="204"/>
          </rPr>
          <t>Технологии отсортированы по возрастанию сопротивления теплопередаче</t>
        </r>
      </text>
    </comment>
    <comment ref="D59"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10"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86"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86"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comments5.xml><?xml version="1.0" encoding="utf-8"?>
<comments xmlns="http://schemas.openxmlformats.org/spreadsheetml/2006/main">
  <authors>
    <author>konstantin</author>
  </authors>
  <commentList>
    <comment ref="C39" authorId="0" shapeId="0">
      <text>
        <r>
          <rPr>
            <b/>
            <sz val="9"/>
            <color indexed="81"/>
            <rFont val="Tahoma"/>
            <family val="2"/>
            <charset val="204"/>
          </rPr>
          <t>konstantin:</t>
        </r>
        <r>
          <rPr>
            <sz val="9"/>
            <color indexed="81"/>
            <rFont val="Tahoma"/>
            <family val="2"/>
            <charset val="204"/>
          </rPr>
          <t xml:space="preserve">
Принята по величине трансмиссионных тепловых потерь через ограждающие конструкции МКД (расчет остальных составляющих в Помощнике ЭКР отсутствует).</t>
        </r>
      </text>
    </comment>
    <comment ref="C44" authorId="0" shapeId="0">
      <text>
        <r>
          <rPr>
            <b/>
            <sz val="9"/>
            <color indexed="81"/>
            <rFont val="Tahoma"/>
            <family val="2"/>
            <charset val="204"/>
          </rPr>
          <t>konstantin:</t>
        </r>
        <r>
          <rPr>
            <sz val="9"/>
            <color indexed="81"/>
            <rFont val="Tahoma"/>
            <family val="2"/>
            <charset val="204"/>
          </rPr>
          <t xml:space="preserve">
Принята по трансмиссионным тепловым потерям (для более полного расчета в Помощнике ЭКР данные отсутствуют)</t>
        </r>
      </text>
    </comment>
    <comment ref="C74" authorId="0" shapeId="0">
      <text>
        <r>
          <rPr>
            <b/>
            <sz val="9"/>
            <color indexed="81"/>
            <rFont val="Tahoma"/>
            <family val="2"/>
            <charset val="204"/>
          </rPr>
          <t>konstantin:</t>
        </r>
        <r>
          <rPr>
            <sz val="9"/>
            <color indexed="81"/>
            <rFont val="Tahoma"/>
            <family val="2"/>
            <charset val="204"/>
          </rPr>
          <t xml:space="preserve">
Принята по величине трансмиссионных тепловых потерь через ограждающие конструкции МКД (расчет остальных составляющих в Помощнике ЭКР отсутствует).</t>
        </r>
      </text>
    </comment>
  </commentList>
</comments>
</file>

<file path=xl/sharedStrings.xml><?xml version="1.0" encoding="utf-8"?>
<sst xmlns="http://schemas.openxmlformats.org/spreadsheetml/2006/main" count="6622" uniqueCount="2493">
  <si>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</si>
  <si>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</si>
  <si>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</si>
  <si>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</si>
  <si>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</si>
  <si>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</si>
  <si>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</si>
  <si>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</si>
  <si>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</si>
  <si>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</si>
  <si>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</si>
  <si>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</si>
  <si>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</si>
  <si>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</si>
  <si>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</si>
  <si>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</si>
  <si>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</si>
  <si>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</si>
  <si>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</si>
  <si>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</si>
  <si>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</si>
  <si>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</si>
  <si>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</si>
  <si>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</si>
  <si>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</si>
  <si>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</si>
  <si>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</si>
  <si>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</si>
  <si>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</si>
  <si>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</si>
  <si>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</si>
  <si>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</si>
  <si>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</si>
  <si>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</si>
  <si>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</si>
  <si>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</si>
  <si>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</si>
  <si>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</si>
  <si>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</si>
  <si>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</si>
  <si>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</si>
  <si>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</si>
  <si>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</si>
  <si>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</si>
  <si>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</si>
  <si>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</si>
  <si>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</si>
  <si>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</si>
  <si>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</si>
  <si>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</si>
  <si>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</si>
  <si>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</si>
  <si>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</si>
  <si>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</si>
  <si>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</si>
  <si>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</si>
  <si>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</si>
  <si>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</si>
  <si>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</si>
  <si>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</si>
  <si>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</si>
  <si>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</si>
  <si>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</si>
  <si>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</si>
  <si>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</si>
  <si>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</si>
  <si>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</si>
  <si>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</si>
  <si>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</si>
  <si>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</si>
  <si>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</si>
  <si>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</si>
  <si>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</si>
  <si>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</si>
  <si>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</si>
  <si>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</si>
  <si>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</si>
  <si>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</si>
  <si>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</si>
  <si>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</si>
  <si>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</si>
  <si>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</si>
  <si>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</si>
  <si>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</si>
  <si>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</si>
  <si>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</si>
  <si>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</si>
  <si>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</si>
  <si>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</si>
  <si>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</si>
  <si>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</si>
  <si>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</si>
  <si>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</si>
  <si>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</si>
  <si>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</si>
  <si>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</si>
  <si>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</si>
  <si>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</si>
  <si>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</si>
  <si>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</si>
  <si>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</si>
  <si>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</si>
  <si>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</si>
  <si>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</si>
  <si>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</si>
  <si>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</si>
  <si>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</si>
  <si>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</si>
  <si>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</si>
  <si>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</si>
  <si>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</si>
  <si>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</si>
  <si>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</si>
  <si>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</si>
  <si>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</si>
  <si>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</si>
  <si>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</si>
  <si>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</si>
  <si>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</si>
  <si>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</si>
  <si>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</si>
  <si>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</si>
  <si>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</si>
  <si>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</si>
  <si>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</si>
  <si>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</si>
  <si>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</si>
  <si>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</si>
  <si>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</si>
  <si>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</si>
  <si>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</si>
  <si>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</si>
  <si>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</si>
  <si>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</si>
  <si>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</si>
  <si>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</si>
  <si>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</si>
  <si>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</si>
  <si>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</si>
  <si>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</si>
  <si>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</si>
  <si>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</si>
  <si>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</si>
  <si>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</si>
  <si>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</si>
  <si>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</si>
  <si>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</si>
  <si>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</si>
  <si>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</si>
  <si>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</si>
  <si>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</si>
  <si>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</si>
  <si>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</si>
  <si>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</si>
  <si>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</si>
  <si>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</si>
  <si>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</si>
  <si>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</si>
  <si>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</si>
  <si>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</si>
  <si>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</si>
  <si>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</si>
  <si>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</si>
  <si>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</si>
  <si>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</si>
  <si>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</si>
  <si>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</si>
  <si>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</si>
  <si>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</si>
  <si>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</si>
  <si>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</si>
  <si>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</si>
  <si>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</si>
  <si>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</si>
  <si>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</si>
  <si>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</si>
  <si>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</si>
  <si>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</si>
  <si>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</si>
  <si>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</si>
  <si>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</si>
  <si>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</si>
  <si>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</si>
  <si>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</si>
  <si>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</si>
  <si>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</si>
  <si>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</si>
  <si>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</si>
  <si>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</si>
  <si>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</si>
  <si>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</si>
  <si>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</si>
  <si>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</si>
  <si>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</si>
  <si>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</si>
  <si>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</si>
  <si>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</si>
  <si>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</si>
  <si>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</si>
  <si>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</si>
  <si>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</si>
  <si>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</si>
  <si>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</si>
  <si>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</si>
  <si>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</si>
  <si>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</si>
  <si>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</si>
  <si>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</si>
  <si>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</si>
  <si>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</si>
  <si>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</si>
  <si>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</si>
  <si>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</si>
  <si>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</si>
  <si>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</si>
  <si>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</si>
  <si>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</si>
  <si>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</si>
  <si>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</si>
  <si>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</si>
  <si>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</si>
  <si>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</si>
  <si>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</si>
  <si>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</si>
  <si>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</si>
  <si>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</si>
  <si>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</si>
  <si>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</si>
  <si>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</si>
  <si>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</si>
  <si>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</si>
  <si>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</si>
  <si>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</si>
  <si>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</si>
  <si>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</si>
  <si>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</si>
  <si>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</si>
  <si>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</si>
  <si>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</si>
  <si>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</si>
  <si>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</si>
  <si>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</si>
  <si>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</si>
  <si>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</si>
  <si>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</si>
  <si>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</si>
  <si>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</si>
  <si>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</si>
  <si>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</si>
  <si>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</si>
  <si>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</si>
  <si>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</si>
  <si>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</si>
  <si>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</si>
  <si>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</si>
  <si>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</si>
  <si>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</si>
  <si>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</si>
  <si>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</si>
  <si>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</si>
  <si>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</si>
  <si>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</si>
  <si>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</si>
  <si>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</si>
  <si>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</si>
  <si>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</si>
  <si>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</si>
  <si>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</si>
  <si>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</si>
  <si>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</si>
  <si>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</si>
  <si>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</si>
  <si>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</si>
  <si>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</si>
  <si>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</si>
  <si>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</si>
  <si>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</si>
  <si>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</si>
  <si>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</si>
  <si>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</si>
  <si>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</si>
  <si>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</si>
  <si>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</si>
  <si>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</si>
  <si>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</si>
  <si>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</si>
  <si>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</si>
  <si>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</si>
  <si>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</si>
  <si>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</si>
  <si>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</si>
  <si>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</si>
  <si>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</si>
  <si>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</si>
  <si>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</si>
  <si>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</si>
  <si>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</si>
  <si>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</si>
  <si>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</si>
  <si>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</si>
  <si>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</si>
  <si>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</si>
  <si>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</si>
  <si>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</si>
  <si>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</si>
  <si>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</si>
  <si>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</si>
  <si>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</si>
  <si>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</si>
  <si>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</si>
  <si>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</si>
  <si>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</si>
  <si>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</si>
  <si>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</si>
  <si>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</si>
  <si>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</si>
  <si>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</si>
  <si>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</si>
  <si>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</si>
  <si>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</si>
  <si>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</si>
  <si>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</si>
  <si>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</si>
  <si>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</si>
  <si>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</si>
  <si>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</si>
  <si>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</si>
  <si>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</si>
  <si>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</si>
  <si>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</si>
  <si>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</si>
  <si>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</si>
  <si>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</si>
  <si>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</si>
  <si>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</si>
  <si>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</si>
  <si>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</si>
  <si>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</si>
  <si>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</si>
  <si>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</si>
  <si>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</si>
  <si>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</si>
  <si>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</si>
  <si>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</si>
  <si>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</si>
  <si>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</si>
  <si>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</si>
  <si>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</si>
  <si>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</si>
  <si>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</si>
  <si>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</si>
  <si>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</si>
  <si>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</si>
  <si>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</si>
  <si>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</si>
  <si>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</si>
  <si>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</si>
  <si>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</si>
  <si>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</si>
  <si>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</si>
  <si>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</si>
  <si>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</si>
  <si>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</si>
  <si>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</si>
  <si>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</si>
  <si>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</si>
  <si>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</si>
  <si>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</si>
  <si>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</si>
  <si>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</si>
  <si>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</si>
  <si>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</si>
  <si>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</si>
  <si>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</si>
  <si>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</si>
  <si>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</si>
  <si>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</si>
  <si>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</si>
  <si>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</si>
  <si>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</si>
  <si>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</si>
  <si>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</si>
  <si>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</si>
  <si>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</si>
  <si>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</si>
  <si>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</si>
  <si>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</si>
  <si>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</si>
  <si>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</si>
  <si>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</si>
  <si>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</si>
  <si>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</si>
  <si>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</si>
  <si>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</si>
  <si>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</si>
  <si>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</si>
  <si>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</si>
  <si>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</si>
  <si>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</si>
  <si>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</si>
  <si>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</si>
  <si>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</si>
  <si>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</si>
  <si>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</si>
  <si>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</si>
  <si>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</si>
  <si>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</si>
  <si>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</si>
  <si>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</si>
  <si>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</si>
  <si>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</si>
  <si>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</si>
  <si>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</si>
  <si>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</si>
  <si>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</si>
  <si>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</si>
  <si>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</si>
  <si>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</si>
  <si>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</si>
  <si>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</si>
  <si>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</si>
  <si>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</si>
  <si>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</si>
  <si>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</si>
  <si>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</si>
  <si>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</si>
  <si>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</si>
  <si>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</si>
  <si>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</si>
  <si>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</si>
  <si>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</si>
  <si>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</si>
  <si>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</si>
  <si>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</si>
  <si>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</si>
  <si>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</si>
  <si>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</si>
  <si>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</si>
  <si>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</si>
  <si>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</si>
  <si>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</si>
  <si>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</si>
  <si>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</si>
  <si>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</si>
  <si>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</si>
  <si>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</si>
  <si>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</si>
  <si>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</si>
  <si>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</si>
  <si>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</si>
  <si>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</si>
  <si>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</si>
  <si>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</si>
  <si>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</si>
  <si>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</si>
  <si>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</si>
  <si>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</si>
  <si>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</si>
  <si>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</si>
  <si>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</si>
  <si>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</si>
  <si>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</si>
  <si>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</si>
  <si>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</si>
  <si>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</si>
  <si>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</si>
  <si>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</si>
  <si>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</si>
  <si>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</si>
  <si>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</si>
  <si>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</si>
  <si>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</si>
  <si>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</si>
  <si>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</si>
  <si>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</si>
  <si>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</si>
  <si>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</si>
  <si>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</si>
  <si>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</si>
  <si>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</si>
  <si>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</si>
  <si>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</si>
  <si>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</si>
  <si>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</si>
  <si>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</si>
  <si>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</si>
  <si>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</si>
  <si>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</si>
  <si>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</si>
  <si>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</si>
  <si>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</si>
  <si>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</si>
  <si>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</si>
  <si>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</si>
  <si>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</si>
  <si>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</si>
  <si>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</si>
  <si>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</si>
  <si>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</si>
  <si>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</si>
  <si>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</si>
  <si>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</si>
  <si>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</si>
  <si>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</si>
  <si>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</si>
  <si>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</si>
  <si>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</si>
  <si>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</si>
  <si>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</si>
  <si>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</si>
  <si>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</si>
  <si>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</si>
  <si>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</si>
  <si>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</si>
  <si>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</si>
  <si>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</si>
  <si>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</si>
  <si>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</si>
  <si>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</si>
  <si>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</si>
  <si>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</si>
  <si>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</si>
  <si>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</si>
  <si>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</si>
  <si>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</si>
  <si>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</si>
  <si>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</si>
  <si>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</si>
  <si>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</si>
  <si>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</si>
  <si>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</si>
  <si>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</si>
  <si>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</si>
  <si>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</si>
  <si>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</si>
  <si>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</si>
  <si>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</si>
  <si>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</si>
  <si>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</si>
  <si>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</si>
  <si>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</si>
  <si>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</si>
  <si>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</si>
  <si>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</si>
  <si>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</si>
  <si>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</si>
  <si>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</si>
  <si>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</si>
  <si>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</si>
  <si>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</si>
  <si>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</si>
  <si>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</si>
  <si>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</si>
  <si>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</si>
  <si>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</si>
  <si>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</si>
  <si>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</si>
  <si>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</si>
  <si>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</si>
  <si>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</si>
  <si>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</si>
  <si>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</si>
  <si>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</si>
  <si>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</si>
  <si>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</si>
  <si>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</si>
  <si>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</si>
  <si>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</si>
  <si>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</si>
  <si>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</si>
  <si>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</si>
  <si>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</si>
  <si>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</si>
  <si>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</si>
  <si>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</si>
  <si>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</si>
  <si>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</si>
  <si>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</si>
  <si>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</si>
  <si>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</si>
  <si>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</si>
  <si>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</si>
  <si>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</si>
  <si>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</si>
  <si>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</si>
  <si>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</si>
  <si>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</si>
  <si>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</si>
  <si>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</si>
  <si>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</si>
  <si>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</si>
  <si>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</si>
  <si>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</si>
  <si>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</si>
  <si>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</si>
  <si>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</si>
  <si>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</si>
  <si>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</si>
  <si>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</si>
  <si>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</si>
  <si>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</si>
  <si>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</si>
  <si>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</si>
  <si>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</si>
  <si>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</si>
  <si>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</si>
  <si>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</si>
  <si>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</si>
  <si>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</si>
  <si>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</si>
  <si>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</si>
  <si>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</si>
  <si>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</si>
  <si>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</si>
  <si>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</si>
  <si>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</si>
  <si>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</si>
  <si>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</si>
  <si>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</si>
  <si>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</si>
  <si>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</si>
  <si>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</si>
  <si>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</si>
  <si>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</si>
  <si>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</si>
  <si>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</si>
  <si>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</si>
  <si>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</si>
  <si>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</si>
  <si>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</si>
  <si>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</si>
  <si>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</si>
  <si>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</si>
  <si>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</si>
  <si>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</si>
  <si>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</si>
  <si>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</si>
  <si>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</si>
  <si>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</si>
  <si>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</si>
  <si>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</si>
  <si>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</si>
  <si>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</si>
  <si>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</si>
  <si>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</si>
  <si>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</si>
  <si>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</si>
  <si>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</si>
  <si>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</si>
  <si>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</si>
  <si>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</si>
  <si>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</si>
  <si>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</si>
  <si>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</si>
  <si>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</si>
  <si>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</si>
  <si>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</si>
  <si>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</si>
  <si>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</si>
  <si>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</si>
  <si>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</si>
  <si>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</si>
  <si>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</si>
  <si>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</si>
  <si>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</si>
  <si>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</si>
  <si>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</si>
  <si>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</si>
  <si>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</si>
  <si>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</si>
  <si>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</si>
  <si>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</si>
  <si>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</si>
  <si>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</si>
  <si>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</si>
  <si>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</si>
  <si>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</si>
  <si>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</si>
  <si>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</si>
  <si>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</si>
  <si>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</si>
  <si>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</si>
  <si>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</si>
  <si>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</si>
  <si>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</si>
  <si>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</si>
  <si>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</si>
  <si>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</si>
  <si>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</si>
  <si>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</si>
  <si>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</si>
  <si>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</si>
  <si>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</si>
  <si>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</si>
  <si>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</si>
  <si>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</si>
  <si>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</si>
  <si>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</si>
  <si>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</si>
  <si>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</si>
  <si>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</si>
  <si>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</si>
  <si>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</si>
  <si>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</si>
  <si>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</si>
  <si>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</si>
  <si>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</si>
  <si>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</si>
  <si>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</si>
  <si>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</si>
  <si>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</si>
  <si>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</si>
  <si>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</si>
  <si>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</si>
  <si>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</si>
  <si>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</si>
  <si>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</si>
  <si>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</si>
  <si>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</si>
  <si>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</si>
  <si>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</si>
  <si>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</si>
  <si>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</si>
  <si>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</si>
  <si>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</si>
  <si>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</si>
  <si>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</si>
  <si>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</si>
  <si>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</si>
  <si>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</si>
  <si>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</si>
  <si>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</si>
  <si>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</si>
  <si>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</si>
  <si>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</si>
  <si>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</si>
  <si>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</si>
  <si>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</si>
  <si>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</si>
  <si>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</si>
  <si>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</si>
  <si>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</si>
  <si>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</si>
  <si>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</si>
  <si>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</si>
  <si>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</si>
  <si>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</si>
  <si>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</si>
  <si>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</si>
  <si>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</si>
  <si>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</si>
  <si>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</si>
  <si>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</si>
  <si>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</si>
  <si>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</si>
  <si>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Общие данные по многоквартирному дому (МКД)</t>
  </si>
  <si>
    <t>Типовая строительная серия</t>
  </si>
  <si>
    <t>Подвал или техническое подполье</t>
  </si>
  <si>
    <t>Способ расчета</t>
  </si>
  <si>
    <t>Детальный</t>
  </si>
  <si>
    <t>в квартирах</t>
  </si>
  <si>
    <t>в местах общего пользования</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</si>
  <si>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</si>
  <si>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</si>
  <si>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</si>
  <si>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</si>
  <si>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</si>
  <si>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</si>
  <si>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</si>
  <si>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</si>
  <si>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</si>
  <si>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</si>
  <si>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</si>
  <si>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</si>
  <si>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</si>
  <si>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</si>
  <si>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</si>
  <si>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</si>
  <si>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</si>
  <si>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</si>
  <si>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</si>
  <si>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</si>
  <si>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</si>
  <si>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</si>
  <si>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</si>
  <si>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</si>
  <si>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</si>
  <si>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</si>
  <si>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</si>
  <si>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</si>
  <si>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</si>
  <si>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</si>
  <si>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</si>
  <si>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</si>
  <si>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</si>
  <si>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</si>
  <si>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</si>
  <si>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</si>
  <si>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</si>
  <si>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</si>
  <si>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</si>
  <si>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</si>
  <si>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</si>
  <si>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</si>
  <si>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</si>
  <si>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</si>
  <si>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</si>
  <si>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</si>
  <si>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</si>
  <si>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</si>
  <si>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</si>
  <si>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</si>
  <si>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</si>
  <si>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</si>
  <si>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</si>
  <si>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</si>
  <si>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</si>
  <si>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</si>
  <si>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</si>
  <si>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</si>
  <si>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</si>
  <si>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</si>
  <si>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</si>
  <si>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</si>
  <si>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</si>
  <si>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</si>
  <si>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</si>
  <si>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</si>
  <si>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</si>
  <si>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</si>
  <si>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</si>
  <si>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</si>
  <si>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</si>
  <si>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</si>
  <si>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</si>
  <si>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</si>
  <si>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</si>
  <si>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</si>
  <si>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</si>
  <si>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</si>
  <si>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</si>
  <si>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</si>
  <si>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</si>
  <si>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</si>
  <si>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</si>
  <si>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</si>
  <si>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</si>
  <si>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</si>
  <si>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</si>
  <si>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</si>
  <si>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</si>
  <si>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</si>
  <si>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</si>
  <si>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</si>
  <si>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</si>
  <si>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</si>
  <si>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</si>
  <si>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</si>
  <si>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</si>
  <si>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</si>
  <si>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</si>
  <si>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</si>
  <si>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</si>
  <si>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</si>
  <si>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</si>
  <si>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</si>
  <si>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</si>
  <si>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</si>
  <si>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</si>
  <si>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</si>
  <si>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</si>
  <si>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</si>
  <si>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</si>
  <si>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</si>
  <si>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</si>
  <si>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</si>
  <si>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</si>
  <si>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</si>
  <si>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</si>
  <si>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</si>
  <si>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</si>
  <si>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</si>
  <si>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</si>
  <si>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</si>
  <si>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</si>
  <si>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</si>
  <si>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</si>
  <si>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</si>
  <si>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</si>
  <si>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</si>
  <si>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</si>
  <si>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</si>
  <si>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</si>
  <si>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</si>
  <si>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</si>
  <si>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</si>
  <si>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</si>
  <si>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</si>
  <si>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</si>
  <si>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</si>
  <si>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</si>
  <si>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</si>
  <si>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</si>
  <si>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</si>
  <si>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</si>
  <si>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</si>
  <si>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</si>
  <si>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</si>
  <si>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</si>
  <si>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</si>
  <si>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</si>
  <si>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</si>
  <si>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</si>
  <si>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</si>
  <si>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</si>
  <si>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</si>
  <si>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</si>
  <si>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</si>
  <si>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</si>
  <si>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</si>
  <si>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</si>
  <si>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</si>
  <si>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</si>
  <si>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</si>
  <si>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</si>
  <si>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</si>
  <si>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</si>
  <si>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</si>
  <si>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</si>
  <si>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</si>
  <si>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</si>
  <si>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</si>
  <si>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</si>
  <si>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</si>
  <si>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</si>
  <si>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</si>
  <si>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</si>
  <si>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</si>
  <si>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</si>
  <si>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</si>
  <si>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</si>
  <si>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</si>
  <si>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</si>
  <si>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</si>
  <si>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</si>
  <si>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</si>
  <si>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</si>
  <si>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</si>
  <si>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</si>
  <si>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</si>
  <si>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</si>
  <si>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</si>
  <si>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</si>
  <si>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</si>
  <si>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</si>
  <si>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</si>
  <si>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</si>
  <si>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</si>
  <si>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</si>
  <si>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</si>
  <si>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</si>
  <si>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</si>
  <si>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</si>
  <si>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</si>
  <si>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</si>
  <si>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</si>
  <si>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</si>
  <si>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</si>
  <si>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</si>
  <si>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</si>
  <si>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</si>
  <si>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</si>
  <si>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</si>
  <si>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</si>
  <si>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</si>
  <si>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Наличие датчиков присутствия или движения</t>
  </si>
  <si>
    <t>Лифтовые холлы и лестничные площадки:</t>
  </si>
  <si>
    <t>Межквартирный коридор:</t>
  </si>
  <si>
    <t>Источник информации: Договор поставки тепловой энергии (договор теплоснабжения)  от энергоснабжающих или теплосетевых организаций.</t>
  </si>
  <si>
    <t xml:space="preserve">Температурный график внутридомовой системы отопления </t>
  </si>
  <si>
    <t>Месяц</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</si>
  <si>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</si>
  <si>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</si>
  <si>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</si>
  <si>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</si>
  <si>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</si>
  <si>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</si>
  <si>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</si>
  <si>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</si>
  <si>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</si>
  <si>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</si>
  <si>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</si>
  <si>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</si>
  <si>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</si>
  <si>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</si>
  <si>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</si>
  <si>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</si>
  <si>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</si>
  <si>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</si>
  <si>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</si>
  <si>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</si>
  <si>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</si>
  <si>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</si>
  <si>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</si>
  <si>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</si>
  <si>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</si>
  <si>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</si>
  <si>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</si>
  <si>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</si>
  <si>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</si>
  <si>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</si>
  <si>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</si>
  <si>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</si>
  <si>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</si>
  <si>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</si>
  <si>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</si>
  <si>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</si>
  <si>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</si>
  <si>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</si>
  <si>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</si>
  <si>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</si>
  <si>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</si>
  <si>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</si>
  <si>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</si>
  <si>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</si>
  <si>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</si>
  <si>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</si>
  <si>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</si>
  <si>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</si>
  <si>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</si>
  <si>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</si>
  <si>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</si>
  <si>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</si>
  <si>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</si>
  <si>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</si>
  <si>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</si>
  <si>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</si>
  <si>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</si>
  <si>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</si>
  <si>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</si>
  <si>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</si>
  <si>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</si>
  <si>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</si>
  <si>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</si>
  <si>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</si>
  <si>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</si>
  <si>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</si>
  <si>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</si>
  <si>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</si>
  <si>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</si>
  <si>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</si>
  <si>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</si>
  <si>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</si>
  <si>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</si>
  <si>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</si>
  <si>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</si>
  <si>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</si>
  <si>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</si>
  <si>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</si>
  <si>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</si>
  <si>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</si>
  <si>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</si>
  <si>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</si>
  <si>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</si>
  <si>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</si>
  <si>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</si>
  <si>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</si>
  <si>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</si>
  <si>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</si>
  <si>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</si>
  <si>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</si>
  <si>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</si>
  <si>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</si>
  <si>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</si>
  <si>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</si>
  <si>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</si>
  <si>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</si>
  <si>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</si>
  <si>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</si>
  <si>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</si>
  <si>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</si>
  <si>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</si>
  <si>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</si>
  <si>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</si>
  <si>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</si>
  <si>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</si>
  <si>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</si>
  <si>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</si>
  <si>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</si>
  <si>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</si>
  <si>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</si>
  <si>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</si>
  <si>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</si>
  <si>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</si>
  <si>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</si>
  <si>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</si>
  <si>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</si>
  <si>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</si>
  <si>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</si>
  <si>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</si>
  <si>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</si>
  <si>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</si>
  <si>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</si>
  <si>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</si>
  <si>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</si>
  <si>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</si>
  <si>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</si>
  <si>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</si>
  <si>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</si>
  <si>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</si>
  <si>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</si>
  <si>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</si>
  <si>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</si>
  <si>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</si>
  <si>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</si>
  <si>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</si>
  <si>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</si>
  <si>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</si>
  <si>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</si>
  <si>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</si>
  <si>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</si>
  <si>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</si>
  <si>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</si>
  <si>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</si>
  <si>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</si>
  <si>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</si>
  <si>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</si>
  <si>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</si>
  <si>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</si>
  <si>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</si>
  <si>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</si>
  <si>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</si>
  <si>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</si>
  <si>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</si>
  <si>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</si>
  <si>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</si>
  <si>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</si>
  <si>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</si>
  <si>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</si>
  <si>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</si>
  <si>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</si>
  <si>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</si>
  <si>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</si>
  <si>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</si>
  <si>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</si>
  <si>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</si>
  <si>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</si>
  <si>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</si>
  <si>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</si>
  <si>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</si>
  <si>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</si>
  <si>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</si>
  <si>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</si>
  <si>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</si>
  <si>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</si>
  <si>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</si>
  <si>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</si>
  <si>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</si>
  <si>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</si>
  <si>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</si>
  <si>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</si>
  <si>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</si>
  <si>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</si>
  <si>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</si>
  <si>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</si>
  <si>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</si>
  <si>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</si>
  <si>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</si>
  <si>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</si>
  <si>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</si>
  <si>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</si>
  <si>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</si>
  <si>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</si>
  <si>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</si>
  <si>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</si>
  <si>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</si>
  <si>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</si>
  <si>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</si>
  <si>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</si>
  <si>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</si>
  <si>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</si>
  <si>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</si>
  <si>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</si>
  <si>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</si>
  <si>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</si>
  <si>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</si>
  <si>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</si>
  <si>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</si>
  <si>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</si>
  <si>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</si>
  <si>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</si>
  <si>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</si>
  <si>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</si>
  <si>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</si>
  <si>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</si>
  <si>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</si>
  <si>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</si>
  <si>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</si>
  <si>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</si>
  <si>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</si>
  <si>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</si>
  <si>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</si>
  <si>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</si>
  <si>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</si>
  <si>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</si>
  <si>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</si>
  <si>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</si>
  <si>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</si>
  <si>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</si>
  <si>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</si>
  <si>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</si>
  <si>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</si>
  <si>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</si>
  <si>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</si>
  <si>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</si>
  <si>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</si>
  <si>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</si>
  <si>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</si>
  <si>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</si>
  <si>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</si>
  <si>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</si>
  <si>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</si>
  <si>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</si>
  <si>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</si>
  <si>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</si>
  <si>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</si>
  <si>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</si>
  <si>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</si>
  <si>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</si>
  <si>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</si>
  <si>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</si>
  <si>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</si>
  <si>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</si>
  <si>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</si>
  <si>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</si>
  <si>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</si>
  <si>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</si>
  <si>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</si>
  <si>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</si>
  <si>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</si>
  <si>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</si>
  <si>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</si>
  <si>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</si>
  <si>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</si>
  <si>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</si>
  <si>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</si>
  <si>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</si>
  <si>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</si>
  <si>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</si>
  <si>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</si>
  <si>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</si>
  <si>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</si>
  <si>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</si>
  <si>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</si>
  <si>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</si>
  <si>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</si>
  <si>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</si>
  <si>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</si>
  <si>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</si>
  <si>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</si>
  <si>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Конструкция окон</t>
  </si>
  <si>
    <t>Коэффициент приведения к нормативным климатическим условиям</t>
  </si>
  <si>
    <t>Нормативные</t>
  </si>
  <si>
    <t>Фактические</t>
  </si>
  <si>
    <t>Среднее значение за отопительный период</t>
  </si>
  <si>
    <t>Число дней работы отопления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</si>
  <si>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</si>
  <si>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</si>
  <si>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</si>
  <si>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</si>
  <si>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</si>
  <si>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</si>
  <si>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</si>
  <si>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</si>
  <si>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</si>
  <si>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</si>
  <si>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</si>
  <si>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</si>
  <si>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</si>
  <si>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</si>
  <si>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</si>
  <si>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</si>
  <si>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</si>
  <si>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</si>
  <si>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</si>
  <si>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</si>
  <si>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</si>
  <si>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</si>
  <si>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</si>
  <si>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Электроэнергия</t>
  </si>
  <si>
    <t>люминисцентные лампы</t>
  </si>
  <si>
    <t>снижение от пленок за радиаторами</t>
  </si>
  <si>
    <t>Всего</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</si>
  <si>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</si>
  <si>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</si>
  <si>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</si>
  <si>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</si>
  <si>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</si>
  <si>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</si>
  <si>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</si>
  <si>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</si>
  <si>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</si>
  <si>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</si>
  <si>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</si>
  <si>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</si>
  <si>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Светоотдача, лм/Вт</t>
  </si>
  <si>
    <t>галоген</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</si>
  <si>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</si>
  <si>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</si>
  <si>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</si>
  <si>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</si>
  <si>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</si>
  <si>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</si>
  <si>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</si>
  <si>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</si>
  <si>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</si>
  <si>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</si>
  <si>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</si>
  <si>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</si>
  <si>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</si>
  <si>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</si>
  <si>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</si>
  <si>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</si>
  <si>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</si>
  <si>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</si>
  <si>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</si>
  <si>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</si>
  <si>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</si>
  <si>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</si>
  <si>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</si>
  <si>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</si>
  <si>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</si>
  <si>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</si>
  <si>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</si>
  <si>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</si>
  <si>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</si>
  <si>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</si>
  <si>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</si>
  <si>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</si>
  <si>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</si>
  <si>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</si>
  <si>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</si>
  <si>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</si>
  <si>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</si>
  <si>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</si>
  <si>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После КР</t>
  </si>
  <si>
    <t>Двери утеплены</t>
  </si>
  <si>
    <t>Чердачные утеплены</t>
  </si>
  <si>
    <t>Подвальные утеплены</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</si>
  <si>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</si>
  <si>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</si>
  <si>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</si>
  <si>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</si>
  <si>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</si>
  <si>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</si>
  <si>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</si>
  <si>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</si>
  <si>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</si>
  <si>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</si>
  <si>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</si>
  <si>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</si>
  <si>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</si>
  <si>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гвс</t>
  </si>
  <si>
    <t>хвс</t>
  </si>
  <si>
    <t>Работа насосного оборудования (при наличии)</t>
  </si>
  <si>
    <t>Работа лифтов (при наличии)</t>
  </si>
  <si>
    <t>Работа прочего энергетического оборудования (при наличии)</t>
  </si>
  <si>
    <t>Экономический расчет</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</si>
  <si>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</si>
  <si>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</si>
  <si>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</si>
  <si>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</si>
  <si>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</si>
  <si>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</si>
  <si>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</si>
  <si>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</si>
  <si>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I-335</t>
  </si>
  <si>
    <t>I-510</t>
  </si>
  <si>
    <t>I-511</t>
  </si>
  <si>
    <t>I-515 (5 эт)</t>
  </si>
  <si>
    <t>I-515/9 (9 эт)</t>
  </si>
  <si>
    <t>I-125</t>
  </si>
  <si>
    <t>II-18</t>
  </si>
  <si>
    <t>II-29</t>
  </si>
  <si>
    <t>II-49</t>
  </si>
  <si>
    <t>I-447С-26 (башня)</t>
  </si>
  <si>
    <t>железобетонная панель</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</si>
  <si>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</si>
  <si>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</si>
  <si>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</si>
  <si>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</si>
  <si>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</si>
  <si>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</si>
  <si>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</si>
  <si>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</si>
  <si>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</si>
  <si>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</si>
  <si>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</si>
  <si>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</si>
  <si>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</si>
  <si>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</si>
  <si>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</si>
  <si>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</si>
  <si>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</si>
  <si>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</si>
  <si>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</si>
  <si>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</si>
  <si>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</si>
  <si>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</si>
  <si>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</si>
  <si>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</si>
  <si>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</si>
  <si>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</si>
  <si>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</si>
  <si>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</si>
  <si>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</si>
  <si>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</si>
  <si>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</si>
  <si>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</si>
  <si>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</si>
  <si>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</si>
  <si>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</si>
  <si>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</si>
  <si>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</si>
  <si>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</si>
  <si>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</si>
  <si>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</si>
  <si>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</si>
  <si>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</si>
  <si>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</si>
  <si>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</si>
  <si>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</si>
  <si>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</si>
  <si>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</si>
  <si>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</si>
  <si>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</si>
  <si>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</si>
  <si>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</si>
  <si>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</si>
  <si>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</si>
  <si>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</si>
  <si>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</si>
  <si>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</si>
  <si>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</si>
  <si>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</si>
  <si>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</si>
  <si>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</si>
  <si>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</si>
  <si>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</si>
  <si>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</si>
  <si>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ПУ Тепло нежилые</t>
  </si>
  <si>
    <t>ПУ ГВС нежилые</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</si>
  <si>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</si>
  <si>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</si>
  <si>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</si>
  <si>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</si>
  <si>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</si>
  <si>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</si>
  <si>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</si>
  <si>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</si>
  <si>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панели "Неопорм"</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</si>
  <si>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</si>
  <si>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</si>
  <si>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</si>
  <si>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</si>
  <si>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</si>
  <si>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</si>
  <si>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</si>
  <si>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</si>
  <si>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</si>
  <si>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</si>
  <si>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</si>
  <si>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</si>
  <si>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</si>
  <si>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</si>
  <si>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</si>
  <si>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</si>
  <si>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</si>
  <si>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</si>
  <si>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</si>
  <si>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</si>
  <si>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</si>
  <si>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</si>
  <si>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</si>
  <si>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</si>
  <si>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</si>
  <si>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</si>
  <si>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</si>
  <si>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</si>
  <si>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</si>
  <si>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</si>
  <si>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</si>
  <si>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</si>
  <si>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</si>
  <si>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</si>
  <si>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</si>
  <si>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</si>
  <si>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</si>
  <si>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</si>
  <si>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</si>
  <si>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</si>
  <si>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</si>
  <si>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</si>
  <si>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</si>
  <si>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</si>
  <si>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</si>
  <si>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</si>
  <si>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</si>
  <si>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</si>
  <si>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</si>
  <si>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</si>
  <si>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</si>
  <si>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</si>
  <si>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</si>
  <si>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</si>
  <si>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</si>
  <si>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</si>
  <si>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Входные двери</t>
  </si>
  <si>
    <t>Витрины</t>
  </si>
  <si>
    <t>Таганрог</t>
  </si>
  <si>
    <t>Тобольск</t>
  </si>
  <si>
    <t>Нагрузка</t>
  </si>
  <si>
    <t>нагрузка</t>
  </si>
  <si>
    <t>Теплоноситель</t>
  </si>
  <si>
    <t>Потр-е насосом</t>
  </si>
  <si>
    <t>кВт</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</si>
  <si>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</si>
  <si>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</si>
  <si>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</si>
  <si>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</si>
  <si>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</si>
  <si>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</si>
  <si>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</si>
  <si>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</si>
  <si>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</si>
  <si>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</si>
  <si>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</si>
  <si>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</si>
  <si>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</si>
  <si>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</si>
  <si>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</si>
  <si>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</si>
  <si>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</si>
  <si>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</si>
  <si>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</si>
  <si>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</si>
  <si>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</si>
  <si>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</si>
  <si>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</si>
  <si>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</si>
  <si>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</si>
  <si>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Удельная стоимость пакета мероприятий на общую площадь МКД</t>
  </si>
  <si>
    <t>Багдарин</t>
  </si>
  <si>
    <t>Преображение</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</si>
  <si>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</si>
  <si>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</si>
  <si>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</si>
  <si>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</si>
  <si>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</si>
  <si>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</si>
  <si>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</si>
  <si>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</si>
  <si>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</si>
  <si>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</si>
  <si>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</si>
  <si>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</si>
  <si>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</si>
  <si>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</si>
  <si>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</si>
  <si>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</si>
  <si>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</si>
  <si>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</si>
  <si>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</si>
  <si>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</si>
  <si>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</si>
  <si>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</si>
  <si>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</si>
  <si>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</si>
  <si>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</si>
  <si>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</si>
  <si>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</si>
  <si>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</si>
  <si>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</si>
  <si>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</si>
  <si>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</si>
  <si>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</si>
  <si>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</si>
  <si>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</si>
  <si>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</si>
  <si>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</si>
  <si>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</si>
  <si>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</si>
  <si>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</si>
  <si>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</si>
  <si>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</si>
  <si>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</si>
  <si>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</si>
  <si>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</si>
  <si>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</si>
  <si>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</si>
  <si>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</si>
  <si>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</si>
  <si>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</si>
  <si>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</si>
  <si>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</si>
  <si>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</si>
  <si>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</si>
  <si>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</si>
  <si>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</si>
  <si>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</si>
  <si>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</si>
  <si>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</si>
  <si>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</si>
  <si>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</si>
  <si>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</si>
  <si>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</si>
  <si>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</si>
  <si>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</si>
  <si>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</si>
  <si>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</si>
  <si>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</si>
  <si>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</si>
  <si>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</si>
  <si>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</si>
  <si>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</si>
  <si>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</si>
  <si>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</si>
  <si>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</si>
  <si>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</si>
  <si>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</si>
  <si>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</si>
  <si>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</si>
  <si>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</si>
  <si>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</si>
  <si>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</si>
  <si>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</si>
  <si>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</si>
  <si>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</si>
  <si>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</si>
  <si>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</si>
  <si>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</si>
  <si>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</si>
  <si>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</si>
  <si>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</si>
  <si>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</si>
  <si>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</si>
  <si>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</si>
  <si>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</si>
  <si>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</si>
  <si>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</si>
  <si>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</si>
  <si>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</si>
  <si>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</si>
  <si>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</si>
  <si>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</si>
  <si>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</si>
  <si>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</si>
  <si>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</si>
  <si>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</si>
  <si>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</si>
  <si>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</si>
  <si>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</si>
  <si>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</si>
  <si>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Экономия в руб.</t>
  </si>
  <si>
    <t>Легенда:</t>
  </si>
  <si>
    <t>ВВОД исходных данных</t>
  </si>
  <si>
    <t>МКД должен быть не старше 60 и не моложе 5 лет</t>
  </si>
  <si>
    <t>Отметьте "теплый чердак", если вентиляция выведена в чердачное помещение</t>
  </si>
  <si>
    <t>Переход к инженерным системам &gt;&gt;</t>
  </si>
  <si>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</si>
  <si>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</si>
  <si>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</si>
  <si>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</si>
  <si>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</si>
  <si>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</si>
  <si>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</si>
  <si>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</si>
  <si>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Посчитать</t>
  </si>
  <si>
    <t>Оборудование системы отопления</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</si>
  <si>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</si>
  <si>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</si>
  <si>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</si>
  <si>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</si>
  <si>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</si>
  <si>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</si>
  <si>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Температурный график отпуска тепловой энергии от источника теплоснабжения (котельной или ТЭЦ)*</t>
  </si>
  <si>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</si>
  <si>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</si>
  <si>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</si>
  <si>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</si>
  <si>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</si>
  <si>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</si>
  <si>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</si>
  <si>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</si>
  <si>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</si>
  <si>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</si>
  <si>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</si>
  <si>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</si>
  <si>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</si>
  <si>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</si>
  <si>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</si>
  <si>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</si>
  <si>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</si>
  <si>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</si>
  <si>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</si>
  <si>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</si>
  <si>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</si>
  <si>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</si>
  <si>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</si>
  <si>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</si>
  <si>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</si>
  <si>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</si>
  <si>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</si>
  <si>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</si>
  <si>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</si>
  <si>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</si>
  <si>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</si>
  <si>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</si>
  <si>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Помощник энергоэффективного капремонта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</si>
  <si>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</si>
  <si>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</si>
  <si>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</si>
  <si>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</si>
  <si>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</si>
  <si>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</si>
  <si>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</si>
  <si>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</si>
  <si>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</si>
  <si>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</si>
  <si>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</si>
  <si>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</si>
  <si>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</si>
  <si>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</si>
  <si>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</si>
  <si>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</si>
  <si>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</si>
  <si>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</si>
  <si>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</si>
  <si>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</si>
  <si>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</si>
  <si>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</si>
  <si>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Стоимость оборудования (материалов)</t>
  </si>
  <si>
    <t>Проект соответствует требованиям к теплозащите…</t>
  </si>
  <si>
    <t>до 1995 г.</t>
  </si>
  <si>
    <t>1995-2000 гг.</t>
  </si>
  <si>
    <t>после 2000 г.</t>
  </si>
  <si>
    <t>Можно посчитать натур</t>
  </si>
  <si>
    <t xml:space="preserve">цены </t>
  </si>
  <si>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</si>
  <si>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</si>
  <si>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</si>
  <si>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</si>
  <si>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</si>
  <si>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</si>
  <si>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</si>
  <si>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</si>
  <si>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</si>
  <si>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</si>
  <si>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</si>
  <si>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</si>
  <si>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</si>
  <si>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</si>
  <si>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</si>
  <si>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</si>
  <si>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</si>
  <si>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</si>
  <si>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</si>
  <si>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</si>
  <si>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</si>
  <si>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</si>
  <si>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мощности электрических приборов</t>
  </si>
  <si>
    <t>ед.</t>
  </si>
  <si>
    <t>Год</t>
  </si>
  <si>
    <t>руб.</t>
  </si>
  <si>
    <t>разбивка потребления ЭЭ по целям</t>
  </si>
  <si>
    <t>При отсутствии сведений о работе повысительного насоса системы ХВС соответствует значению 7000 часов</t>
  </si>
  <si>
    <t>Есть ли у МКД примыкающие здания блокированной застройки?</t>
  </si>
  <si>
    <t>Задайте длину здания</t>
  </si>
  <si>
    <t>Задайте ширину здания</t>
  </si>
  <si>
    <t>Можно рассчитать исходя из высоты потолка и толщины перекрытий (т.е. высоты этажа) и числа этажей или с помощью дальномера</t>
  </si>
  <si>
    <t>панели из пеностекла</t>
  </si>
  <si>
    <t>люминисцентные лампы типа Т5</t>
  </si>
  <si>
    <t>БАЗОВЫЙ УРОВЕНЬ УДЕЛЬНОГО ГОДОВОГО РАСХОДА ЭНЕРГЕТИЧЕСКИХ РЕСУРСОВ В МНОГОКВАРТИРНОМ ДОМЕ, ОТРАЖАЮЩИЙ СУММАРНЫЙ УДЕЛЬНЫЙ ГОДОВОЙ РАСХОД ТЕПЛОВОЙ ЭНЕРГИИ НА ОТОПЛЕНИЕ, ВЕНТИЛЯЦИЮ, ГОРЯЧЕЕ ВОДОСНАБЖЕНИЕ, А ТАКЖЕ НА ОБЩЕДОМОВЫЕ НУЖДЫ, МНОГОКВАРТИРНЫХ ЖИЛЫХ ДОМОВ, кВт ч/м2</t>
  </si>
  <si>
    <t>°С сут. отопит. периода</t>
  </si>
  <si>
    <t>Этажность многоквартирного дома</t>
  </si>
  <si>
    <t>Расход тепловой энергии на отопление, вентиляцию, горячее водоснабжение и электроэнергии на общедомовые нужды &lt;*&gt;</t>
  </si>
  <si>
    <t>в том числе тепловой энергии на отопление и вентиляцию</t>
  </si>
  <si>
    <t>&lt;*&gt; базовый уровень удельного годового расхода электрической энергии на общедомовые нужды равен 10,0 кВт ч/м2 для многоквартирных домов, оборудованных лифтом. Если дом не оборудован лифтом базовый уровень удельного годового расхода электрической энергии на общедомовые нужды равен 7 кВт ч/м2 и из указанных в таблице показателей следует вычесть 3 кВт ч/м2.</t>
  </si>
  <si>
    <t>Для многоподъездных МКД с секциями разной этажности при определении значения базового уровня удельного годового расхода энергетических ресурсов этажность усредняется.</t>
  </si>
  <si>
    <t>Промежуточные значения удельного годового расхода энергетических ресурсов определяют методом линейной интерполяции по этажности многоквартирного дома и градусо-суток отопительного периода (далее - ГСОП).</t>
  </si>
  <si>
    <t>Итог</t>
  </si>
  <si>
    <t>A</t>
  </si>
  <si>
    <t>B</t>
  </si>
  <si>
    <t>C</t>
  </si>
  <si>
    <t>D</t>
  </si>
  <si>
    <t>E</t>
  </si>
  <si>
    <t>F</t>
  </si>
  <si>
    <t>G</t>
  </si>
  <si>
    <t>A+</t>
  </si>
  <si>
    <t>A++</t>
  </si>
  <si>
    <t>Высочайший</t>
  </si>
  <si>
    <t>- 60 включительно и менее</t>
  </si>
  <si>
    <t>от - 50 включительно до - 60</t>
  </si>
  <si>
    <t>Очень высокий</t>
  </si>
  <si>
    <t>от - 40 включительно до - 50</t>
  </si>
  <si>
    <t>Высокий</t>
  </si>
  <si>
    <t>от - 30 включительно до - 40</t>
  </si>
  <si>
    <t>Повышенный</t>
  </si>
  <si>
    <t>от - 15 включительно до - 30</t>
  </si>
  <si>
    <t>Нормальный</t>
  </si>
  <si>
    <t>от 0 включительно до - 15</t>
  </si>
  <si>
    <t>Пониженный</t>
  </si>
  <si>
    <t>от + 25 включительно до 0</t>
  </si>
  <si>
    <t>Низкий</t>
  </si>
  <si>
    <t>от + 50 включительно до + 25</t>
  </si>
  <si>
    <t>Очень низкий</t>
  </si>
  <si>
    <t>более + 50</t>
  </si>
  <si>
    <t>Прогнозируемый класс энергоэффективности МКД после проведения мероприятий*</t>
  </si>
  <si>
    <t>*Согласно приказу Минстроя от 6 июня 2016 г. N 399/пр</t>
  </si>
  <si>
    <t>Класс энергоэффективности МКД до проведения мероприятий*</t>
  </si>
  <si>
    <t>Выбросы</t>
  </si>
  <si>
    <t>СО2</t>
  </si>
  <si>
    <t>CH4</t>
  </si>
  <si>
    <t>N2O</t>
  </si>
  <si>
    <t>Коэффициенты</t>
  </si>
  <si>
    <t>тонн/Гкал</t>
  </si>
  <si>
    <t>тонн/тыс.кВтч</t>
  </si>
  <si>
    <t>ПГ</t>
  </si>
  <si>
    <t>Объем выбросов до</t>
  </si>
  <si>
    <t>тонн</t>
  </si>
  <si>
    <t>Объем выбросов после</t>
  </si>
  <si>
    <t>Повышение теплозащиты окон квартир</t>
  </si>
  <si>
    <t>Замена светильников придомового наружного освещения на энергоэффективные осветительные приборы</t>
  </si>
  <si>
    <t>Освещение придомовой территории</t>
  </si>
  <si>
    <t>По ср.с лампой накаливания/ДРЛ</t>
  </si>
  <si>
    <t>ДРЛ250</t>
  </si>
  <si>
    <t>ДРЛ80</t>
  </si>
  <si>
    <t>ДРЛ125</t>
  </si>
  <si>
    <t>ДРЛ400</t>
  </si>
  <si>
    <t>ДРЛ500</t>
  </si>
  <si>
    <t>ДРЛ700</t>
  </si>
  <si>
    <t>ДРЛ1000</t>
  </si>
  <si>
    <t>Здания (доля от общего числа)</t>
  </si>
  <si>
    <t>кВт-ч/(м2*С*сут)</t>
  </si>
  <si>
    <t>Класс</t>
  </si>
  <si>
    <t>1-2 до 1999</t>
  </si>
  <si>
    <t>1-2 после 2000</t>
  </si>
  <si>
    <t>3-4 до 1999</t>
  </si>
  <si>
    <t>3-4 после 2000</t>
  </si>
  <si>
    <t>5-6 до 1999</t>
  </si>
  <si>
    <t>5-6 после 2000</t>
  </si>
  <si>
    <t>7-8 до 1999</t>
  </si>
  <si>
    <t>7-8 после 2000</t>
  </si>
  <si>
    <t>9-10 до 1999</t>
  </si>
  <si>
    <t>9-10 после 2000</t>
  </si>
  <si>
    <t>11+ до 1999</t>
  </si>
  <si>
    <t>11+ после 2000</t>
  </si>
  <si>
    <t>Базовое значение</t>
  </si>
  <si>
    <t>А++</t>
  </si>
  <si>
    <t>База</t>
  </si>
  <si>
    <t>Наше МКД</t>
  </si>
  <si>
    <t>А+</t>
  </si>
  <si>
    <t>Число этажей</t>
  </si>
  <si>
    <t>10</t>
  </si>
  <si>
    <t>11</t>
  </si>
  <si>
    <t>12</t>
  </si>
  <si>
    <t>13</t>
  </si>
  <si>
    <t>Основной расчет</t>
  </si>
  <si>
    <t>Экспресс оценка</t>
  </si>
  <si>
    <t>14</t>
  </si>
  <si>
    <t>Класс энергоэффективности МКД</t>
  </si>
  <si>
    <t>15</t>
  </si>
  <si>
    <t>16</t>
  </si>
  <si>
    <t>17</t>
  </si>
  <si>
    <t>Теплоэнергия на отопление и вентиляцию</t>
  </si>
  <si>
    <t>18</t>
  </si>
  <si>
    <t>ЭКСПРЕСС-ОЦЕНКА потенциала экономии</t>
  </si>
  <si>
    <t>2.1</t>
  </si>
  <si>
    <t>3</t>
  </si>
  <si>
    <t>4</t>
  </si>
  <si>
    <t>5</t>
  </si>
  <si>
    <t>6</t>
  </si>
  <si>
    <t>7</t>
  </si>
  <si>
    <t>8</t>
  </si>
  <si>
    <t>9</t>
  </si>
  <si>
    <t>18.1</t>
  </si>
  <si>
    <t>Установка теплоотражающих экранов за отопительными приборами квартир</t>
  </si>
  <si>
    <t>Сокращение трансмиссионных потерь через стены</t>
  </si>
  <si>
    <r>
      <t>Площадь квартир и нежилых помещений МКД,</t>
    </r>
    <r>
      <rPr>
        <i/>
        <sz val="11"/>
        <color theme="1"/>
        <rFont val="Calibri"/>
        <family val="2"/>
        <charset val="204"/>
        <scheme val="minor"/>
      </rPr>
      <t xml:space="preserve"> м</t>
    </r>
    <r>
      <rPr>
        <i/>
        <vertAlign val="superscript"/>
        <sz val="11"/>
        <color theme="1"/>
        <rFont val="Calibri"/>
        <family val="2"/>
        <charset val="204"/>
        <scheme val="minor"/>
      </rPr>
      <t>2</t>
    </r>
  </si>
  <si>
    <r>
      <t xml:space="preserve">Суммарный годовой удельный расход энергоресурсов,
</t>
    </r>
    <r>
      <rPr>
        <i/>
        <sz val="11"/>
        <color theme="1"/>
        <rFont val="Calibri"/>
        <family val="2"/>
        <charset val="204"/>
        <scheme val="minor"/>
      </rPr>
      <t>кВтч/м</t>
    </r>
    <r>
      <rPr>
        <i/>
        <vertAlign val="superscript"/>
        <sz val="11"/>
        <color theme="1"/>
        <rFont val="Calibri"/>
        <family val="2"/>
        <charset val="204"/>
        <scheme val="minor"/>
      </rPr>
      <t>2</t>
    </r>
  </si>
  <si>
    <r>
      <t xml:space="preserve">Базовый потенциал повышения энергоэффективности,
</t>
    </r>
    <r>
      <rPr>
        <i/>
        <sz val="11"/>
        <color theme="1"/>
        <rFont val="Calibri"/>
        <family val="2"/>
        <charset val="204"/>
        <scheme val="minor"/>
      </rPr>
      <t>кВтч/год</t>
    </r>
  </si>
  <si>
    <r>
      <t xml:space="preserve">Потенциал повышения энергоэффективности до класса А++,
</t>
    </r>
    <r>
      <rPr>
        <i/>
        <sz val="11"/>
        <color theme="1"/>
        <rFont val="Calibri"/>
        <family val="2"/>
        <charset val="204"/>
        <scheme val="minor"/>
      </rPr>
      <t>кВтч/год</t>
    </r>
  </si>
  <si>
    <r>
      <t>A</t>
    </r>
    <r>
      <rPr>
        <vertAlign val="superscript"/>
        <sz val="22"/>
        <color theme="0"/>
        <rFont val="Calibri"/>
        <family val="2"/>
        <charset val="204"/>
        <scheme val="minor"/>
      </rPr>
      <t>++</t>
    </r>
  </si>
  <si>
    <r>
      <t>A</t>
    </r>
    <r>
      <rPr>
        <vertAlign val="superscript"/>
        <sz val="22"/>
        <color theme="0"/>
        <rFont val="Calibri"/>
        <family val="2"/>
        <charset val="204"/>
        <scheme val="minor"/>
      </rPr>
      <t>+</t>
    </r>
  </si>
  <si>
    <t>Необходимо заполнить для учета климатического фактора.
Если вашего города нет в списке, выбирайте ближайший имеющийся.</t>
  </si>
  <si>
    <r>
      <t xml:space="preserve">Суммарный годовой расход энергоресурсов, </t>
    </r>
    <r>
      <rPr>
        <i/>
        <sz val="11"/>
        <color theme="1"/>
        <rFont val="Calibri"/>
        <family val="2"/>
        <charset val="204"/>
        <scheme val="minor"/>
      </rPr>
      <t>кВтч</t>
    </r>
  </si>
  <si>
    <t>Годовой расход теплоэнергии на горячее водоснабжение, Гкал</t>
  </si>
  <si>
    <r>
      <t xml:space="preserve">Годовой расход теплоэнергии на отопление, </t>
    </r>
    <r>
      <rPr>
        <i/>
        <sz val="11"/>
        <color theme="1"/>
        <rFont val="Calibri"/>
        <family val="2"/>
        <charset val="204"/>
        <scheme val="minor"/>
      </rPr>
      <t>Гкал</t>
    </r>
  </si>
  <si>
    <r>
      <t xml:space="preserve">Удельный расход теплоэнергии на горячее водоснабжение,
</t>
    </r>
    <r>
      <rPr>
        <i/>
        <sz val="11"/>
        <color theme="1"/>
        <rFont val="Calibri"/>
        <family val="2"/>
        <charset val="204"/>
        <scheme val="minor"/>
      </rPr>
      <t>кВтч/м</t>
    </r>
    <r>
      <rPr>
        <i/>
        <vertAlign val="superscript"/>
        <sz val="11"/>
        <color theme="1"/>
        <rFont val="Calibri"/>
        <family val="2"/>
        <charset val="204"/>
        <scheme val="minor"/>
      </rPr>
      <t>2</t>
    </r>
  </si>
  <si>
    <t>на основании базовых уровней удельного расхода энергетических ресурсов
согласно приказу Минстроя России от 6 июня 2016 года №399</t>
  </si>
  <si>
    <t>19</t>
  </si>
  <si>
    <t>19.1</t>
  </si>
  <si>
    <r>
      <t xml:space="preserve">Годовой расход электроэнергии на общедомовые нужды, </t>
    </r>
    <r>
      <rPr>
        <i/>
        <sz val="11"/>
        <color theme="1"/>
        <rFont val="Calibri"/>
        <family val="2"/>
        <charset val="204"/>
        <scheme val="minor"/>
      </rPr>
      <t>кВтч</t>
    </r>
  </si>
  <si>
    <t>Совместный учет теплоэнергии на отопление и ГВС?</t>
  </si>
  <si>
    <t>8.1</t>
  </si>
  <si>
    <t>9.1</t>
  </si>
  <si>
    <t>20</t>
  </si>
  <si>
    <t>20.1</t>
  </si>
  <si>
    <t>21</t>
  </si>
  <si>
    <t>21.1</t>
  </si>
  <si>
    <r>
      <t xml:space="preserve">Суммарный годовой расход теплоэнергии на отопление и ГВС, </t>
    </r>
    <r>
      <rPr>
        <i/>
        <sz val="11"/>
        <color theme="1"/>
        <rFont val="Calibri"/>
        <family val="2"/>
        <charset val="204"/>
        <scheme val="minor"/>
      </rPr>
      <t>Гкал</t>
    </r>
  </si>
  <si>
    <t>Не выбрано</t>
  </si>
  <si>
    <t>Совместный</t>
  </si>
  <si>
    <t>Раздельный</t>
  </si>
  <si>
    <t>ВВОД исходных данных (экспресс-оценка)</t>
  </si>
  <si>
    <r>
      <t>Количество подъездов (секций),</t>
    </r>
    <r>
      <rPr>
        <b/>
        <sz val="11"/>
        <rFont val="Calibri"/>
        <family val="2"/>
        <charset val="204"/>
        <scheme val="minor"/>
      </rPr>
      <t xml:space="preserve"> </t>
    </r>
    <r>
      <rPr>
        <i/>
        <sz val="11"/>
        <rFont val="Calibri"/>
        <family val="2"/>
        <charset val="204"/>
        <scheme val="minor"/>
      </rPr>
      <t>ед</t>
    </r>
  </si>
  <si>
    <r>
      <t xml:space="preserve">Количество квартир с индивидуальными приборами учета (ИПУ) горячей воды, </t>
    </r>
    <r>
      <rPr>
        <i/>
        <sz val="11"/>
        <rFont val="Calibri"/>
        <family val="2"/>
        <charset val="204"/>
        <scheme val="minor"/>
      </rPr>
      <t>ед</t>
    </r>
  </si>
  <si>
    <r>
      <t xml:space="preserve">Число зарегистрированных жителей, </t>
    </r>
    <r>
      <rPr>
        <i/>
        <sz val="11"/>
        <color theme="1"/>
        <rFont val="Calibri"/>
        <family val="2"/>
        <charset val="204"/>
        <scheme val="minor"/>
      </rPr>
      <t>чел</t>
    </r>
  </si>
  <si>
    <r>
      <t xml:space="preserve">Общая площадь нежилых помещений, </t>
    </r>
    <r>
      <rPr>
        <i/>
        <sz val="11"/>
        <rFont val="Calibri"/>
        <family val="2"/>
        <charset val="204"/>
        <scheme val="minor"/>
      </rPr>
      <t>м</t>
    </r>
    <r>
      <rPr>
        <i/>
        <vertAlign val="superscript"/>
        <sz val="11"/>
        <rFont val="Calibri"/>
        <family val="2"/>
        <charset val="204"/>
        <scheme val="minor"/>
      </rPr>
      <t>2</t>
    </r>
  </si>
  <si>
    <r>
      <t xml:space="preserve">Площадь нежилых помещений, оборудованных ПУ тепловой энергии на ГВС, </t>
    </r>
    <r>
      <rPr>
        <i/>
        <sz val="11"/>
        <color theme="1"/>
        <rFont val="Calibri"/>
        <family val="2"/>
        <charset val="204"/>
      </rPr>
      <t>м</t>
    </r>
    <r>
      <rPr>
        <i/>
        <vertAlign val="superscript"/>
        <sz val="11"/>
        <color theme="1"/>
        <rFont val="Calibri"/>
        <family val="2"/>
        <charset val="204"/>
      </rPr>
      <t>2</t>
    </r>
  </si>
  <si>
    <r>
      <t xml:space="preserve">Площадь нежилых помещений, оборудованных ПУ электрической энергии, </t>
    </r>
    <r>
      <rPr>
        <i/>
        <sz val="11"/>
        <color theme="1"/>
        <rFont val="Calibri"/>
        <family val="2"/>
        <charset val="204"/>
      </rPr>
      <t>м</t>
    </r>
    <r>
      <rPr>
        <i/>
        <vertAlign val="superscript"/>
        <sz val="11"/>
        <color theme="1"/>
        <rFont val="Calibri"/>
        <family val="2"/>
        <charset val="204"/>
      </rPr>
      <t>2</t>
    </r>
  </si>
  <si>
    <r>
      <t xml:space="preserve">Площадь нежилых помещений, оборудованных ПУ тепловой энергии на отопление, </t>
    </r>
    <r>
      <rPr>
        <i/>
        <sz val="11"/>
        <color theme="1"/>
        <rFont val="Calibri"/>
        <family val="2"/>
        <charset val="204"/>
      </rPr>
      <t>м</t>
    </r>
    <r>
      <rPr>
        <i/>
        <vertAlign val="superscript"/>
        <sz val="11"/>
        <color theme="1"/>
        <rFont val="Calibri"/>
        <family val="2"/>
        <charset val="204"/>
      </rPr>
      <t>2</t>
    </r>
  </si>
  <si>
    <r>
      <t xml:space="preserve">Общая площадь многоквартирного дома (всего), </t>
    </r>
    <r>
      <rPr>
        <i/>
        <sz val="11"/>
        <rFont val="Calibri"/>
        <family val="2"/>
        <charset val="204"/>
        <scheme val="minor"/>
      </rPr>
      <t>м</t>
    </r>
    <r>
      <rPr>
        <i/>
        <vertAlign val="superscript"/>
        <sz val="11"/>
        <rFont val="Calibri"/>
        <family val="2"/>
        <charset val="204"/>
        <scheme val="minor"/>
      </rPr>
      <t>2</t>
    </r>
  </si>
  <si>
    <r>
      <t xml:space="preserve">Общая площадь жилых помещений (площадь квартир), </t>
    </r>
    <r>
      <rPr>
        <i/>
        <sz val="11"/>
        <rFont val="Calibri"/>
        <family val="2"/>
        <charset val="204"/>
        <scheme val="minor"/>
      </rPr>
      <t>м</t>
    </r>
    <r>
      <rPr>
        <i/>
        <vertAlign val="superscript"/>
        <sz val="11"/>
        <rFont val="Calibri"/>
        <family val="2"/>
        <charset val="204"/>
        <scheme val="minor"/>
      </rPr>
      <t>2</t>
    </r>
  </si>
  <si>
    <r>
      <t xml:space="preserve">Жилая площадь квартир, </t>
    </r>
    <r>
      <rPr>
        <i/>
        <sz val="11"/>
        <rFont val="Calibri"/>
        <family val="2"/>
        <charset val="204"/>
        <scheme val="minor"/>
      </rPr>
      <t>м</t>
    </r>
    <r>
      <rPr>
        <i/>
        <vertAlign val="superscript"/>
        <sz val="11"/>
        <rFont val="Calibri"/>
        <family val="2"/>
        <charset val="204"/>
        <scheme val="minor"/>
      </rPr>
      <t>2</t>
    </r>
  </si>
  <si>
    <r>
      <t xml:space="preserve">Длина МКД, </t>
    </r>
    <r>
      <rPr>
        <i/>
        <sz val="11"/>
        <rFont val="Calibri"/>
        <family val="2"/>
        <charset val="204"/>
        <scheme val="minor"/>
      </rPr>
      <t>м</t>
    </r>
  </si>
  <si>
    <r>
      <t xml:space="preserve">Ширина МКД (глубина корпуса), </t>
    </r>
    <r>
      <rPr>
        <i/>
        <sz val="11"/>
        <rFont val="Calibri"/>
        <family val="2"/>
        <charset val="204"/>
        <scheme val="minor"/>
      </rPr>
      <t>м</t>
    </r>
  </si>
  <si>
    <r>
      <t xml:space="preserve">Высота МКД, </t>
    </r>
    <r>
      <rPr>
        <i/>
        <sz val="11"/>
        <rFont val="Calibri"/>
        <family val="2"/>
        <charset val="204"/>
        <scheme val="minor"/>
      </rPr>
      <t>м</t>
    </r>
  </si>
  <si>
    <r>
      <t xml:space="preserve">Площадь фасадов, </t>
    </r>
    <r>
      <rPr>
        <i/>
        <sz val="11"/>
        <rFont val="Calibri"/>
        <family val="2"/>
        <charset val="204"/>
        <scheme val="minor"/>
      </rPr>
      <t>м</t>
    </r>
    <r>
      <rPr>
        <i/>
        <vertAlign val="superscript"/>
        <sz val="11"/>
        <rFont val="Calibri"/>
        <family val="2"/>
        <charset val="204"/>
        <scheme val="minor"/>
      </rPr>
      <t>2</t>
    </r>
    <r>
      <rPr>
        <vertAlign val="superscript"/>
        <sz val="11"/>
        <rFont val="Calibri"/>
        <family val="2"/>
        <charset val="204"/>
        <scheme val="minor"/>
      </rPr>
      <t xml:space="preserve">
</t>
    </r>
    <r>
      <rPr>
        <sz val="11"/>
        <rFont val="Calibri"/>
        <family val="2"/>
        <charset val="204"/>
        <scheme val="minor"/>
      </rPr>
      <t>из них:</t>
    </r>
  </si>
  <si>
    <r>
      <t xml:space="preserve">Площадь наружных стен, </t>
    </r>
    <r>
      <rPr>
        <i/>
        <sz val="11"/>
        <rFont val="Calibri"/>
        <family val="2"/>
        <charset val="204"/>
        <scheme val="minor"/>
      </rPr>
      <t>м</t>
    </r>
    <r>
      <rPr>
        <i/>
        <vertAlign val="superscript"/>
        <sz val="11"/>
        <rFont val="Calibri"/>
        <family val="2"/>
        <charset val="204"/>
        <scheme val="minor"/>
      </rPr>
      <t>2</t>
    </r>
  </si>
  <si>
    <r>
      <t xml:space="preserve">Площадь окон и балконных дверей в квартирах, </t>
    </r>
    <r>
      <rPr>
        <i/>
        <sz val="11"/>
        <rFont val="Calibri"/>
        <family val="2"/>
        <charset val="204"/>
        <scheme val="minor"/>
      </rPr>
      <t>м</t>
    </r>
    <r>
      <rPr>
        <i/>
        <vertAlign val="superscript"/>
        <sz val="11"/>
        <rFont val="Calibri"/>
        <family val="2"/>
        <charset val="204"/>
        <scheme val="minor"/>
      </rPr>
      <t>2</t>
    </r>
  </si>
  <si>
    <r>
      <t xml:space="preserve">Площадь окон в местах общего пользования, </t>
    </r>
    <r>
      <rPr>
        <i/>
        <sz val="11"/>
        <color theme="1"/>
        <rFont val="Calibri"/>
        <family val="2"/>
        <charset val="204"/>
        <scheme val="minor"/>
      </rPr>
      <t>м</t>
    </r>
    <r>
      <rPr>
        <i/>
        <vertAlign val="superscript"/>
        <sz val="11"/>
        <color theme="1"/>
        <rFont val="Calibri"/>
        <family val="2"/>
        <charset val="204"/>
        <scheme val="minor"/>
      </rPr>
      <t>2</t>
    </r>
  </si>
  <si>
    <r>
      <t xml:space="preserve">Площадь окон в нежилых помещениях, </t>
    </r>
    <r>
      <rPr>
        <i/>
        <sz val="11"/>
        <rFont val="Calibri"/>
        <family val="2"/>
        <charset val="204"/>
        <scheme val="minor"/>
      </rPr>
      <t>м</t>
    </r>
    <r>
      <rPr>
        <i/>
        <vertAlign val="superscript"/>
        <sz val="11"/>
        <rFont val="Calibri"/>
        <family val="2"/>
        <charset val="204"/>
        <scheme val="minor"/>
      </rPr>
      <t>2</t>
    </r>
  </si>
  <si>
    <r>
      <t xml:space="preserve">Площадь перекрытия под холодным чердаком, </t>
    </r>
    <r>
      <rPr>
        <i/>
        <sz val="11"/>
        <rFont val="Calibri"/>
        <family val="2"/>
        <charset val="204"/>
        <scheme val="minor"/>
      </rPr>
      <t>м</t>
    </r>
    <r>
      <rPr>
        <i/>
        <vertAlign val="superscript"/>
        <sz val="11"/>
        <rFont val="Calibri"/>
        <family val="2"/>
        <charset val="204"/>
        <scheme val="minor"/>
      </rPr>
      <t>2</t>
    </r>
  </si>
  <si>
    <r>
      <t xml:space="preserve">Площадь перекрытия под "теплым" чердаком, </t>
    </r>
    <r>
      <rPr>
        <i/>
        <sz val="11"/>
        <rFont val="Calibri"/>
        <family val="2"/>
        <charset val="204"/>
        <scheme val="minor"/>
      </rPr>
      <t>м</t>
    </r>
    <r>
      <rPr>
        <i/>
        <vertAlign val="superscript"/>
        <sz val="11"/>
        <rFont val="Calibri"/>
        <family val="2"/>
        <charset val="204"/>
        <scheme val="minor"/>
      </rPr>
      <t>2</t>
    </r>
  </si>
  <si>
    <r>
      <t xml:space="preserve">Площадь совмещенной кровли
(крыши, при отсутствии чердака), </t>
    </r>
    <r>
      <rPr>
        <i/>
        <sz val="11"/>
        <rFont val="Calibri"/>
        <family val="2"/>
        <charset val="204"/>
        <scheme val="minor"/>
      </rPr>
      <t>м</t>
    </r>
    <r>
      <rPr>
        <i/>
        <vertAlign val="superscript"/>
        <sz val="11"/>
        <rFont val="Calibri"/>
        <family val="2"/>
        <charset val="204"/>
        <scheme val="minor"/>
      </rPr>
      <t>2</t>
    </r>
  </si>
  <si>
    <t>Материал и конструктивное исполнение окон
в местах общего пользования</t>
  </si>
  <si>
    <t>Число окон в местах общего пользования</t>
  </si>
  <si>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</si>
  <si>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</si>
  <si>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</si>
  <si>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</si>
  <si>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</si>
  <si>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t>Материал и конструктивное исполнение окон и
балконных дверей в квартирах (при строительстве)</t>
  </si>
  <si>
    <r>
      <t xml:space="preserve">Площадь полов по грунту при отсутствии подвала или
при отапливаемом подвале или
площадь 1-го этажа для МКД на сваях, </t>
    </r>
    <r>
      <rPr>
        <i/>
        <sz val="11"/>
        <rFont val="Calibri"/>
        <family val="2"/>
        <charset val="204"/>
        <scheme val="minor"/>
      </rPr>
      <t>м</t>
    </r>
    <r>
      <rPr>
        <i/>
        <vertAlign val="superscript"/>
        <sz val="11"/>
        <rFont val="Calibri"/>
        <family val="2"/>
        <charset val="204"/>
        <scheme val="minor"/>
      </rPr>
      <t xml:space="preserve">2 </t>
    </r>
  </si>
  <si>
    <r>
      <t xml:space="preserve">Температура горячей воды в местах водоразбора, </t>
    </r>
    <r>
      <rPr>
        <i/>
        <vertAlign val="superscript"/>
        <sz val="11"/>
        <color theme="1"/>
        <rFont val="Calibri"/>
        <family val="2"/>
        <charset val="204"/>
      </rPr>
      <t>˚</t>
    </r>
    <r>
      <rPr>
        <i/>
        <sz val="11"/>
        <color theme="1"/>
        <rFont val="Calibri"/>
        <family val="2"/>
        <charset val="204"/>
        <scheme val="minor"/>
      </rPr>
      <t>C</t>
    </r>
  </si>
  <si>
    <r>
      <t xml:space="preserve">Температура нагрева горячей воды, </t>
    </r>
    <r>
      <rPr>
        <i/>
        <vertAlign val="superscript"/>
        <sz val="11"/>
        <color theme="1"/>
        <rFont val="Calibri"/>
        <family val="2"/>
        <charset val="204"/>
      </rPr>
      <t>˚</t>
    </r>
    <r>
      <rPr>
        <i/>
        <sz val="11"/>
        <color theme="1"/>
        <rFont val="Calibri"/>
        <family val="2"/>
        <charset val="204"/>
        <scheme val="minor"/>
      </rPr>
      <t>C</t>
    </r>
  </si>
  <si>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</si>
  <si>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</si>
  <si>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r>
      <t xml:space="preserve">Площадь входных дверей, </t>
    </r>
    <r>
      <rPr>
        <i/>
        <sz val="11"/>
        <rFont val="Calibri"/>
        <family val="2"/>
        <charset val="204"/>
        <scheme val="minor"/>
      </rPr>
      <t>м</t>
    </r>
    <r>
      <rPr>
        <i/>
        <vertAlign val="superscript"/>
        <sz val="11"/>
        <rFont val="Calibri"/>
        <family val="2"/>
        <charset val="204"/>
        <scheme val="minor"/>
      </rPr>
      <t>2</t>
    </r>
  </si>
  <si>
    <r>
      <t xml:space="preserve">Количество лифтов, </t>
    </r>
    <r>
      <rPr>
        <i/>
        <sz val="11"/>
        <color theme="1"/>
        <rFont val="Calibri"/>
        <family val="2"/>
        <charset val="204"/>
        <scheme val="minor"/>
      </rPr>
      <t>ед</t>
    </r>
  </si>
  <si>
    <r>
      <t xml:space="preserve">Суммарная мощность лифтов, </t>
    </r>
    <r>
      <rPr>
        <i/>
        <sz val="11"/>
        <color theme="1"/>
        <rFont val="Calibri"/>
        <family val="2"/>
        <charset val="204"/>
        <scheme val="minor"/>
      </rPr>
      <t>кВт</t>
    </r>
  </si>
  <si>
    <t>При отсутствии точных данных допускается принимать
2200 часов (без эффективного привода)</t>
  </si>
  <si>
    <r>
      <t xml:space="preserve">Средняя единичная мощность прибора, </t>
    </r>
    <r>
      <rPr>
        <b/>
        <i/>
        <sz val="11"/>
        <color theme="1"/>
        <rFont val="Calibri"/>
        <family val="2"/>
        <charset val="204"/>
        <scheme val="minor"/>
      </rPr>
      <t>Вт</t>
    </r>
  </si>
  <si>
    <r>
      <t xml:space="preserve">Количество осветительных приборов, </t>
    </r>
    <r>
      <rPr>
        <b/>
        <i/>
        <sz val="11"/>
        <color theme="1"/>
        <rFont val="Calibri"/>
        <family val="2"/>
        <charset val="204"/>
        <scheme val="minor"/>
      </rPr>
      <t>ед</t>
    </r>
  </si>
  <si>
    <r>
      <t xml:space="preserve">Число циркуляционных насосов
в системе отопления (всего), </t>
    </r>
    <r>
      <rPr>
        <i/>
        <sz val="11"/>
        <color theme="1"/>
        <rFont val="Calibri"/>
        <family val="2"/>
        <charset val="204"/>
        <scheme val="minor"/>
      </rPr>
      <t>ед</t>
    </r>
  </si>
  <si>
    <r>
      <t xml:space="preserve">в том числе:  новых энергоэффективных лифтов
со встроенным частотно-регулируемым приводом и
эффективной программой управления, </t>
    </r>
    <r>
      <rPr>
        <i/>
        <sz val="11"/>
        <color theme="1"/>
        <rFont val="Calibri"/>
        <family val="2"/>
        <charset val="204"/>
        <scheme val="minor"/>
      </rPr>
      <t>ед</t>
    </r>
  </si>
  <si>
    <r>
      <t xml:space="preserve">Суммарная мощность насосов, </t>
    </r>
    <r>
      <rPr>
        <i/>
        <sz val="11"/>
        <color theme="1"/>
        <rFont val="Calibri"/>
        <family val="2"/>
        <charset val="204"/>
        <scheme val="minor"/>
      </rPr>
      <t>кВт</t>
    </r>
  </si>
  <si>
    <r>
      <t xml:space="preserve">Число циркуляционных насосов
в системе горячего водоснабжения (всего), </t>
    </r>
    <r>
      <rPr>
        <i/>
        <sz val="11"/>
        <color theme="1"/>
        <rFont val="Calibri"/>
        <family val="2"/>
        <charset val="204"/>
        <scheme val="minor"/>
      </rPr>
      <t>ед</t>
    </r>
  </si>
  <si>
    <r>
      <t xml:space="preserve">в том числе:  энергоэффективных насосов
со встроенным частотно-регулируемым приводом и
системой управления электродвигателем, </t>
    </r>
    <r>
      <rPr>
        <i/>
        <sz val="11"/>
        <color theme="1"/>
        <rFont val="Calibri"/>
        <family val="2"/>
        <charset val="204"/>
        <scheme val="minor"/>
      </rPr>
      <t>ед</t>
    </r>
  </si>
  <si>
    <r>
      <t xml:space="preserve">Число повысительных насосов
в системе холодного водоснабжения (всего), </t>
    </r>
    <r>
      <rPr>
        <i/>
        <sz val="11"/>
        <color theme="1"/>
        <rFont val="Calibri"/>
        <family val="2"/>
        <charset val="204"/>
        <scheme val="minor"/>
      </rPr>
      <t>ед</t>
    </r>
  </si>
  <si>
    <r>
      <t xml:space="preserve">Суммарная электрическая мощность, </t>
    </r>
    <r>
      <rPr>
        <i/>
        <sz val="11"/>
        <color theme="1"/>
        <rFont val="Calibri"/>
        <family val="2"/>
        <charset val="204"/>
        <scheme val="minor"/>
      </rPr>
      <t>кВт</t>
    </r>
  </si>
  <si>
    <r>
      <t xml:space="preserve">Период  работы прочего энергетического оборудования
в течение года, </t>
    </r>
    <r>
      <rPr>
        <i/>
        <sz val="11"/>
        <color theme="1"/>
        <rFont val="Calibri"/>
        <family val="2"/>
        <charset val="204"/>
        <scheme val="minor"/>
      </rPr>
      <t>час</t>
    </r>
  </si>
  <si>
    <r>
      <t xml:space="preserve">Договорные или проектные тепловые нагрузки МКД (всего)*, </t>
    </r>
    <r>
      <rPr>
        <i/>
        <sz val="11"/>
        <color theme="1"/>
        <rFont val="Calibri"/>
        <family val="2"/>
        <charset val="204"/>
        <scheme val="minor"/>
      </rPr>
      <t>Гкал/ч</t>
    </r>
  </si>
  <si>
    <r>
      <t xml:space="preserve">Отопление*, </t>
    </r>
    <r>
      <rPr>
        <i/>
        <sz val="11"/>
        <color theme="1"/>
        <rFont val="Calibri"/>
        <family val="2"/>
        <charset val="204"/>
        <scheme val="minor"/>
      </rPr>
      <t>Гкал/ч</t>
    </r>
  </si>
  <si>
    <r>
      <t xml:space="preserve">Горячее водоснабжение* , </t>
    </r>
    <r>
      <rPr>
        <i/>
        <sz val="11"/>
        <color theme="1"/>
        <rFont val="Calibri"/>
        <family val="2"/>
        <charset val="204"/>
        <scheme val="minor"/>
      </rPr>
      <t>Гкал/ч</t>
    </r>
  </si>
  <si>
    <r>
      <t xml:space="preserve">Вентиляция*  (при наличии в МКД принудительной приточно-вытяжной системы вентиляции с вентиляционными калориферами), </t>
    </r>
    <r>
      <rPr>
        <i/>
        <sz val="11"/>
        <color theme="1"/>
        <rFont val="Calibri"/>
        <family val="2"/>
        <charset val="204"/>
        <scheme val="minor"/>
      </rPr>
      <t>Гкал/ч</t>
    </r>
  </si>
  <si>
    <t>При отсутствии отдельного учета потребления
на общедомовые нужды, определите, как
разность общего потребления в МКД
(кроме нежилых помещений) и
потребления в квартирах.</t>
  </si>
  <si>
    <r>
      <t xml:space="preserve">Потребление тепловой энергии, </t>
    </r>
    <r>
      <rPr>
        <i/>
        <sz val="12"/>
        <color theme="1"/>
        <rFont val="Calibri"/>
        <family val="2"/>
        <charset val="204"/>
        <scheme val="minor"/>
      </rPr>
      <t>Гкал</t>
    </r>
  </si>
  <si>
    <r>
      <t xml:space="preserve">Потребление электрической энергии жилыми помещениями (квартирами),
</t>
    </r>
    <r>
      <rPr>
        <i/>
        <sz val="12"/>
        <color theme="1"/>
        <rFont val="Calibri"/>
        <family val="2"/>
        <charset val="204"/>
        <scheme val="minor"/>
      </rPr>
      <t xml:space="preserve">тыс. кВт </t>
    </r>
    <r>
      <rPr>
        <sz val="12"/>
        <color theme="1"/>
        <rFont val="Calibri"/>
        <family val="2"/>
        <charset val="204"/>
      </rPr>
      <t xml:space="preserve">× </t>
    </r>
    <r>
      <rPr>
        <i/>
        <sz val="12"/>
        <color theme="1"/>
        <rFont val="Calibri"/>
        <family val="2"/>
        <charset val="204"/>
        <scheme val="minor"/>
      </rPr>
      <t>час</t>
    </r>
  </si>
  <si>
    <r>
      <t xml:space="preserve">Потребление электрической энергии МКД
всего (за вычетом нежилых помещений,
при наличии),
</t>
    </r>
    <r>
      <rPr>
        <i/>
        <sz val="12"/>
        <color theme="1"/>
        <rFont val="Calibri"/>
        <family val="2"/>
        <charset val="204"/>
        <scheme val="minor"/>
      </rPr>
      <t xml:space="preserve">тыс. кВт </t>
    </r>
    <r>
      <rPr>
        <i/>
        <sz val="12"/>
        <color theme="1"/>
        <rFont val="Calibri"/>
        <family val="2"/>
        <charset val="204"/>
      </rPr>
      <t xml:space="preserve">× </t>
    </r>
    <r>
      <rPr>
        <i/>
        <sz val="12"/>
        <color theme="1"/>
        <rFont val="Calibri"/>
        <family val="2"/>
        <charset val="204"/>
        <scheme val="minor"/>
      </rPr>
      <t xml:space="preserve">час </t>
    </r>
  </si>
  <si>
    <r>
      <t xml:space="preserve">Потребление электроэнергии на общедомовые нужды, </t>
    </r>
    <r>
      <rPr>
        <i/>
        <sz val="12"/>
        <color theme="1"/>
        <rFont val="Calibri"/>
        <family val="2"/>
        <charset val="204"/>
        <scheme val="minor"/>
      </rPr>
      <t xml:space="preserve">тыс. кВт </t>
    </r>
    <r>
      <rPr>
        <sz val="12"/>
        <color theme="1"/>
        <rFont val="Calibri"/>
        <family val="2"/>
        <charset val="204"/>
      </rPr>
      <t xml:space="preserve">× </t>
    </r>
    <r>
      <rPr>
        <i/>
        <sz val="12"/>
        <color theme="1"/>
        <rFont val="Calibri"/>
        <family val="2"/>
        <charset val="204"/>
        <scheme val="minor"/>
      </rPr>
      <t>час</t>
    </r>
  </si>
  <si>
    <t>Освещение мест общего пользования
(при отсутствии отдельного учета оставьте пустыми)</t>
  </si>
  <si>
    <t>Работа лифтов
(при отсутствии отдельного учета оставьте пустыми)</t>
  </si>
  <si>
    <t>Работа насосного оборудования
(при отсутствии отдельного учета оставьте пустыми)</t>
  </si>
  <si>
    <t>Работа прочего энергетического оборудования
(при отсутствии отдельного учета оставьте пустыми)</t>
  </si>
  <si>
    <r>
      <t xml:space="preserve">Продолжительность отопительного сезона, </t>
    </r>
    <r>
      <rPr>
        <i/>
        <sz val="12"/>
        <rFont val="Calibri"/>
        <family val="2"/>
        <charset val="204"/>
        <scheme val="minor"/>
      </rPr>
      <t>сутки</t>
    </r>
  </si>
  <si>
    <t>В случае двух- или трехтарифного способа оплаты, введите средний тариф по счету: частное от "всего оплачено, руб" и "всего потреблено электроэнергии, кВтч"</t>
  </si>
  <si>
    <t>руб./Гкал</t>
  </si>
  <si>
    <r>
      <t xml:space="preserve">руб./кВт </t>
    </r>
    <r>
      <rPr>
        <i/>
        <sz val="11"/>
        <color theme="1"/>
        <rFont val="Calibri"/>
        <family val="2"/>
        <charset val="204"/>
      </rPr>
      <t xml:space="preserve">× </t>
    </r>
    <r>
      <rPr>
        <i/>
        <sz val="11"/>
        <color theme="1"/>
        <rFont val="Calibri"/>
        <family val="2"/>
        <charset val="204"/>
        <scheme val="minor"/>
      </rPr>
      <t>час</t>
    </r>
  </si>
  <si>
    <t>Место данного МКД на кривой распределения аналогичных МКД РФ по удельному расходу энергоресурсов</t>
  </si>
  <si>
    <t>1. Рейтинг многоквартирного дома</t>
  </si>
  <si>
    <t>2. Ввод исходных данных</t>
  </si>
  <si>
    <t>3. Выбор мероприятий по повышению энергетической эффективности</t>
  </si>
  <si>
    <t>Подберите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</si>
  <si>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Найдите место вашего многоквартирного дома в рейтинге домов России по уровню потребления коммунальных ресурсов! Узнайте клас энергоэффективности дома и потенциал его повышения!</t>
  </si>
  <si>
    <t>Заполните сведения о многоквартирном доме, в котором планируется проведение капитального ремонта!</t>
  </si>
  <si>
    <t>можно не заполнять, если таких данных нет (будет произведена оценка)</t>
  </si>
  <si>
    <t>выберите "да", если учет теплоэнергии на отопление и ГВС производится совместно</t>
  </si>
  <si>
    <t>Наличие лифтов в МКД?</t>
  </si>
  <si>
    <t>10.1</t>
  </si>
  <si>
    <t>ГСОП 2016</t>
  </si>
  <si>
    <t>ГСОП 2017</t>
  </si>
  <si>
    <t>4.Расчет потенциала повышения энергоэффективности и окупаемости капремонта</t>
  </si>
  <si>
    <t>Ввести данные для детального расчета &gt;&gt;</t>
  </si>
  <si>
    <t>База Россия</t>
  </si>
  <si>
    <r>
      <t>Общая площадь многоквартирного дома (всего), м</t>
    </r>
    <r>
      <rPr>
        <vertAlign val="superscript"/>
        <sz val="9"/>
        <rFont val="Calibri"/>
        <family val="2"/>
        <charset val="204"/>
        <scheme val="minor"/>
      </rPr>
      <t>2</t>
    </r>
  </si>
  <si>
    <t>Число окон в местах общего пользования (в лестнично-лифтовых узлах)</t>
  </si>
  <si>
    <t>посчитайте число окон</t>
  </si>
  <si>
    <t>МКД - одноподъездная башня, а план этажа представляет собой прямоугольник с почти равными сторонами (квадрат)</t>
  </si>
  <si>
    <t>МКД - одноподъездная башня, а план этажа представляет собой вытянутый прямоугольник</t>
  </si>
  <si>
    <t>Расчет по удельным показателям</t>
  </si>
  <si>
    <t>Общая площадь, м2</t>
  </si>
  <si>
    <t>Площадь квартир</t>
  </si>
  <si>
    <t>Жилая площадь, м2</t>
  </si>
  <si>
    <t>Нежилая площадь, м2</t>
  </si>
  <si>
    <t>Площадь фасадов,  м2</t>
  </si>
  <si>
    <t>Площадь стен, м2</t>
  </si>
  <si>
    <t>Площадь окон, м2</t>
  </si>
  <si>
    <t>Число окон квартир</t>
  </si>
  <si>
    <t>площадь окон квартир, м2</t>
  </si>
  <si>
    <t>Число окон МОП</t>
  </si>
  <si>
    <t>площадь окон МОП, м2</t>
  </si>
  <si>
    <t>Число окон нежилых помещений</t>
  </si>
  <si>
    <t>площадь окон неж, м2</t>
  </si>
  <si>
    <t>Площадь верхнего покрытия совмещенной кровли (крыши), м2</t>
  </si>
  <si>
    <t>Площадь перекрытия под неотапливаемым чердаком, м2</t>
  </si>
  <si>
    <t>Площадь перекрытия под "теплым" чердаком, м2</t>
  </si>
  <si>
    <t xml:space="preserve">Площадь перекрытий  над неотапливаемым подвалом (техническим подпольем), м2 </t>
  </si>
  <si>
    <t xml:space="preserve">Площадь полов по грунту при отсутствии подвала или при отапливаемом подвале, м2 </t>
  </si>
  <si>
    <t>Площадь входных дверей, м2</t>
  </si>
  <si>
    <t>Длина, м2</t>
  </si>
  <si>
    <t>Ширина, м2</t>
  </si>
  <si>
    <t>Высота, м2</t>
  </si>
  <si>
    <t>Площадь этажа</t>
  </si>
  <si>
    <t>без площади общего имущества</t>
  </si>
  <si>
    <t>Установка узлов управления и регулирования потребления тепловой энергии в системе отопления и/или горячего водоснабжения  (выберите ниже)</t>
  </si>
  <si>
    <r>
      <t xml:space="preserve">Фасад, примыкающий к соседнему зданию, не учитывается.
Если здание простой формы, можно рассчитать исходя из полей 38-40:
</t>
    </r>
    <r>
      <rPr>
        <i/>
        <sz val="9"/>
        <color rgb="FF1C1C1C"/>
        <rFont val="Calibri"/>
        <family val="2"/>
        <charset val="204"/>
        <scheme val="minor"/>
      </rPr>
      <t>2</t>
    </r>
    <r>
      <rPr>
        <sz val="9"/>
        <color rgb="FF1C1C1C"/>
        <rFont val="Calibri"/>
        <family val="2"/>
        <charset val="204"/>
      </rPr>
      <t>×</t>
    </r>
    <r>
      <rPr>
        <i/>
        <sz val="9"/>
        <color rgb="FF1C1C1C"/>
        <rFont val="Calibri"/>
        <family val="2"/>
        <charset val="204"/>
        <scheme val="minor"/>
      </rPr>
      <t>Высота×(Длина+Ширина)</t>
    </r>
  </si>
  <si>
    <t>Экспресс</t>
  </si>
  <si>
    <t>Факт</t>
  </si>
  <si>
    <t>отсутствие ПУ ЭЭ нежилые</t>
  </si>
  <si>
    <t>кВт-ч/(м2)</t>
  </si>
  <si>
    <t>Число секций, ед</t>
  </si>
  <si>
    <t>Максимальный</t>
  </si>
  <si>
    <t>Средний</t>
  </si>
  <si>
    <t>Минимальный</t>
  </si>
  <si>
    <r>
      <t>Обогреваемая площадь, м</t>
    </r>
    <r>
      <rPr>
        <vertAlign val="superscript"/>
        <sz val="10"/>
        <color theme="1"/>
        <rFont val="Times New Roman"/>
        <family val="1"/>
        <charset val="204"/>
      </rPr>
      <t>2</t>
    </r>
  </si>
  <si>
    <r>
      <rPr>
        <vertAlign val="superscript"/>
        <sz val="10"/>
        <color theme="1"/>
        <rFont val="Times New Roman"/>
        <family val="1"/>
        <charset val="204"/>
      </rPr>
      <t>о</t>
    </r>
    <r>
      <rPr>
        <sz val="10"/>
        <color theme="1"/>
        <rFont val="Times New Roman"/>
        <family val="1"/>
        <charset val="204"/>
      </rPr>
      <t>С</t>
    </r>
  </si>
  <si>
    <t>сут</t>
  </si>
  <si>
    <t>час</t>
  </si>
  <si>
    <t>Температура наружного воздуха, расчетная для отопления</t>
  </si>
  <si>
    <t>Плотность воздуха</t>
  </si>
  <si>
    <t>Теплоемкость воздуха</t>
  </si>
  <si>
    <r>
      <t>ккал/(кг*</t>
    </r>
    <r>
      <rPr>
        <vertAlign val="superscript"/>
        <sz val="10"/>
        <color theme="1"/>
        <rFont val="Times New Roman"/>
        <family val="1"/>
        <charset val="204"/>
      </rPr>
      <t>о</t>
    </r>
    <r>
      <rPr>
        <sz val="10"/>
        <color theme="1"/>
        <rFont val="Times New Roman"/>
        <family val="1"/>
        <charset val="204"/>
      </rPr>
      <t>С)</t>
    </r>
  </si>
  <si>
    <r>
      <t>кДж/(кг*</t>
    </r>
    <r>
      <rPr>
        <vertAlign val="superscript"/>
        <sz val="10"/>
        <color theme="1"/>
        <rFont val="Times New Roman"/>
        <family val="1"/>
        <charset val="204"/>
      </rPr>
      <t>о</t>
    </r>
    <r>
      <rPr>
        <sz val="10"/>
        <color theme="1"/>
        <rFont val="Times New Roman"/>
        <family val="1"/>
        <charset val="204"/>
      </rPr>
      <t>С)</t>
    </r>
  </si>
  <si>
    <t>Число квартир в МКД</t>
  </si>
  <si>
    <r>
      <t>м</t>
    </r>
    <r>
      <rPr>
        <vertAlign val="superscript"/>
        <sz val="10"/>
        <color theme="1"/>
        <rFont val="Times New Roman"/>
        <family val="1"/>
        <charset val="204"/>
      </rPr>
      <t>2</t>
    </r>
  </si>
  <si>
    <t>Площадь одной квартиры (среднее значение)</t>
  </si>
  <si>
    <t>Исходные данные для расчета</t>
  </si>
  <si>
    <t>Расчетная (максимальная) отопительная тепловая нагрузка</t>
  </si>
  <si>
    <t>Трансмиссионные тепловые потери через ограждающие конструкции за отопительный период</t>
  </si>
  <si>
    <t xml:space="preserve">Фактическая температура внутреннего воздуха в квартирах (среднее значение по МКД) </t>
  </si>
  <si>
    <t>Количество проживающих в МКД</t>
  </si>
  <si>
    <t>чел</t>
  </si>
  <si>
    <t>чел/кв</t>
  </si>
  <si>
    <t>Обеспеченность общей площадью квартир</t>
  </si>
  <si>
    <r>
      <t>м</t>
    </r>
    <r>
      <rPr>
        <vertAlign val="superscript"/>
        <sz val="10"/>
        <color theme="1"/>
        <rFont val="Times New Roman"/>
        <family val="1"/>
        <charset val="204"/>
      </rPr>
      <t>2</t>
    </r>
    <r>
      <rPr>
        <sz val="10"/>
        <color theme="1"/>
        <rFont val="Times New Roman"/>
        <family val="1"/>
        <charset val="204"/>
      </rPr>
      <t>/чел</t>
    </r>
  </si>
  <si>
    <t>Расчетный расход воздуха в квартире для обеспечения нормального воздухообмена</t>
  </si>
  <si>
    <r>
      <t>м</t>
    </r>
    <r>
      <rPr>
        <vertAlign val="superscript"/>
        <sz val="10"/>
        <color theme="1"/>
        <rFont val="Times New Roman"/>
        <family val="1"/>
        <charset val="204"/>
      </rPr>
      <t>3</t>
    </r>
    <r>
      <rPr>
        <sz val="10"/>
        <color theme="1"/>
        <rFont val="Times New Roman"/>
        <family val="1"/>
        <charset val="204"/>
      </rPr>
      <t>/ч</t>
    </r>
  </si>
  <si>
    <t>Количество проживающих в одной квартире (среднее значение по МКД)</t>
  </si>
  <si>
    <t>Вт</t>
  </si>
  <si>
    <t>При условии расхода воздуха не менее 30 м3/ч на человека</t>
  </si>
  <si>
    <t>Выбирается большее значение расхода воздуха</t>
  </si>
  <si>
    <r>
      <t>м</t>
    </r>
    <r>
      <rPr>
        <b/>
        <vertAlign val="superscript"/>
        <sz val="10"/>
        <color theme="1"/>
        <rFont val="Times New Roman"/>
        <family val="1"/>
        <charset val="204"/>
      </rPr>
      <t>3</t>
    </r>
    <r>
      <rPr>
        <b/>
        <sz val="10"/>
        <color theme="1"/>
        <rFont val="Times New Roman"/>
        <family val="1"/>
        <charset val="204"/>
      </rPr>
      <t>/ч</t>
    </r>
  </si>
  <si>
    <t>за месяц</t>
  </si>
  <si>
    <t>за отопительный период</t>
  </si>
  <si>
    <t>Тариф на электрическую энергию</t>
  </si>
  <si>
    <t>руб/кВт*ч</t>
  </si>
  <si>
    <t>Дополнительные затраты на электроэнергию для одной квартиры</t>
  </si>
  <si>
    <t xml:space="preserve">Фактическая температура внутреннего воздуха в квартирах  после замены окон (среднее значение по МКД) </t>
  </si>
  <si>
    <t xml:space="preserve">Сокращение требуемой электрической мощности обогревателя на квартиру </t>
  </si>
  <si>
    <t>Дополнительный расход электроэнергии для одной квартиры</t>
  </si>
  <si>
    <t>Расчет фактической температуры внутреннего воздуха в квартирах при недоотапливании МКД</t>
  </si>
  <si>
    <t>Расчет расхода электроэнергии обогревателем при замене окон в квартирах на энергоэффективные</t>
  </si>
  <si>
    <t>Придомовая территория</t>
  </si>
  <si>
    <r>
      <rPr>
        <b/>
        <vertAlign val="superscript"/>
        <sz val="10"/>
        <color theme="1"/>
        <rFont val="Times New Roman"/>
        <family val="1"/>
        <charset val="204"/>
      </rPr>
      <t>о</t>
    </r>
    <r>
      <rPr>
        <b/>
        <sz val="10"/>
        <color theme="1"/>
        <rFont val="Times New Roman"/>
        <family val="1"/>
        <charset val="204"/>
      </rPr>
      <t>С</t>
    </r>
  </si>
  <si>
    <t>Температура наружного воздуха, средняя за отопительный период (фактическая, до капитального ремонта)</t>
  </si>
  <si>
    <t>Продолжительность отопительного периода (фактическая, до капитального ремонта)</t>
  </si>
  <si>
    <t>При при норме расхода воздуха  3 м3/ч на 1 м2 площади жилых помещений (при кратности воздухообмена не менее 1,0 1/час)</t>
  </si>
  <si>
    <t>фактические</t>
  </si>
  <si>
    <t>Фактическая средняя отопительная тепловая нагрузка (после замены окон), приведенная к климатическим условиям базового года</t>
  </si>
  <si>
    <t>Расчетная (максимальная) отопительная тепловая нагрузка, после замены окон в квартирах</t>
  </si>
  <si>
    <t>Количество замененных окон в квартирах</t>
  </si>
  <si>
    <t>Таблица 3 - Итоговые значения для МКД</t>
  </si>
  <si>
    <t>Таблица 1 - Характеристики масляных электрообогревателей</t>
  </si>
  <si>
    <t>Мощность электрообогревателя, Вт</t>
  </si>
  <si>
    <t>Таблица 2 - Расход электроэнергии на электрообогреватели при недоотапливании МКД</t>
  </si>
  <si>
    <t>Время работы электрообогревателя в течении суток</t>
  </si>
  <si>
    <t>Расход электроэнергии электрообогревателем для одной квартиры</t>
  </si>
  <si>
    <t xml:space="preserve">Сокращение требуемой электрической мощности электрообогревателя при замене окон в квартирах на  энергоэффективные </t>
  </si>
  <si>
    <t>По таблице 1 выбирается ближайшая большая мощность стандартного электрообогревателя</t>
  </si>
  <si>
    <t xml:space="preserve">Фактическая средняя отопительная тепловая нагрузка </t>
  </si>
  <si>
    <t>Стоимость дополнительного потребления электроэнергии при работе электрообогревателя</t>
  </si>
  <si>
    <t>Дополнительные затраты на  электроэнергию на работу электрообогревателя, при замене окон в квартирах на энергоэффективные</t>
  </si>
  <si>
    <t>Базовый период (до реализации мероприятия)</t>
  </si>
  <si>
    <t>Расчетный период (после реализации мероприятия)</t>
  </si>
  <si>
    <t>Эффект от реализации мероприятия (замена окон в квартирах при недоотапливании МКД)</t>
  </si>
  <si>
    <t>Требуемая электрическая мощность электрообогревателя на квартиру (после замены окон)</t>
  </si>
  <si>
    <t xml:space="preserve">Расчетная (нормативная) температура внутреннего воздуха в квартирах </t>
  </si>
  <si>
    <t>Расчет расхода электроэнергии электрообогревателями при недоотапливании МКД</t>
  </si>
  <si>
    <t>Доля тепловых потерь через окна в трансмиссионных тепловых потерях (после замены окон)</t>
  </si>
  <si>
    <t xml:space="preserve">Доля тепловых потерь через окна в трансмиссионных тепловых потерях </t>
  </si>
  <si>
    <t>Этой переменной можно варьировать, Например, если расход электроэнергии на электрообогрев окажется больше фактического потребления электрической энергии квартирами (лист "Ввод исходных данных, ячейка E245), то необходимо будет уменьшить время работы электрообогревателей.</t>
  </si>
  <si>
    <t xml:space="preserve">Требуемая электрическая мощность электрообогревателя для одной квартиры </t>
  </si>
  <si>
    <t xml:space="preserve">Выбранная мощность стандартного электрообогревателя остается неизменной (сокращение достигается переходом на минимальный режим мощности электрообогрева, а также уменьшением времени работы электрообогревателя в течении суток) </t>
  </si>
  <si>
    <t>Режимы мощности электрообогрева, Вт</t>
  </si>
  <si>
    <t>Расчет требуемой мощности электрообогревателя для одной квартиры</t>
  </si>
  <si>
    <t>Дополнительные затраты на электроэнергию для МКД</t>
  </si>
  <si>
    <t>Расход электроэнергии электрообогревателями для МКД</t>
  </si>
  <si>
    <t>Дополнительный расход электроэнергии для МКД</t>
  </si>
  <si>
    <r>
      <t xml:space="preserve">Необходимо определить, при какой температуре внутреннего воздуха в квартирах следует считать, что здание недоотапливается, То есть, установить границу по температуре внутреннего воздуха (например, считать "недотопом", если фактическая температура воздуха в квартирах будет ниже 18 </t>
    </r>
    <r>
      <rPr>
        <vertAlign val="superscript"/>
        <sz val="9"/>
        <color theme="1"/>
        <rFont val="Times New Roman"/>
        <family val="1"/>
        <charset val="204"/>
      </rPr>
      <t>о</t>
    </r>
    <r>
      <rPr>
        <sz val="9"/>
        <color theme="1"/>
        <rFont val="Times New Roman"/>
        <family val="1"/>
        <charset val="204"/>
      </rPr>
      <t xml:space="preserve">С и только тогда жители будут использовать электрообогреватели). </t>
    </r>
  </si>
  <si>
    <r>
      <t xml:space="preserve">Если значение температуры внутреннего воздуха в квартирах получается больше или равным 20 </t>
    </r>
    <r>
      <rPr>
        <vertAlign val="superscript"/>
        <sz val="9"/>
        <color theme="1"/>
        <rFont val="Times New Roman"/>
        <family val="1"/>
        <charset val="204"/>
      </rPr>
      <t>о</t>
    </r>
    <r>
      <rPr>
        <sz val="9"/>
        <color theme="1"/>
        <rFont val="Times New Roman"/>
        <family val="1"/>
        <charset val="204"/>
      </rPr>
      <t>С,  то это означает что в результате реализации мероприятия "недотоп" полностью устранен и потребление электроэнергии электрообогревателями сведено к нулю</t>
    </r>
  </si>
  <si>
    <t xml:space="preserve">Экономия электроэнергии  при работе электрообогревателя, когда заменены окна в квартирах на  энергоэффективные </t>
  </si>
  <si>
    <t>Экономия электроэнергии для одной квартиры</t>
  </si>
  <si>
    <t>Сокращение затрат на электроэнергию при работе обогревателя, когда заменены окна в квартирах на энергоэффективные</t>
  </si>
  <si>
    <t>Сокращение затрат на электроэнергию для одной квартиры</t>
  </si>
  <si>
    <t>Сокращение затрат на электроэнергию для МКД</t>
  </si>
  <si>
    <t>Сокращение затрат на электроэнергию (отопительный период)</t>
  </si>
  <si>
    <t>Дополнительный расход электроэнергии при работе электрообогревателей (отопительный период)</t>
  </si>
  <si>
    <t>Дополнительные затраты на электроэнергию при работе электрообогревателей (отопительный период)</t>
  </si>
  <si>
    <t>Экономия электроэнергии для МКД</t>
  </si>
  <si>
    <t>Число квартир, где заменены окна</t>
  </si>
  <si>
    <t>Количество окон в одной квартире (среднее значение по МКД)</t>
  </si>
  <si>
    <t>Экономия электроэнергии  (отопительный период)</t>
  </si>
  <si>
    <t>Целесообразно выбор мощности стандартного электрообогревателя производить автоматически. Пока выбор мощности электрообогревателя производится в ручную</t>
  </si>
  <si>
    <t>Двухкамерный с мягким селективным покрытием (I-стекло) с заполнением криптоном</t>
  </si>
  <si>
    <t>Стекло и двухкамерный стеклопакет в раздельных переплетах с мягким селективным покрытием (I-стекло)</t>
  </si>
  <si>
    <t>Стекло и двухкамерный стеклопакет в раздельных переплетах с мягким селективным покрытием (I-стекло) с заполнением аргоном</t>
  </si>
  <si>
    <t>Деревоалюминиевый профиль с термовставкой  и 2-камерным стеклопакетом с мягким селективным покрытием  (I-стекло) и с заполнением аргоном</t>
  </si>
  <si>
    <r>
      <t xml:space="preserve">Количество квартир, </t>
    </r>
    <r>
      <rPr>
        <i/>
        <sz val="11"/>
        <color theme="1"/>
        <rFont val="Calibri"/>
        <family val="2"/>
        <charset val="204"/>
        <scheme val="minor"/>
      </rPr>
      <t>ед</t>
    </r>
  </si>
  <si>
    <r>
      <t xml:space="preserve">Суммарный удельный расход энергоресурсов на ГСОП,
</t>
    </r>
    <r>
      <rPr>
        <i/>
        <sz val="11"/>
        <color theme="1"/>
        <rFont val="Calibri"/>
        <family val="2"/>
        <charset val="204"/>
        <scheme val="minor"/>
      </rPr>
      <t>кВтч/м</t>
    </r>
    <r>
      <rPr>
        <i/>
        <vertAlign val="superscript"/>
        <sz val="11"/>
        <color theme="1"/>
        <rFont val="Calibri"/>
        <family val="2"/>
        <charset val="204"/>
        <scheme val="minor"/>
      </rPr>
      <t>2</t>
    </r>
    <r>
      <rPr>
        <i/>
        <sz val="11"/>
        <color theme="1"/>
        <rFont val="Calibri"/>
        <family val="2"/>
        <charset val="204"/>
        <scheme val="minor"/>
      </rPr>
      <t>/˚C-сут</t>
    </r>
  </si>
  <si>
    <r>
      <t xml:space="preserve">Удельный расход теплоэнергии на отопление,
</t>
    </r>
    <r>
      <rPr>
        <i/>
        <sz val="11"/>
        <color theme="1"/>
        <rFont val="Calibri"/>
        <family val="2"/>
        <charset val="204"/>
        <scheme val="minor"/>
      </rPr>
      <t>кВтч/м</t>
    </r>
    <r>
      <rPr>
        <i/>
        <vertAlign val="superscript"/>
        <sz val="11"/>
        <color theme="1"/>
        <rFont val="Calibri"/>
        <family val="2"/>
        <charset val="204"/>
        <scheme val="minor"/>
      </rPr>
      <t>2</t>
    </r>
    <r>
      <rPr>
        <i/>
        <sz val="11"/>
        <color theme="1"/>
        <rFont val="Calibri"/>
        <family val="2"/>
        <charset val="204"/>
        <scheme val="minor"/>
      </rPr>
      <t>/˚C</t>
    </r>
    <r>
      <rPr>
        <i/>
        <sz val="11"/>
        <color theme="1"/>
        <rFont val="Calibri"/>
        <family val="2"/>
        <charset val="204"/>
        <scheme val="minor"/>
      </rPr>
      <t>-сут</t>
    </r>
  </si>
  <si>
    <r>
      <t xml:space="preserve">Остывание горячей воды в циркуляционном трубопроводе (при его наличии), </t>
    </r>
    <r>
      <rPr>
        <i/>
        <vertAlign val="superscript"/>
        <sz val="11"/>
        <color theme="1"/>
        <rFont val="Calibri"/>
        <family val="2"/>
        <charset val="204"/>
        <scheme val="minor"/>
      </rPr>
      <t>˚</t>
    </r>
    <r>
      <rPr>
        <i/>
        <sz val="11"/>
        <color theme="1"/>
        <rFont val="Calibri"/>
        <family val="2"/>
        <charset val="204"/>
        <scheme val="minor"/>
      </rPr>
      <t>С</t>
    </r>
  </si>
  <si>
    <r>
      <t xml:space="preserve">Фактический за месяц (за вычетом показаний ИПУ нежилых помещений, если таковые есть),
</t>
    </r>
    <r>
      <rPr>
        <i/>
        <sz val="11"/>
        <color theme="1"/>
        <rFont val="Calibri"/>
        <family val="2"/>
        <charset val="204"/>
        <scheme val="minor"/>
      </rPr>
      <t xml:space="preserve">тонны </t>
    </r>
    <r>
      <rPr>
        <sz val="11"/>
        <color theme="1"/>
        <rFont val="Calibri"/>
        <family val="2"/>
        <charset val="204"/>
        <scheme val="minor"/>
      </rPr>
      <t xml:space="preserve">или </t>
    </r>
    <r>
      <rPr>
        <i/>
        <sz val="11"/>
        <color theme="1"/>
        <rFont val="Calibri"/>
        <family val="2"/>
        <charset val="204"/>
        <scheme val="minor"/>
      </rPr>
      <t>м</t>
    </r>
    <r>
      <rPr>
        <i/>
        <vertAlign val="superscript"/>
        <sz val="11"/>
        <color theme="1"/>
        <rFont val="Calibri"/>
        <family val="2"/>
        <charset val="204"/>
        <scheme val="minor"/>
      </rPr>
      <t>3</t>
    </r>
  </si>
  <si>
    <r>
      <t xml:space="preserve">Циркуляционный за месяц,
</t>
    </r>
    <r>
      <rPr>
        <i/>
        <sz val="12"/>
        <color theme="1"/>
        <rFont val="Calibri"/>
        <family val="2"/>
        <charset val="204"/>
        <scheme val="minor"/>
      </rPr>
      <t xml:space="preserve">тонны </t>
    </r>
    <r>
      <rPr>
        <sz val="12"/>
        <color theme="1"/>
        <rFont val="Calibri"/>
        <family val="2"/>
        <charset val="204"/>
        <scheme val="minor"/>
      </rPr>
      <t xml:space="preserve">или </t>
    </r>
    <r>
      <rPr>
        <i/>
        <sz val="12"/>
        <color theme="1"/>
        <rFont val="Calibri"/>
        <family val="2"/>
        <charset val="204"/>
        <scheme val="minor"/>
      </rPr>
      <t>м</t>
    </r>
    <r>
      <rPr>
        <i/>
        <vertAlign val="superscript"/>
        <sz val="12"/>
        <color theme="1"/>
        <rFont val="Calibri"/>
        <family val="2"/>
        <charset val="204"/>
        <scheme val="minor"/>
      </rPr>
      <t>3</t>
    </r>
  </si>
  <si>
    <r>
      <t xml:space="preserve">Водоразбор на горячее водоснабжение,
</t>
    </r>
    <r>
      <rPr>
        <i/>
        <sz val="12"/>
        <color theme="1"/>
        <rFont val="Calibri"/>
        <family val="2"/>
        <charset val="204"/>
        <scheme val="minor"/>
      </rPr>
      <t>тонны</t>
    </r>
    <r>
      <rPr>
        <sz val="12"/>
        <color theme="1"/>
        <rFont val="Calibri"/>
        <family val="2"/>
        <charset val="204"/>
        <scheme val="minor"/>
      </rPr>
      <t xml:space="preserve"> или </t>
    </r>
    <r>
      <rPr>
        <i/>
        <sz val="12"/>
        <color theme="1"/>
        <rFont val="Calibri"/>
        <family val="2"/>
        <charset val="204"/>
        <scheme val="minor"/>
      </rPr>
      <t>м</t>
    </r>
    <r>
      <rPr>
        <i/>
        <vertAlign val="superscript"/>
        <sz val="12"/>
        <color theme="1"/>
        <rFont val="Calibri"/>
        <family val="2"/>
        <charset val="204"/>
        <scheme val="minor"/>
      </rPr>
      <t>3</t>
    </r>
  </si>
  <si>
    <t>expert_ekr@fondgkh.ru</t>
  </si>
  <si>
    <t>разработано: при участии ООО «ЦЭНЭФ-XXI» по заказу Фонда ЖКХ</t>
  </si>
  <si>
    <t>кВт × ч</t>
  </si>
  <si>
    <r>
      <t>кВт × ч / м</t>
    </r>
    <r>
      <rPr>
        <vertAlign val="superscript"/>
        <sz val="11"/>
        <color theme="1"/>
        <rFont val="Calibri"/>
        <family val="2"/>
        <charset val="204"/>
        <scheme val="minor"/>
      </rPr>
      <t>2</t>
    </r>
  </si>
  <si>
    <r>
      <t xml:space="preserve">кВт </t>
    </r>
    <r>
      <rPr>
        <sz val="11"/>
        <color theme="1"/>
        <rFont val="Calibri"/>
        <family val="2"/>
        <charset val="204"/>
      </rPr>
      <t xml:space="preserve">× </t>
    </r>
    <r>
      <rPr>
        <sz val="11"/>
        <color theme="1"/>
        <rFont val="Calibri"/>
        <family val="2"/>
        <charset val="204"/>
        <scheme val="minor"/>
      </rPr>
      <t>ч</t>
    </r>
  </si>
  <si>
    <t>ж</t>
  </si>
  <si>
    <t>экспресс-оценка потенциала экономии</t>
  </si>
  <si>
    <t>Поддержка пользователей:</t>
  </si>
  <si>
    <t>При отсутствии точных данных допускается принимать:
2920-4240 часов (без датчиков присутствия или движения);
240-554 часов (при наличии датчиков присутствия или движения)</t>
  </si>
  <si>
    <t>При отсутствии точных данных допускается принимать:
4380-8760 часов (без датчиков присутствия или движения);
240-554 часов (при наличии датчиков присутствия или движения)</t>
  </si>
  <si>
    <t>Например: магазины, офисы, парикмахерские...
Если нежилые помещения отсутствуют, можно оставить поля пустыми</t>
  </si>
  <si>
    <t>Введите общую площадь МКД. Можно определить как произведение длины, ширины корпуса и числа этажей.</t>
  </si>
  <si>
    <r>
      <t xml:space="preserve">Принимается согласно ТСН субъекта РФ или ГОСТ 30494-2011 "МКД жилые и общественные, параметры микроклимата в помещениях"
+20-22 </t>
    </r>
    <r>
      <rPr>
        <vertAlign val="superscript"/>
        <sz val="8"/>
        <color theme="1"/>
        <rFont val="Calibri"/>
        <family val="2"/>
        <charset val="204"/>
      </rPr>
      <t>˚</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t>
    </r>
    <r>
      <rPr>
        <sz val="8"/>
        <color theme="1"/>
        <rFont val="Calibri"/>
        <family val="2"/>
        <charset val="204"/>
        <scheme val="minor"/>
      </rPr>
      <t>С - допустимые значения</t>
    </r>
  </si>
  <si>
    <r>
      <t xml:space="preserve">Для "теплых" чердаков принимается равной:
+14 </t>
    </r>
    <r>
      <rPr>
        <vertAlign val="superscript"/>
        <sz val="8"/>
        <color theme="1"/>
        <rFont val="Calibri"/>
        <family val="2"/>
        <charset val="204"/>
        <scheme val="minor"/>
      </rPr>
      <t>˚</t>
    </r>
    <r>
      <rPr>
        <sz val="8"/>
        <color theme="1"/>
        <rFont val="Calibri"/>
        <family val="2"/>
        <charset val="204"/>
        <scheme val="minor"/>
      </rPr>
      <t xml:space="preserve">С (7-8 этажные МКД);
+15-16 </t>
    </r>
    <r>
      <rPr>
        <vertAlign val="superscript"/>
        <sz val="8"/>
        <color theme="1"/>
        <rFont val="Calibri"/>
        <family val="2"/>
        <charset val="204"/>
        <scheme val="minor"/>
      </rPr>
      <t>˚</t>
    </r>
    <r>
      <rPr>
        <sz val="8"/>
        <color theme="1"/>
        <rFont val="Calibri"/>
        <family val="2"/>
        <charset val="204"/>
        <scheme val="minor"/>
      </rPr>
      <t xml:space="preserve">С (9-12 этажные МКД);
+17-18 </t>
    </r>
    <r>
      <rPr>
        <vertAlign val="superscript"/>
        <sz val="8"/>
        <color theme="1"/>
        <rFont val="Calibri"/>
        <family val="2"/>
        <charset val="204"/>
        <scheme val="minor"/>
      </rPr>
      <t>˚</t>
    </r>
    <r>
      <rPr>
        <sz val="8"/>
        <color theme="1"/>
        <rFont val="Calibri"/>
        <family val="2"/>
        <charset val="204"/>
        <scheme val="minor"/>
      </rPr>
      <t>С (14-17-этажные МКД)</t>
    </r>
  </si>
  <si>
    <r>
      <t xml:space="preserve">Не менее +2 </t>
    </r>
    <r>
      <rPr>
        <vertAlign val="superscript"/>
        <sz val="8"/>
        <color theme="1"/>
        <rFont val="Calibri"/>
        <family val="2"/>
        <charset val="204"/>
        <scheme val="minor"/>
      </rPr>
      <t>˚</t>
    </r>
    <r>
      <rPr>
        <sz val="8"/>
        <color theme="1"/>
        <rFont val="Calibri"/>
        <family val="2"/>
        <charset val="204"/>
        <scheme val="minor"/>
      </rPr>
      <t>С - для неотапливаемого подвала или технического подполья;
+10-14 ˚С - для отапливаемого подвала или технического подполья</t>
    </r>
  </si>
  <si>
    <t>Ввод объемно-планировочных характеристик:</t>
  </si>
  <si>
    <t>№</t>
  </si>
  <si>
    <t>Ячейки</t>
  </si>
  <si>
    <t>Текст ошибки</t>
  </si>
  <si>
    <r>
      <t xml:space="preserve">Число этажей
(для разновысокого здания среднее по подъездам), </t>
    </r>
    <r>
      <rPr>
        <i/>
        <sz val="11"/>
        <color theme="1"/>
        <rFont val="Calibri"/>
        <family val="2"/>
        <charset val="204"/>
        <scheme val="minor"/>
      </rPr>
      <t>ед</t>
    </r>
  </si>
  <si>
    <t>проверка данных</t>
  </si>
  <si>
    <t>Если нужной серии нет в списке, выберите "нет в списке".
Если не уверены в выборе, воспользуйтесь описаниями серий на сайтах prawdom.ru, tipdoma.ru</t>
  </si>
  <si>
    <r>
      <t>руб. / м</t>
    </r>
    <r>
      <rPr>
        <vertAlign val="superscript"/>
        <sz val="11"/>
        <color theme="1"/>
        <rFont val="Calibri"/>
        <family val="2"/>
        <charset val="204"/>
        <scheme val="minor"/>
      </rPr>
      <t>2</t>
    </r>
  </si>
  <si>
    <t>Температура горячей воды в местах водоразбора, ˚C</t>
  </si>
  <si>
    <t>Требуется для определения теплозащитных характеристик МКД.
Выберите более ранний период, если МКД не соответствует требованиям, которые действовали на момент ввода в эксплуатацию.</t>
  </si>
  <si>
    <t>Рекомендуется указывать в соответствии с адресом на сайте reformagkh.ru</t>
  </si>
  <si>
    <r>
      <t>Введите значения сопротивлений теплопередаче (</t>
    </r>
    <r>
      <rPr>
        <i/>
        <sz val="11"/>
        <color theme="1"/>
        <rFont val="Calibri"/>
        <family val="2"/>
        <charset val="204"/>
        <scheme val="minor"/>
      </rPr>
      <t>м</t>
    </r>
    <r>
      <rPr>
        <i/>
        <vertAlign val="superscript"/>
        <sz val="11"/>
        <color theme="1"/>
        <rFont val="Calibri"/>
        <family val="2"/>
        <charset val="204"/>
        <scheme val="minor"/>
      </rPr>
      <t>2</t>
    </r>
    <r>
      <rPr>
        <i/>
        <sz val="11"/>
        <color theme="1"/>
        <rFont val="Calibri"/>
        <family val="2"/>
        <charset val="204"/>
      </rPr>
      <t>×˚</t>
    </r>
    <r>
      <rPr>
        <i/>
        <sz val="11"/>
        <color theme="1"/>
        <rFont val="Calibri"/>
        <family val="2"/>
        <charset val="204"/>
        <scheme val="minor"/>
      </rPr>
      <t>С/Вт</t>
    </r>
    <r>
      <rPr>
        <sz val="11"/>
        <color theme="1"/>
        <rFont val="Calibri"/>
        <family val="2"/>
        <charset val="204"/>
        <scheme val="minor"/>
      </rPr>
      <t>), по результатам энергетических обследований.
Если окна имеются одновременно как старые, так и современные - введите средневзвешенную по площади остекления величину</t>
    </r>
  </si>
  <si>
    <r>
      <t xml:space="preserve">Расчетное (максимальное) значение температуры сетевой воды в подающем трубопроводе, </t>
    </r>
    <r>
      <rPr>
        <i/>
        <sz val="11"/>
        <color theme="1"/>
        <rFont val="Calibri"/>
        <family val="2"/>
        <charset val="204"/>
      </rPr>
      <t>˚С</t>
    </r>
  </si>
  <si>
    <r>
      <t xml:space="preserve">Расчетное (максимальное) значение температуры сетевой воды в обратном трубопроводе, </t>
    </r>
    <r>
      <rPr>
        <i/>
        <sz val="11"/>
        <color theme="1"/>
        <rFont val="Calibri"/>
        <family val="2"/>
        <charset val="204"/>
      </rPr>
      <t>˚С</t>
    </r>
  </si>
  <si>
    <t>Расчетное (максимальное) значение температуры сетевой воды на входе в систему отопления, ˚С</t>
  </si>
  <si>
    <r>
      <t xml:space="preserve">Расчетное (максимальное) значение температуры сетевой воды на выходе из системы отопления, </t>
    </r>
    <r>
      <rPr>
        <i/>
        <sz val="11"/>
        <color theme="1"/>
        <rFont val="Calibri"/>
        <family val="2"/>
        <charset val="204"/>
        <scheme val="minor"/>
      </rPr>
      <t>˚С</t>
    </r>
  </si>
  <si>
    <r>
      <t xml:space="preserve">Градусо-сутки месяца, </t>
    </r>
    <r>
      <rPr>
        <i/>
        <sz val="10"/>
        <color theme="1"/>
        <rFont val="Calibri"/>
        <family val="2"/>
        <charset val="204"/>
        <scheme val="minor"/>
      </rPr>
      <t xml:space="preserve">˚С </t>
    </r>
    <r>
      <rPr>
        <i/>
        <sz val="10"/>
        <color theme="1"/>
        <rFont val="Calibri"/>
        <family val="2"/>
        <charset val="204"/>
      </rPr>
      <t xml:space="preserve">× </t>
    </r>
    <r>
      <rPr>
        <i/>
        <sz val="10"/>
        <color theme="1"/>
        <rFont val="Calibri"/>
        <family val="2"/>
        <charset val="204"/>
        <scheme val="minor"/>
      </rPr>
      <t>сут</t>
    </r>
  </si>
  <si>
    <r>
      <t>Температура наружного воздуха средняя,</t>
    </r>
    <r>
      <rPr>
        <i/>
        <vertAlign val="superscript"/>
        <sz val="10"/>
        <color theme="1"/>
        <rFont val="Calibri"/>
        <family val="2"/>
        <charset val="204"/>
        <scheme val="minor"/>
      </rPr>
      <t xml:space="preserve"> </t>
    </r>
    <r>
      <rPr>
        <i/>
        <sz val="10"/>
        <color theme="1"/>
        <rFont val="Calibri"/>
        <family val="2"/>
        <charset val="204"/>
        <scheme val="minor"/>
      </rPr>
      <t>˚С</t>
    </r>
  </si>
  <si>
    <t>Сведения о размерах расходов на оплату коммунальных ресурсов в многоквартирных домах</t>
  </si>
  <si>
    <t>Таблица 1 - Общие сведения по многоквартирному дому</t>
  </si>
  <si>
    <t>Единицы измерения</t>
  </si>
  <si>
    <t>Проект соответствует требованиям к теплозащите</t>
  </si>
  <si>
    <t>Количество подъездов (секций)</t>
  </si>
  <si>
    <t>Этажность</t>
  </si>
  <si>
    <t>Число этажей (среднее по подъездам)</t>
  </si>
  <si>
    <t>дом переменной этажности</t>
  </si>
  <si>
    <t>да / нет</t>
  </si>
  <si>
    <t>Количество квартир</t>
  </si>
  <si>
    <t>оборудованных индивидуальными приборами учета (ИПУ) горячей воды</t>
  </si>
  <si>
    <t>Число зарегистрированных жителей</t>
  </si>
  <si>
    <t>человек</t>
  </si>
  <si>
    <t>Общая площадь нежилых помещений</t>
  </si>
  <si>
    <t>кв. м</t>
  </si>
  <si>
    <t>оборудованных ПУ тепловой энергии на отопление</t>
  </si>
  <si>
    <t>оборудованных ПУ тепловой энергии на ГВС</t>
  </si>
  <si>
    <t>оборудованных ПУ электрической энергии</t>
  </si>
  <si>
    <t>имеется</t>
  </si>
  <si>
    <t>теплый</t>
  </si>
  <si>
    <t>отапливаемый</t>
  </si>
  <si>
    <t>Проведенные мероприятия по утеплению МКД</t>
  </si>
  <si>
    <t>входные двери утеплены / есть доводчики</t>
  </si>
  <si>
    <t>утеплены чердачные перекрытия / крыша</t>
  </si>
  <si>
    <t>утеплены перекрытия над подвалом / пол по грунту</t>
  </si>
  <si>
    <t>в нежилых помещениях</t>
  </si>
  <si>
    <t>Примыкающие здания</t>
  </si>
  <si>
    <t>Справа</t>
  </si>
  <si>
    <t>Слева</t>
  </si>
  <si>
    <t>Таблица 2 - Объемно-планировочные и теплотехнические показатели</t>
  </si>
  <si>
    <t>Общая площадь многоквартирного дома</t>
  </si>
  <si>
    <t>Общая площадь жилых помещений (площадь квартир)</t>
  </si>
  <si>
    <t>Длина МКД</t>
  </si>
  <si>
    <t>Ширина МКД (глубина корпуса)</t>
  </si>
  <si>
    <r>
      <t>Площадь фасадов</t>
    </r>
    <r>
      <rPr>
        <vertAlign val="superscript"/>
        <sz val="11"/>
        <rFont val="Calibri"/>
        <family val="2"/>
        <charset val="204"/>
        <scheme val="minor"/>
      </rPr>
      <t/>
    </r>
  </si>
  <si>
    <t>Площадь окон и балконных дверей в квартирах</t>
  </si>
  <si>
    <t>Площадь окон в местах общего пользования</t>
  </si>
  <si>
    <t>Площадь окон в нежилых помещениях</t>
  </si>
  <si>
    <t>Площадь входных дверей</t>
  </si>
  <si>
    <t>Материал и конструктивное исполнение окон и балконных дверей в квартирах (при строительстве)</t>
  </si>
  <si>
    <t>Материал и конструктивное исполнение окон в местах общего пользования</t>
  </si>
  <si>
    <t>Площадь совмещенной кровли (крыши, при отсутствии чердака)</t>
  </si>
  <si>
    <t>Площадь перекрытия под холодным чердаком</t>
  </si>
  <si>
    <t>Площадь перекрытия под "теплым" чердаком</t>
  </si>
  <si>
    <t>Площадь полов по грунту при отсутствии подвала или при отапливаемом подвале или площадь 1-го этажа для МКД на сваях</t>
  </si>
  <si>
    <t>Таблица 3 - Информация о сопротивлении теплопередаче ограждающих конструкций</t>
  </si>
  <si>
    <t>кв. м × ˚С / Вт</t>
  </si>
  <si>
    <t>Таблица 4 - Система отопления многоквартирного дома</t>
  </si>
  <si>
    <t>Температура внутреннего воздуха в жилых помещениях (квартирах)</t>
  </si>
  <si>
    <t>˚C</t>
  </si>
  <si>
    <t>Температура внутреннего воздуха в теплом чердаке</t>
  </si>
  <si>
    <t>Температура внутреннего воздуха в подвале или техническом подполье</t>
  </si>
  <si>
    <t>Таблица 5 - Система горячего водоснабжения многоквартирного дома</t>
  </si>
  <si>
    <t>Место измерения температуры горячей воды</t>
  </si>
  <si>
    <t>Температура горячей воды</t>
  </si>
  <si>
    <r>
      <t>Температура холодной водопроводной воды в отопительный период</t>
    </r>
    <r>
      <rPr>
        <i/>
        <vertAlign val="superscript"/>
        <sz val="11"/>
        <color theme="1"/>
        <rFont val="Calibri"/>
        <family val="2"/>
        <charset val="204"/>
        <scheme val="minor"/>
      </rPr>
      <t/>
    </r>
  </si>
  <si>
    <t>Температура холодной водопроводной воды в неотопительный (летний) период</t>
  </si>
  <si>
    <r>
      <t xml:space="preserve">Продолжительность </t>
    </r>
    <r>
      <rPr>
        <sz val="11"/>
        <color theme="1"/>
        <rFont val="Times New Roman"/>
        <family val="1"/>
        <charset val="204"/>
      </rPr>
      <t>плановых прекращений подачи горячей воды (из-за отключений системы централизованного теплоснабжения на испытания и ремонты)</t>
    </r>
  </si>
  <si>
    <t>сут.</t>
  </si>
  <si>
    <t>Остывание горячей воды в циркуляционном трубопроводе</t>
  </si>
  <si>
    <t>Характеристики системы горячего водоснабжения</t>
  </si>
  <si>
    <t>Изолированные стояки</t>
  </si>
  <si>
    <t>Наличие циркуляционного трубопровода</t>
  </si>
  <si>
    <t>Таблица 6 - Освещение мест общего пользования</t>
  </si>
  <si>
    <t>Время работы
осветительных приборов
в течение года</t>
  </si>
  <si>
    <t>Вид
осветительных приборов</t>
  </si>
  <si>
    <t>Количество
осветительных приборов</t>
  </si>
  <si>
    <t>Средняя единичная мощность
осветительного прибора</t>
  </si>
  <si>
    <t>Наличие датчиков
присутствия или движения</t>
  </si>
  <si>
    <t>Таблица 7 - Лифтовое, насосное и иное оборудование</t>
  </si>
  <si>
    <t>Количество лифтов</t>
  </si>
  <si>
    <t>новых энергоэффективных лифтов со встроенным частотно-регулируемым приводом и эффективной программой управления</t>
  </si>
  <si>
    <t>Суммарная мощность лифтов</t>
  </si>
  <si>
    <t>Время работы лифтов в течение года</t>
  </si>
  <si>
    <t>Число циркуляционных насосов в системе отопления</t>
  </si>
  <si>
    <t>энергоэффективных насосов со встроенным частотно-регулируемым приводом и системой управления электродвигателем</t>
  </si>
  <si>
    <t>Суммарная мощность циркуляционных насосов в системе отопления</t>
  </si>
  <si>
    <t>Время работы циркуляционных насосов в системе отопления в течение года</t>
  </si>
  <si>
    <t>Число циркуляционных насосов в системе горячего водоснабжения</t>
  </si>
  <si>
    <t>Суммарная мощность циркуляционных насосов в системе горячего водоснабжения</t>
  </si>
  <si>
    <t>Время работы циркуляционных насосов в системе горячего водоснабжения</t>
  </si>
  <si>
    <t>Число повысительных насосов в системе холодного водоснабжения</t>
  </si>
  <si>
    <t>Суммарная мощность повысительных насосов в системе холодного водоснабжения</t>
  </si>
  <si>
    <t>Время работы повысительных насосов в системе холодного водоснабжения в течение года</t>
  </si>
  <si>
    <t>Суммарная мощность прочего энергетического оборудования</t>
  </si>
  <si>
    <t>Время работы прочего энергетического оборудования в течение года</t>
  </si>
  <si>
    <t>Таблица 8 - Потребление коммунальных ресурсов</t>
  </si>
  <si>
    <t>Договорные или проектные тепловые нагрузки МКД</t>
  </si>
  <si>
    <t>Вентиляция</t>
  </si>
  <si>
    <t>Температурный график отпуска тепловой энергии от источника теплоснабжения (котельной или ТЭЦ)</t>
  </si>
  <si>
    <t>Расчетное (максимальное) значение температуры сетевой воды в подающем трубопроводе</t>
  </si>
  <si>
    <t>Расчетное (максимальное) значение температуры сетевой воды в обратном трубопроводе</t>
  </si>
  <si>
    <t>Расчетное (максимальное) значение температуры сетевой воды на входе в систему отопления</t>
  </si>
  <si>
    <t>Расчетное (максимальное) значение температуры сетевой воды на выходе из системы отопления</t>
  </si>
  <si>
    <t>Вид системы горячего водоснабжения</t>
  </si>
  <si>
    <t>Схема подключения к централизованной системе горячего водоснабжения</t>
  </si>
  <si>
    <t>Способ учета тепловой энергии</t>
  </si>
  <si>
    <t>Последний месяц базового периода (непрерывного периода из 12 месяцев, в котором осуществлялся расчет за коммунальные ресурсы на основании показаний коллективных (общедомовых) приборов учета, установленных на абонентских вводах в МКД)</t>
  </si>
  <si>
    <t>Дата начала отопительного периода в году соответствующему году окончания базового периода</t>
  </si>
  <si>
    <t>Дата окончания отопительного периода в году соответствующему году окончания базового периода</t>
  </si>
  <si>
    <t>Тариф на тепловую энергию за базовый период</t>
  </si>
  <si>
    <t>Тариф на электрическую энергию за базовый период</t>
  </si>
  <si>
    <t>Таблица 9 - Объем потребления коммунальных ресурсов по показаниям коллективных (общедомовых) приборов учета коммунальных ресурсов</t>
  </si>
  <si>
    <t>Базовый период</t>
  </si>
  <si>
    <t>Средняя температура наружного воздуха в дни подачи отопления</t>
  </si>
  <si>
    <t>Потребление тепловой энергии</t>
  </si>
  <si>
    <t>Расход горячей воды</t>
  </si>
  <si>
    <t>Потребление электрической энергии на общедомовые нужды</t>
  </si>
  <si>
    <t>отопление и вентиляция</t>
  </si>
  <si>
    <t>горячее водо-снабжение</t>
  </si>
  <si>
    <t>Водоразбор на горячее водо-снабжение</t>
  </si>
  <si>
    <t>куб. м</t>
  </si>
  <si>
    <t>тыс. кВт × час</t>
  </si>
  <si>
    <t>Итого:</t>
  </si>
  <si>
    <t>Таблица 10 - Мероприятия по энергосбережению и повышению энергетической эффективности</t>
  </si>
  <si>
    <t>Наименование мероприятия</t>
  </si>
  <si>
    <t>Технология</t>
  </si>
  <si>
    <t>Параметры</t>
  </si>
  <si>
    <t>Стоимость</t>
  </si>
  <si>
    <t>Таблица 11 - Уменьшение расходов на оплату коммунальных ресурсов</t>
  </si>
  <si>
    <t>Объем потребления коммунальных ресурсов до проведения капитального ремонта общего имущества в многоквартирном доме</t>
  </si>
  <si>
    <t>Размер расходов за год на оплату коммунальных ресурсов до проведения капитального ремонта общего имущества в многоквартирном доме</t>
  </si>
  <si>
    <t>тепловая энергия</t>
  </si>
  <si>
    <t>электрическая энергия</t>
  </si>
  <si>
    <t>Расчетный годовой объем потребления коммунальных ресурсов после проведения капитального ремонта общего имущества в многоквартирном доме</t>
  </si>
  <si>
    <t>Расчетный размер расходов за год на оплату коммунальных ресурсов после проведения капитального ремонта общего имущества в многоквартирном доме</t>
  </si>
  <si>
    <t>Показатель экономии расходов на оплату коммунальных ресурсов</t>
  </si>
  <si>
    <t>Размер годовой экономии расходов на оплату коммунальных ресурсов</t>
  </si>
  <si>
    <t>Размер финансовой поддержки на возмещение части расходов на оплату услуг и (или) работ по энергосбережению</t>
  </si>
  <si>
    <t>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/уполномоченное лицо</t>
  </si>
  <si>
    <t>подпись</t>
  </si>
  <si>
    <t>расшифровка подписи</t>
  </si>
  <si>
    <t>Дата выдачи кредита</t>
  </si>
  <si>
    <t>Число месяца, в котором производится погашение</t>
  </si>
  <si>
    <t>частота изменения взноса</t>
  </si>
  <si>
    <t>каждый месяц</t>
  </si>
  <si>
    <t>раз в квартал</t>
  </si>
  <si>
    <t>раз в полгода</t>
  </si>
  <si>
    <t>раз в год</t>
  </si>
  <si>
    <t>Коэффициент собираемости взносов</t>
  </si>
  <si>
    <t>Коэффициент финансовой устойчивости</t>
  </si>
  <si>
    <t>Период</t>
  </si>
  <si>
    <t>Погашение кредита</t>
  </si>
  <si>
    <t>Минимальный размер взноса на капитальный ремонт</t>
  </si>
  <si>
    <t>Дата</t>
  </si>
  <si>
    <t>Ежемесячный платеж</t>
  </si>
  <si>
    <t>Уплата процентов</t>
  </si>
  <si>
    <t>Без учета финансовой поддержки
Фонда ЖКХ</t>
  </si>
  <si>
    <t>С учетом финансовой поддержки
Фонда ЖКХ</t>
  </si>
  <si>
    <t>Экономически обоснованный</t>
  </si>
  <si>
    <t>Ступенчато-усредненный</t>
  </si>
  <si>
    <t>Тарифы на коммунальные ресурсы</t>
  </si>
  <si>
    <t>Расходы на выбранные мероприятия по повышению энергоэффективности</t>
  </si>
  <si>
    <t>Дополнительные расходы на капитальный ремонт общего имущества</t>
  </si>
  <si>
    <t>Расходы на капитальный ремонт общего имущества: ИТОГ</t>
  </si>
  <si>
    <r>
      <t>Необходимый размер кредита,</t>
    </r>
    <r>
      <rPr>
        <i/>
        <sz val="10"/>
        <rFont val="Calibri"/>
        <family val="2"/>
        <charset val="204"/>
        <scheme val="minor"/>
      </rPr>
      <t xml:space="preserve"> руб.</t>
    </r>
  </si>
  <si>
    <r>
      <t xml:space="preserve">Процентная ставка по кредиту, </t>
    </r>
    <r>
      <rPr>
        <i/>
        <sz val="10"/>
        <rFont val="Calibri"/>
        <family val="2"/>
        <charset val="204"/>
        <scheme val="minor"/>
      </rPr>
      <t>% годовых</t>
    </r>
  </si>
  <si>
    <r>
      <t xml:space="preserve">Ключевая процентная ставка ЦБ РФ, </t>
    </r>
    <r>
      <rPr>
        <i/>
        <sz val="10"/>
        <rFont val="Calibri"/>
        <family val="2"/>
        <charset val="204"/>
        <scheme val="minor"/>
      </rPr>
      <t>% годовых</t>
    </r>
  </si>
  <si>
    <r>
      <t xml:space="preserve">Срок кредита, </t>
    </r>
    <r>
      <rPr>
        <i/>
        <sz val="10"/>
        <rFont val="Calibri"/>
        <family val="2"/>
        <charset val="204"/>
        <scheme val="minor"/>
      </rPr>
      <t>мес.</t>
    </r>
  </si>
  <si>
    <r>
      <t xml:space="preserve">Льготный период погашения (только уплата процентов), </t>
    </r>
    <r>
      <rPr>
        <i/>
        <sz val="10"/>
        <rFont val="Calibri"/>
        <family val="2"/>
        <charset val="204"/>
        <scheme val="minor"/>
      </rPr>
      <t>мес.</t>
    </r>
  </si>
  <si>
    <r>
      <t xml:space="preserve">Задержка поступления поддержки на возмещение процентов, </t>
    </r>
    <r>
      <rPr>
        <i/>
        <sz val="10"/>
        <rFont val="Calibri"/>
        <family val="2"/>
        <charset val="204"/>
        <scheme val="minor"/>
      </rPr>
      <t>мес.</t>
    </r>
  </si>
  <si>
    <r>
      <t xml:space="preserve">Частота изменения (ступенчатость) взноса на капремонт, </t>
    </r>
    <r>
      <rPr>
        <i/>
        <sz val="10"/>
        <rFont val="Calibri"/>
        <family val="2"/>
        <charset val="204"/>
        <scheme val="minor"/>
      </rPr>
      <t>мес.</t>
    </r>
  </si>
  <si>
    <r>
      <t xml:space="preserve">Потребность в привлечении кредита, </t>
    </r>
    <r>
      <rPr>
        <i/>
        <sz val="10"/>
        <rFont val="Calibri"/>
        <family val="2"/>
        <charset val="204"/>
        <scheme val="minor"/>
      </rPr>
      <t>руб.</t>
    </r>
  </si>
  <si>
    <r>
      <t xml:space="preserve">Размер ежемесячного взноса на капитальный ремонт, </t>
    </r>
    <r>
      <rPr>
        <i/>
        <sz val="10"/>
        <rFont val="Calibri"/>
        <family val="2"/>
        <charset val="204"/>
        <scheme val="minor"/>
      </rPr>
      <t>руб./м</t>
    </r>
    <r>
      <rPr>
        <i/>
        <vertAlign val="superscript"/>
        <sz val="10"/>
        <rFont val="Calibri"/>
        <family val="2"/>
        <charset val="204"/>
        <scheme val="minor"/>
      </rPr>
      <t>2</t>
    </r>
  </si>
  <si>
    <r>
      <t>Средний уровень собираемости взносов за последний год,</t>
    </r>
    <r>
      <rPr>
        <i/>
        <sz val="10"/>
        <rFont val="Calibri"/>
        <family val="2"/>
        <charset val="204"/>
        <scheme val="minor"/>
      </rPr>
      <t xml:space="preserve"> %</t>
    </r>
  </si>
  <si>
    <r>
      <t xml:space="preserve">Общая площадь помещений жилых и нежилых, </t>
    </r>
    <r>
      <rPr>
        <i/>
        <sz val="10"/>
        <rFont val="Calibri"/>
        <family val="2"/>
        <charset val="204"/>
        <scheme val="minor"/>
      </rPr>
      <t>м</t>
    </r>
    <r>
      <rPr>
        <i/>
        <vertAlign val="superscript"/>
        <sz val="10"/>
        <rFont val="Calibri"/>
        <family val="2"/>
        <charset val="204"/>
        <scheme val="minor"/>
      </rPr>
      <t>2</t>
    </r>
    <r>
      <rPr>
        <sz val="10"/>
        <rFont val="Calibri"/>
        <family val="2"/>
        <charset val="204"/>
        <scheme val="minor"/>
      </rPr>
      <t xml:space="preserve">
</t>
    </r>
    <r>
      <rPr>
        <i/>
        <sz val="10"/>
        <rFont val="Calibri"/>
        <family val="2"/>
        <charset val="204"/>
        <scheme val="minor"/>
      </rPr>
      <t>(помещения по которым начисляется взнос на капитальный ремонт)</t>
    </r>
  </si>
  <si>
    <t>Взносы на капитальный ремонт</t>
  </si>
  <si>
    <t>Стоимость работ по капитальному ремонту</t>
  </si>
  <si>
    <t>Экономия энергетических ресурсов</t>
  </si>
  <si>
    <r>
      <t>Прирост потребления электроэнергии за счет установки нового оборудования,</t>
    </r>
    <r>
      <rPr>
        <i/>
        <sz val="10"/>
        <rFont val="Calibri"/>
        <family val="2"/>
        <charset val="204"/>
        <scheme val="minor"/>
      </rPr>
      <t xml:space="preserve"> кВт-ч/год</t>
    </r>
  </si>
  <si>
    <r>
      <t xml:space="preserve">Чистый прирост эксплуатационных затрат, </t>
    </r>
    <r>
      <rPr>
        <i/>
        <sz val="10"/>
        <rFont val="Calibri"/>
        <family val="2"/>
        <charset val="204"/>
        <scheme val="minor"/>
      </rPr>
      <t>руб./год</t>
    </r>
  </si>
  <si>
    <t>Факт
до капитального ремонта</t>
  </si>
  <si>
    <t>Прогноз
после капитального ремонта</t>
  </si>
  <si>
    <r>
      <t xml:space="preserve">Размер годовой экономии ресурсов в стоимостном выражении, </t>
    </r>
    <r>
      <rPr>
        <i/>
        <sz val="10"/>
        <rFont val="Calibri"/>
        <family val="2"/>
        <charset val="204"/>
        <scheme val="minor"/>
      </rPr>
      <t>руб./год</t>
    </r>
  </si>
  <si>
    <r>
      <t xml:space="preserve">Прогнозный показатель экономии, </t>
    </r>
    <r>
      <rPr>
        <i/>
        <sz val="10"/>
        <rFont val="Calibri"/>
        <family val="2"/>
        <charset val="204"/>
        <scheme val="minor"/>
      </rPr>
      <t>%</t>
    </r>
  </si>
  <si>
    <r>
      <t xml:space="preserve">Общая, </t>
    </r>
    <r>
      <rPr>
        <i/>
        <sz val="10"/>
        <rFont val="Calibri"/>
        <family val="2"/>
        <charset val="204"/>
        <scheme val="minor"/>
      </rPr>
      <t>руб.</t>
    </r>
  </si>
  <si>
    <r>
      <t>Удельная
на площадь помещений (жилых и нежилых),</t>
    </r>
    <r>
      <rPr>
        <i/>
        <sz val="10"/>
        <rFont val="Calibri"/>
        <family val="2"/>
        <charset val="204"/>
        <scheme val="minor"/>
      </rPr>
      <t xml:space="preserve"> руб./м</t>
    </r>
    <r>
      <rPr>
        <i/>
        <vertAlign val="superscript"/>
        <sz val="10"/>
        <rFont val="Calibri"/>
        <family val="2"/>
        <charset val="204"/>
        <scheme val="minor"/>
      </rPr>
      <t>2</t>
    </r>
  </si>
  <si>
    <r>
      <t xml:space="preserve">Годовые расходы на оплату энергетических ресурсов, </t>
    </r>
    <r>
      <rPr>
        <i/>
        <sz val="10"/>
        <rFont val="Calibri"/>
        <family val="2"/>
        <charset val="204"/>
        <scheme val="minor"/>
      </rPr>
      <t>руб./год</t>
    </r>
  </si>
  <si>
    <r>
      <t xml:space="preserve">Ежегодный объем поступления взносов на капитальный ремонт, </t>
    </r>
    <r>
      <rPr>
        <i/>
        <sz val="10"/>
        <rFont val="Calibri"/>
        <family val="2"/>
        <charset val="204"/>
        <scheme val="minor"/>
      </rPr>
      <t>руб./год</t>
    </r>
  </si>
  <si>
    <r>
      <t xml:space="preserve">Текущий остаток средств на счёте, </t>
    </r>
    <r>
      <rPr>
        <i/>
        <sz val="10"/>
        <rFont val="Calibri"/>
        <family val="2"/>
        <charset val="204"/>
        <scheme val="minor"/>
      </rPr>
      <t>руб.</t>
    </r>
  </si>
  <si>
    <r>
      <t xml:space="preserve">Теплоэнергия, </t>
    </r>
    <r>
      <rPr>
        <i/>
        <sz val="10"/>
        <rFont val="Calibri"/>
        <family val="2"/>
        <charset val="204"/>
        <scheme val="minor"/>
      </rPr>
      <t>руб./Гкал</t>
    </r>
  </si>
  <si>
    <r>
      <t xml:space="preserve">Электроэнергия, </t>
    </r>
    <r>
      <rPr>
        <i/>
        <sz val="10"/>
        <rFont val="Calibri"/>
        <family val="2"/>
        <charset val="204"/>
        <scheme val="minor"/>
      </rPr>
      <t>руб./кВт-ч</t>
    </r>
  </si>
  <si>
    <r>
      <t>Дополнительная экономия электроэнергии в квартирах за счет устранения необходимости использования электрообогревателей</t>
    </r>
    <r>
      <rPr>
        <i/>
        <sz val="10"/>
        <rFont val="Calibri"/>
        <family val="2"/>
        <charset val="204"/>
        <scheme val="minor"/>
      </rPr>
      <t xml:space="preserve">
(для мероприятия "Замена окон в квартирах"),</t>
    </r>
    <r>
      <rPr>
        <sz val="10"/>
        <rFont val="Calibri"/>
        <family val="2"/>
        <charset val="204"/>
        <scheme val="minor"/>
      </rPr>
      <t xml:space="preserve"> </t>
    </r>
    <r>
      <rPr>
        <i/>
        <sz val="10"/>
        <rFont val="Calibri"/>
        <family val="2"/>
        <charset val="204"/>
        <scheme val="minor"/>
      </rPr>
      <t>кВт-ч/год</t>
    </r>
  </si>
  <si>
    <t>Форма № 4
Приложение 3 заявке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t>
  </si>
  <si>
    <t>Циркуляци-онный</t>
  </si>
  <si>
    <t>Работа лифтового оборудова-ния</t>
  </si>
  <si>
    <t>Работа насосного оборудова-ния</t>
  </si>
  <si>
    <t>Работа прочего оборудова-ния</t>
  </si>
  <si>
    <t>Площадь перекрытий над неотапливаемым подвалом (техническим подпольем)</t>
  </si>
  <si>
    <r>
      <t xml:space="preserve">Площадь перекрытий над неотапливаемым подвалом (техническим подпольем), </t>
    </r>
    <r>
      <rPr>
        <i/>
        <sz val="11"/>
        <rFont val="Calibri"/>
        <family val="2"/>
        <charset val="204"/>
        <scheme val="minor"/>
      </rPr>
      <t>м</t>
    </r>
    <r>
      <rPr>
        <i/>
        <vertAlign val="superscript"/>
        <sz val="11"/>
        <rFont val="Calibri"/>
        <family val="2"/>
        <charset val="204"/>
        <scheme val="minor"/>
      </rPr>
      <t xml:space="preserve">2 </t>
    </r>
  </si>
  <si>
    <r>
      <t xml:space="preserve">Простой cрок окупаемости пакета мероприятий, </t>
    </r>
    <r>
      <rPr>
        <i/>
        <sz val="10"/>
        <rFont val="Calibri"/>
        <family val="2"/>
        <charset val="204"/>
        <scheme val="minor"/>
      </rPr>
      <t>лет</t>
    </r>
  </si>
  <si>
    <t>Гкал / час</t>
  </si>
  <si>
    <t>руб. / Гкал</t>
  </si>
  <si>
    <t>руб. / кВт × час</t>
  </si>
  <si>
    <t>Выберите из предложенных вариантов. Раздельный переплет - это когда, чтобы открыть окно, следует отворить две створки по очереди</t>
  </si>
  <si>
    <r>
      <t xml:space="preserve">Справочно: </t>
    </r>
    <r>
      <rPr>
        <sz val="10"/>
        <rFont val="Calibri"/>
        <family val="2"/>
        <charset val="204"/>
        <scheme val="minor"/>
      </rPr>
      <t>чтобы претендовать на финансовую поддержку в размере:</t>
    </r>
  </si>
  <si>
    <t>Текущий размер взноса</t>
  </si>
  <si>
    <t>Проценты, подлежащие возмещению Фондом ЖКХ</t>
  </si>
  <si>
    <t>Проценты, уплачиваемые собственниками (не возмещаются)</t>
  </si>
  <si>
    <t>за счёт проведения капитального ремонта
стоимостью не менее, чем:</t>
  </si>
  <si>
    <t>Остаток долга
на конец периода</t>
  </si>
  <si>
    <t>Баланс остатков после оплаты кредита за счёт усредненного взноса</t>
  </si>
  <si>
    <t>Досрочное сверхпогашение долга не за взнос</t>
  </si>
  <si>
    <t>Возврат долга по гафику</t>
  </si>
  <si>
    <t>Размер финансовой поддержки за счет средств Фонда ЖКХ*</t>
  </si>
  <si>
    <r>
      <t xml:space="preserve">Максимально возможный размер кредита при сохранении
текущего размера взноса на капремонт, </t>
    </r>
    <r>
      <rPr>
        <i/>
        <sz val="10"/>
        <rFont val="Calibri"/>
        <family val="2"/>
        <charset val="204"/>
        <scheme val="minor"/>
      </rPr>
      <t>руб.</t>
    </r>
  </si>
  <si>
    <t>имя</t>
  </si>
  <si>
    <t>номер</t>
  </si>
  <si>
    <t>техн</t>
  </si>
  <si>
    <t>парам</t>
  </si>
  <si>
    <t>стоим</t>
  </si>
  <si>
    <t>Герметизация межпанельных соединений фасада</t>
  </si>
  <si>
    <t>Устройство «теплого» чердака</t>
  </si>
  <si>
    <t>Ремонт (замена) трубопроводов внутридомовой системы отопления в сочетании с тепловой изоляцией</t>
  </si>
  <si>
    <t>Ремонт трубопроводов внутридомовой системы ГВС в сочетании с тепловой изоляцией</t>
  </si>
  <si>
    <t>Установка ЧРП на существующее насосное оборудование: отопления и/или ГВС и/или ХВС</t>
  </si>
  <si>
    <t>Замена насосного оборудования на ЭЭ</t>
  </si>
  <si>
    <t>Установка УКРМ насосного оборудования</t>
  </si>
  <si>
    <t>Установка узлов управления и регулирования потребления ТЭ</t>
  </si>
  <si>
    <t>Модернизация ИТП с установкой теплообменника ГВС и установкой аппаратуры управления ГВС</t>
  </si>
  <si>
    <t>Ремонт лифтового оборудования с установкой ЧРП и эффективной программой управления</t>
  </si>
  <si>
    <t>Замена существующего лифтового оборудования на новое со встроенным ЧРП и эффективной программой управления</t>
  </si>
  <si>
    <t>Установка УКРМ лифтового оборудования</t>
  </si>
  <si>
    <t>Замена светильников в МОП на энергоэффективные осветительные приборы</t>
  </si>
  <si>
    <t>Установка систем автоматического контроля и регулирования освещения в МОП</t>
  </si>
  <si>
    <t>Матрица мероприятий для формы заявки</t>
  </si>
  <si>
    <t>Всего, руб.</t>
  </si>
  <si>
    <t>следует получить показатель экономии:</t>
  </si>
  <si>
    <t>Если серия МКД есть в списке ячейки 6, то можно пропустить ячейки с 27 по 57, и переходите к вводу информации об инженерных системах с ячейки 58.</t>
  </si>
  <si>
    <t>на уплату процентов по кредиту, руб.</t>
  </si>
  <si>
    <r>
      <t xml:space="preserve">Снижение выброса парниковых газов, </t>
    </r>
    <r>
      <rPr>
        <i/>
        <sz val="10"/>
        <rFont val="Calibri"/>
        <family val="2"/>
        <charset val="204"/>
        <scheme val="minor"/>
      </rPr>
      <t>тонн в год</t>
    </r>
  </si>
  <si>
    <t>Прогнозируемый класс энергоэффективности МКД после ремонта</t>
  </si>
  <si>
    <r>
      <t>A</t>
    </r>
    <r>
      <rPr>
        <b/>
        <vertAlign val="superscript"/>
        <sz val="18"/>
        <color theme="0"/>
        <rFont val="Calibri"/>
        <family val="2"/>
        <charset val="204"/>
        <scheme val="minor"/>
      </rPr>
      <t>++</t>
    </r>
  </si>
  <si>
    <r>
      <t>A</t>
    </r>
    <r>
      <rPr>
        <b/>
        <vertAlign val="superscript"/>
        <sz val="18"/>
        <color theme="0"/>
        <rFont val="Calibri"/>
        <family val="2"/>
        <charset val="204"/>
        <scheme val="minor"/>
      </rPr>
      <t>+</t>
    </r>
  </si>
  <si>
    <t>предупреждения</t>
  </si>
  <si>
    <t>к расчету финансовой поддержки...</t>
  </si>
  <si>
    <t>Прогнозируемый класс энергоэффективности
после проведения мероприятий*</t>
  </si>
  <si>
    <t>* согласно приказу Минстроя от 6 июня 2016 г. № 399/пр</t>
  </si>
  <si>
    <t>* - в соответствии с постановлением Правительства РФ от 17.01.2017 г. № 18</t>
  </si>
  <si>
    <r>
      <t xml:space="preserve">экспресс-оценка </t>
    </r>
    <r>
      <rPr>
        <sz val="11"/>
        <color theme="0" tint="-0.499984740745262"/>
        <rFont val="Calibri"/>
        <family val="2"/>
        <charset val="204"/>
        <scheme val="minor"/>
      </rPr>
      <t>не является прогнозным показателем экономии (П</t>
    </r>
    <r>
      <rPr>
        <vertAlign val="subscript"/>
        <sz val="11"/>
        <color theme="0" tint="-0.499984740745262"/>
        <rFont val="Calibri"/>
        <family val="2"/>
        <charset val="204"/>
        <scheme val="minor"/>
      </rPr>
      <t>э</t>
    </r>
    <r>
      <rPr>
        <sz val="11"/>
        <color theme="0" tint="-0.499984740745262"/>
        <rFont val="Calibri"/>
        <family val="2"/>
        <charset val="204"/>
        <scheme val="minor"/>
      </rPr>
      <t>)!</t>
    </r>
  </si>
  <si>
    <r>
      <t xml:space="preserve">экспресс-оценка
</t>
    </r>
    <r>
      <rPr>
        <sz val="11"/>
        <color theme="0" tint="-0.499984740745262"/>
        <rFont val="Calibri"/>
        <family val="2"/>
        <charset val="204"/>
        <scheme val="minor"/>
      </rPr>
      <t>не является прогнозным показателем экономии (П</t>
    </r>
    <r>
      <rPr>
        <vertAlign val="subscript"/>
        <sz val="11"/>
        <color theme="0" tint="-0.499984740745262"/>
        <rFont val="Calibri"/>
        <family val="2"/>
        <charset val="204"/>
        <scheme val="minor"/>
      </rPr>
      <t>э</t>
    </r>
    <r>
      <rPr>
        <sz val="11"/>
        <color theme="0" tint="-0.499984740745262"/>
        <rFont val="Calibri"/>
        <family val="2"/>
        <charset val="204"/>
        <scheme val="minor"/>
      </rPr>
      <t>)!</t>
    </r>
  </si>
  <si>
    <r>
      <t xml:space="preserve"> Продолжительность,</t>
    </r>
    <r>
      <rPr>
        <i/>
        <sz val="11"/>
        <color theme="1"/>
        <rFont val="Calibri"/>
        <family val="2"/>
        <charset val="204"/>
        <scheme val="minor"/>
      </rPr>
      <t xml:space="preserve"> сут</t>
    </r>
  </si>
  <si>
    <t>Плановые прекращения подачи горячей воды</t>
  </si>
  <si>
    <r>
      <t xml:space="preserve">Месяц, когда происходит </t>
    </r>
    <r>
      <rPr>
        <sz val="11"/>
        <color theme="1"/>
        <rFont val="Times New Roman"/>
        <family val="1"/>
        <charset val="204"/>
      </rPr>
      <t xml:space="preserve">плановое прекращение подачи горячей воды </t>
    </r>
  </si>
  <si>
    <t>половины</t>
  </si>
  <si>
    <t>Данные по тарифам на коммунальные ресурсы в базовом году</t>
  </si>
  <si>
    <t>Пожалуйста, выберите…</t>
  </si>
  <si>
    <r>
      <t xml:space="preserve">Расход отопления на ГСОП
</t>
    </r>
    <r>
      <rPr>
        <i/>
        <sz val="10"/>
        <color theme="1"/>
        <rFont val="Calibri"/>
        <family val="2"/>
        <charset val="204"/>
        <scheme val="minor"/>
      </rPr>
      <t>Гкал / ˚С × сут</t>
    </r>
  </si>
  <si>
    <t>Температура внутреннего воздуха в жилых помещениях (квартирах), ˚С</t>
  </si>
  <si>
    <t>Принимается согласно ТСН субъекта РФ или ГОСТ 30494-2011 "МКД жилые и общественные, параметры микроклимата в помещениях"
+20-22 ˚С - оптимальные значения;
+18-24 ˚С - допустимые значения</t>
  </si>
  <si>
    <t>Температура внутреннего воздуха в теплом чердаке
(при наличии), ˚С</t>
  </si>
  <si>
    <t>Для "теплых" чердаков принимается равной:
+14 ˚С (7-8 этажные МКД);
+15-16 ˚С (9-12 этажные МКД);
+17-18 ˚С (14-17-этажные МКД)</t>
  </si>
  <si>
    <t>Температура внутреннего воздуха в подвале или
техническом подполье (при наличии), ˚С</t>
  </si>
  <si>
    <t>Не менее +2 ˚С - для неотапливаемого подвала или технического подполья;
+10-14 ˚С - для отапливаемого подвала или технического подполья</t>
  </si>
  <si>
    <t>Можно ввести или температуру горячей воды у потребителей (при водоразборе), или температуру, до которой нагрета горячая вода. (выберите свой вариант).
Это имеет большое значение, если отдельный учет потребления теплоэнергии на нужды ГВС не ведется!</t>
  </si>
  <si>
    <t>Температура холодной водопроводной воды в отопительный период, ˚С</t>
  </si>
  <si>
    <t>При отсутствии точных данных, допускается принимать равной +5 ˚С</t>
  </si>
  <si>
    <t>Температура холодной водопроводной воды в неотопительный (летний) период, ˚С</t>
  </si>
  <si>
    <t>При отсутствии точных данных, допускается принимать равной +15 ˚С</t>
  </si>
  <si>
    <t>Остывание горячей воды в циркуляционном трубопроводе (при его наличии), ˚С</t>
  </si>
  <si>
    <t>Среднее значение составляет от 8 до 10 ˚С. По возможности уточните значение.
Это имеет большое значение, если отдельный учет потребления теплоэнергии на нужды ГВС не ведется!</t>
  </si>
  <si>
    <t>Время работы лифтов в течение года, час</t>
  </si>
  <si>
    <t>Время  работы насосов в течение года, час</t>
  </si>
  <si>
    <t>Время работы насосов в течение года, час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</si>
  <si>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 продолжительность перерыва в днях) × 24</t>
  </si>
  <si>
    <t>внутреннее</t>
  </si>
  <si>
    <t>уличные (ДРЛ)</t>
  </si>
  <si>
    <t>* - заполнение блока необязательно</t>
  </si>
  <si>
    <r>
      <t xml:space="preserve">Расчетные (нормативные) значения температур внутреннего воздуха
</t>
    </r>
    <r>
      <rPr>
        <sz val="11"/>
        <color theme="1"/>
        <rFont val="Calibri"/>
        <family val="2"/>
        <charset val="204"/>
        <scheme val="minor"/>
      </rPr>
      <t>Укажите температуры, если известны точные значения. Можно не заполнять, если таких данных нет*</t>
    </r>
  </si>
  <si>
    <r>
      <t>Расчетные (нормативные) значения температур горячей и холодной воды</t>
    </r>
    <r>
      <rPr>
        <sz val="11"/>
        <color theme="1"/>
        <rFont val="Calibri"/>
        <family val="2"/>
        <charset val="204"/>
        <scheme val="minor"/>
      </rPr>
      <t xml:space="preserve">
Укажите, если известны точные значения. Можно не заполнять, если таких данных нет*</t>
    </r>
  </si>
  <si>
    <t>По умолчанию +5˚С.</t>
  </si>
  <si>
    <t>По умолчанию +15˚С.</t>
  </si>
  <si>
    <t>По умолчанию 0,9.
Для курортов принимается равным 1,25</t>
  </si>
  <si>
    <r>
      <t>По умолчанию +8</t>
    </r>
    <r>
      <rPr>
        <vertAlign val="superscript"/>
        <sz val="9"/>
        <color theme="1"/>
        <rFont val="Calibri"/>
        <family val="2"/>
        <charset val="204"/>
        <scheme val="minor"/>
      </rPr>
      <t>˚</t>
    </r>
    <r>
      <rPr>
        <sz val="9"/>
        <color theme="1"/>
        <rFont val="Calibri"/>
        <family val="2"/>
        <charset val="204"/>
        <scheme val="minor"/>
      </rPr>
      <t>С.</t>
    </r>
    <r>
      <rPr>
        <sz val="2"/>
        <color theme="1"/>
        <rFont val="Calibri"/>
        <family val="2"/>
        <charset val="204"/>
        <scheme val="minor"/>
      </rPr>
      <t xml:space="preserve">
</t>
    </r>
    <r>
      <rPr>
        <b/>
        <sz val="9"/>
        <color rgb="FF002060"/>
        <rFont val="Calibri"/>
        <family val="2"/>
        <charset val="204"/>
        <scheme val="minor"/>
      </rPr>
      <t>Это имеет большое значение, если отдельный учет потребления теплоэнергии на нужды ГВС не ведется!</t>
    </r>
  </si>
  <si>
    <r>
      <t>Можно уточнить температуру горячей воды у потребителей (при водоразборе), или температуру, до которой нагрета горячая вода (выберите свой вариант). По умолчанию +60˚С.</t>
    </r>
    <r>
      <rPr>
        <sz val="2"/>
        <color theme="1"/>
        <rFont val="Calibri"/>
        <family val="2"/>
        <charset val="204"/>
        <scheme val="minor"/>
      </rPr>
      <t xml:space="preserve">
</t>
    </r>
    <r>
      <rPr>
        <b/>
        <sz val="9"/>
        <color rgb="FF002060"/>
        <rFont val="Calibri"/>
        <family val="2"/>
        <charset val="204"/>
        <scheme val="minor"/>
      </rPr>
      <t>Это имеет большое значение, если отдельный учет потребления теплоэнергии на нужды ГВС не ведется!</t>
    </r>
  </si>
  <si>
    <t>Коэффициент, изменения среднего расхода воды на горячее водоснабжение в неотопительный (летний) период по отношению к отопительному периоду</t>
  </si>
  <si>
    <r>
      <t xml:space="preserve">Температура холодной водопроводной воды
в отопительный период, </t>
    </r>
    <r>
      <rPr>
        <i/>
        <vertAlign val="superscript"/>
        <sz val="11"/>
        <color theme="1"/>
        <rFont val="Calibri"/>
        <family val="2"/>
        <charset val="204"/>
        <scheme val="minor"/>
      </rPr>
      <t>˚</t>
    </r>
    <r>
      <rPr>
        <i/>
        <sz val="11"/>
        <color theme="1"/>
        <rFont val="Calibri"/>
        <family val="2"/>
        <charset val="204"/>
        <scheme val="minor"/>
      </rPr>
      <t>С</t>
    </r>
  </si>
  <si>
    <r>
      <t xml:space="preserve">Температура холодной водопроводной воды
в неотопительный (летний) период, </t>
    </r>
    <r>
      <rPr>
        <i/>
        <vertAlign val="superscript"/>
        <sz val="11"/>
        <color theme="1"/>
        <rFont val="Calibri"/>
        <family val="2"/>
        <charset val="204"/>
        <scheme val="minor"/>
      </rPr>
      <t>˚</t>
    </r>
    <r>
      <rPr>
        <i/>
        <sz val="11"/>
        <color theme="1"/>
        <rFont val="Calibri"/>
        <family val="2"/>
        <charset val="204"/>
        <scheme val="minor"/>
      </rPr>
      <t>С</t>
    </r>
  </si>
  <si>
    <r>
      <t xml:space="preserve">Время работы осветительных приборов в течение года, </t>
    </r>
    <r>
      <rPr>
        <b/>
        <i/>
        <sz val="11"/>
        <color theme="1"/>
        <rFont val="Calibri"/>
        <family val="2"/>
        <charset val="204"/>
        <scheme val="minor"/>
      </rPr>
      <t xml:space="preserve">час
</t>
    </r>
    <r>
      <rPr>
        <sz val="11"/>
        <color theme="1"/>
        <rFont val="Calibri"/>
        <family val="2"/>
        <charset val="204"/>
        <scheme val="minor"/>
      </rPr>
      <t>Заполнять необязательно, укажите, если имеете точные значения</t>
    </r>
  </si>
  <si>
    <t>поля для ввода данных</t>
  </si>
  <si>
    <t>поля необязательные для заполнения</t>
  </si>
  <si>
    <t>2920 часов - без датчиков присутствия или движения;
240 часов - при наличии датчиков присутствия или движения</t>
  </si>
  <si>
    <t>4380 часов - без датчиков присутствия или движения;
240 часов - при наличии датчиков присутствия или движения</t>
  </si>
  <si>
    <t>4380 часов - без датчиков присутствия или движения;
400 часов - при наличии датчиков присутствия или движения</t>
  </si>
  <si>
    <t>300 часов</t>
  </si>
  <si>
    <t>100 часов</t>
  </si>
  <si>
    <t>2920 часов - без датчиков присутствия или движения;
400 часов - при наличии датчиков присутствия или движения</t>
  </si>
  <si>
    <t>натриевые газоразрядные лампы (ДНаТ)</t>
  </si>
  <si>
    <t>дуговые ртутные люминесцентные лампы (ДРЛ)</t>
  </si>
  <si>
    <t>По умолчанию 2200 часов (без эффективного привода)</t>
  </si>
  <si>
    <r>
      <t xml:space="preserve">Время работы лифтов в течение года, </t>
    </r>
    <r>
      <rPr>
        <i/>
        <sz val="11"/>
        <color theme="1"/>
        <rFont val="Calibri"/>
        <family val="2"/>
        <charset val="204"/>
        <scheme val="minor"/>
      </rPr>
      <t xml:space="preserve">час
</t>
    </r>
    <r>
      <rPr>
        <i/>
        <sz val="9"/>
        <color theme="1"/>
        <rFont val="Calibri"/>
        <family val="2"/>
        <charset val="204"/>
        <scheme val="minor"/>
      </rPr>
      <t>заполнять необязательно</t>
    </r>
  </si>
  <si>
    <r>
      <t xml:space="preserve">Время  работы насосов в течение года, </t>
    </r>
    <r>
      <rPr>
        <i/>
        <sz val="11"/>
        <color theme="1"/>
        <rFont val="Calibri"/>
        <family val="2"/>
        <charset val="204"/>
        <scheme val="minor"/>
      </rPr>
      <t xml:space="preserve">час
</t>
    </r>
    <r>
      <rPr>
        <i/>
        <sz val="9"/>
        <color theme="1"/>
        <rFont val="Calibri"/>
        <family val="2"/>
        <charset val="204"/>
        <scheme val="minor"/>
      </rPr>
      <t>заполнять необязательно</t>
    </r>
  </si>
  <si>
    <r>
      <t xml:space="preserve">Время работы насосов в течение года, </t>
    </r>
    <r>
      <rPr>
        <i/>
        <sz val="11"/>
        <color theme="1"/>
        <rFont val="Calibri"/>
        <family val="2"/>
        <charset val="204"/>
        <scheme val="minor"/>
      </rPr>
      <t xml:space="preserve">час
</t>
    </r>
    <r>
      <rPr>
        <i/>
        <sz val="9"/>
        <color theme="1"/>
        <rFont val="Calibri"/>
        <family val="2"/>
        <charset val="204"/>
        <scheme val="minor"/>
      </rPr>
      <t>заполнять необязательно</t>
    </r>
  </si>
  <si>
    <t>По умолчанию 7000 часов</t>
  </si>
  <si>
    <t>Месяцы:</t>
  </si>
  <si>
    <r>
      <t xml:space="preserve">Горячее водоснабжение
</t>
    </r>
    <r>
      <rPr>
        <sz val="10"/>
        <color theme="1"/>
        <rFont val="Calibri"/>
        <family val="2"/>
        <charset val="204"/>
        <scheme val="minor"/>
      </rPr>
      <t>(при отсутствии отдельного учета, оставьте пустым)</t>
    </r>
  </si>
  <si>
    <r>
      <t xml:space="preserve">Отопление и вентиляция
</t>
    </r>
    <r>
      <rPr>
        <sz val="10"/>
        <color theme="1"/>
        <rFont val="Calibri"/>
        <family val="2"/>
        <charset val="204"/>
        <scheme val="minor"/>
      </rPr>
      <t>(при отсутствии отдельного учета, оставьте пустым)</t>
    </r>
  </si>
  <si>
    <r>
      <t xml:space="preserve">Всего,
</t>
    </r>
    <r>
      <rPr>
        <sz val="10"/>
        <color theme="1"/>
        <rFont val="Calibri"/>
        <family val="2"/>
        <charset val="204"/>
        <scheme val="minor"/>
      </rPr>
      <t>в том числе:</t>
    </r>
  </si>
  <si>
    <r>
      <rPr>
        <b/>
        <i/>
        <sz val="10"/>
        <color rgb="FF0070C0"/>
        <rFont val="Calibri"/>
        <family val="2"/>
        <charset val="204"/>
        <scheme val="minor"/>
      </rPr>
      <t>отопительные</t>
    </r>
    <r>
      <rPr>
        <i/>
        <sz val="10"/>
        <color theme="1"/>
        <rFont val="Calibri"/>
        <family val="2"/>
        <charset val="204"/>
        <scheme val="minor"/>
      </rPr>
      <t xml:space="preserve">
летние</t>
    </r>
  </si>
  <si>
    <r>
      <rPr>
        <b/>
        <i/>
        <sz val="10"/>
        <color rgb="FF0070C0"/>
        <rFont val="Calibri"/>
        <family val="2"/>
        <charset val="204"/>
        <scheme val="minor"/>
      </rPr>
      <t xml:space="preserve">отопительные
</t>
    </r>
    <r>
      <rPr>
        <i/>
        <sz val="10"/>
        <color theme="1"/>
        <rFont val="Calibri"/>
        <family val="2"/>
        <charset val="204"/>
        <scheme val="minor"/>
      </rPr>
      <t>летние</t>
    </r>
  </si>
  <si>
    <r>
      <t xml:space="preserve">Уточненая температура внутреннего воздуха
в подвале или техническом подполье, </t>
    </r>
    <r>
      <rPr>
        <i/>
        <sz val="11"/>
        <color theme="1"/>
        <rFont val="Calibri"/>
        <family val="2"/>
        <charset val="204"/>
        <scheme val="minor"/>
      </rPr>
      <t xml:space="preserve">˚С
</t>
    </r>
    <r>
      <rPr>
        <i/>
        <sz val="9"/>
        <color theme="1"/>
        <rFont val="Calibri"/>
        <family val="2"/>
        <charset val="204"/>
        <scheme val="minor"/>
      </rPr>
      <t>по умолчанию: +10˚С   "теплый" подвал 
+2˚С "холодный" подвал</t>
    </r>
  </si>
  <si>
    <r>
      <t xml:space="preserve">Уточненная температура внутреннего воздуха
в жилых помещениях (квартирах), </t>
    </r>
    <r>
      <rPr>
        <i/>
        <sz val="11"/>
        <color theme="1"/>
        <rFont val="Calibri"/>
        <family val="2"/>
        <charset val="204"/>
        <scheme val="minor"/>
      </rPr>
      <t xml:space="preserve">˚С
</t>
    </r>
    <r>
      <rPr>
        <i/>
        <sz val="9"/>
        <color theme="1"/>
        <rFont val="Calibri"/>
        <family val="2"/>
        <charset val="204"/>
        <scheme val="minor"/>
      </rPr>
      <t>по умолчанию +20˚С</t>
    </r>
  </si>
  <si>
    <r>
      <t xml:space="preserve">Уточненная температура внутреннего воздуха
в теплом чердаке, </t>
    </r>
    <r>
      <rPr>
        <i/>
        <sz val="11"/>
        <color theme="1"/>
        <rFont val="Calibri"/>
        <family val="2"/>
        <charset val="204"/>
        <scheme val="minor"/>
      </rPr>
      <t xml:space="preserve">˚С
</t>
    </r>
    <r>
      <rPr>
        <i/>
        <sz val="9"/>
        <color theme="1"/>
        <rFont val="Calibri"/>
        <family val="2"/>
        <charset val="204"/>
        <scheme val="minor"/>
      </rPr>
      <t>зависит от количества этажей</t>
    </r>
  </si>
  <si>
    <t>Средневзвешенное значение за базовый год</t>
  </si>
  <si>
    <t>Фактическая
за отопительный период</t>
  </si>
  <si>
    <t>Фактические
за отопительный период</t>
  </si>
  <si>
    <t>Дата окончания отопительного периода в году предшествующему году окончания базового периода</t>
  </si>
  <si>
    <t>Число дней в месяце</t>
  </si>
  <si>
    <t>Температура холодной воды</t>
  </si>
  <si>
    <t>Источник информации: данные органов местного самоуправления / ведомости учета теплоэнергии и теплоносителя</t>
  </si>
  <si>
    <r>
      <t>Ориентировочный расчет</t>
    </r>
    <r>
      <rPr>
        <sz val="14"/>
        <color theme="1"/>
        <rFont val="Calibri Light"/>
        <family val="2"/>
        <charset val="204"/>
        <scheme val="major"/>
      </rPr>
      <t xml:space="preserve"> (заполняйте, если серии нет в списке, и выбран ориентировочный расчет)</t>
    </r>
  </si>
  <si>
    <r>
      <t>Детальный расчет</t>
    </r>
    <r>
      <rPr>
        <sz val="14"/>
        <color theme="1"/>
        <rFont val="Calibri Light"/>
        <family val="2"/>
        <charset val="204"/>
        <scheme val="major"/>
      </rPr>
      <t xml:space="preserve"> (объемно-планировочные и теплотехнические показатели МКД)</t>
    </r>
  </si>
  <si>
    <r>
      <t xml:space="preserve">Сопротивление теплопередаче ограждающих конструкций </t>
    </r>
    <r>
      <rPr>
        <sz val="14"/>
        <color theme="1"/>
        <rFont val="Calibri Light"/>
        <family val="2"/>
        <charset val="204"/>
        <scheme val="major"/>
      </rPr>
      <t>(заполнять необязательно)*</t>
    </r>
  </si>
  <si>
    <t>Получите прогноз эффекта от применения мероприятий по энергосбережению для заданного многоквартирного дома!
Расчитайте размер финансовой поддержки за счет средств Фонда ЖКХ на капитальный ремонт дома!</t>
  </si>
  <si>
    <t>Определение потенциала экономии, класса энергоэффективности и положения МКД
на кривой распределения аналогичных МКД в России по уровню удельного расхода энергоресурсов</t>
  </si>
  <si>
    <t>Введите число дней планового перерыва подачи горячей воды
из-за отключений системы централизованного теплоснабжения на испытания и ремонты</t>
  </si>
  <si>
    <t>Данные о температуре наружного воздуха за базовый год</t>
  </si>
  <si>
    <r>
      <t xml:space="preserve">Отопительный период базового года </t>
    </r>
    <r>
      <rPr>
        <sz val="14"/>
        <color theme="1"/>
        <rFont val="Calibri Light"/>
        <family val="2"/>
        <charset val="204"/>
        <scheme val="major"/>
      </rPr>
      <t>(до проведения работ по капитальному ремонту)</t>
    </r>
  </si>
  <si>
    <r>
      <t xml:space="preserve">Данные по инженерным внутридомовым системам </t>
    </r>
    <r>
      <rPr>
        <sz val="14"/>
        <color theme="1"/>
        <rFont val="Calibri Light"/>
        <family val="2"/>
        <charset val="204"/>
        <scheme val="major"/>
      </rPr>
      <t>(системы отопления, горячего водоснабжения, электроснабжения)</t>
    </r>
  </si>
  <si>
    <t>Тепловые нагрузки и параметры поставляемого теплоносителя</t>
  </si>
  <si>
    <r>
      <t xml:space="preserve">Фактические данные по потреблению тепловой энергии за базовый год </t>
    </r>
    <r>
      <rPr>
        <sz val="14"/>
        <color theme="1"/>
        <rFont val="Calibri Light"/>
        <family val="2"/>
        <charset val="204"/>
        <scheme val="major"/>
      </rPr>
      <t xml:space="preserve">(по показаниям общедомовых приборов учета потребления тепловой энергии) </t>
    </r>
  </si>
  <si>
    <r>
      <t>Фактические данные по потреблению горячей воды за базовый год</t>
    </r>
    <r>
      <rPr>
        <sz val="14"/>
        <color theme="1"/>
        <rFont val="Calibri Light"/>
        <family val="2"/>
        <charset val="204"/>
        <scheme val="major"/>
      </rPr>
      <t xml:space="preserve"> (по показаниям общедомовых и индивидуальных приборов учета расхода горячей воды)</t>
    </r>
  </si>
  <si>
    <r>
      <t xml:space="preserve">Фактические данные по потреблению электрической энергии за базовый год </t>
    </r>
    <r>
      <rPr>
        <sz val="14"/>
        <color theme="1"/>
        <rFont val="Calibri Light"/>
        <family val="2"/>
        <charset val="204"/>
        <scheme val="major"/>
      </rPr>
      <t>(по показаниям общедомовых и индивидуальных приборов учета потебления электрической энергии)</t>
    </r>
  </si>
  <si>
    <t>Версия: 17.07.2019.019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</si>
</sst>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0.00\ &quot;₽&quot;;[Red]\-#,##0.00\ &quot;₽&quot;"/>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0"/>
    <numFmt numFmtId="173" formatCode="dd/mm/yy;@"/>
    <numFmt numFmtId="174" formatCode="[$-FC19]dd\ mmmm\ yyyy\ \г\.;@"/>
    <numFmt numFmtId="175" formatCode="[$-FC19]d\ mmmm\ yyyy\ \г\.;@"/>
  </numFmts>
  <fonts count="204"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0"/>
      <color theme="0"/>
      <name val="Calibri"/>
      <family val="2"/>
      <charset val="204"/>
      <scheme val="minor"/>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20"/>
      <color theme="1"/>
      <name val="Times New Roman"/>
      <family val="1"/>
      <charset val="204"/>
    </font>
    <font>
      <sz val="18"/>
      <color theme="1"/>
      <name val="Calibri"/>
      <family val="2"/>
      <charset val="204"/>
      <scheme val="minor"/>
    </font>
    <font>
      <sz val="11"/>
      <color rgb="FF000000"/>
      <name val="Calibri"/>
      <family val="2"/>
      <charset val="204"/>
      <scheme val="minor"/>
    </font>
    <font>
      <b/>
      <sz val="12"/>
      <color rgb="FFFF0000"/>
      <name val="Calibri"/>
      <family val="2"/>
      <charset val="204"/>
      <scheme val="minor"/>
    </font>
    <font>
      <sz val="11"/>
      <color theme="2"/>
      <name val="Calibri"/>
      <family val="2"/>
      <charset val="204"/>
      <scheme val="minor"/>
    </font>
    <font>
      <sz val="14"/>
      <color rgb="FF333333"/>
      <name val="Times New Roman"/>
      <family val="1"/>
      <charset val="204"/>
    </font>
    <font>
      <sz val="11"/>
      <color rgb="FF333333"/>
      <name val="Times New Roman"/>
      <family val="1"/>
      <charset val="204"/>
    </font>
    <font>
      <sz val="8"/>
      <color rgb="FF2D2D2D"/>
      <name val="Arial"/>
      <family val="2"/>
      <charset val="204"/>
    </font>
    <font>
      <b/>
      <sz val="18"/>
      <color theme="0"/>
      <name val="Calibri"/>
      <family val="2"/>
      <charset val="204"/>
      <scheme val="minor"/>
    </font>
    <font>
      <b/>
      <sz val="8"/>
      <color theme="1"/>
      <name val="Times New Roman"/>
      <family val="1"/>
      <charset val="204"/>
    </font>
    <font>
      <i/>
      <sz val="11"/>
      <color theme="4" tint="-0.249977111117893"/>
      <name val="Calibri"/>
      <family val="2"/>
      <charset val="204"/>
      <scheme val="minor"/>
    </font>
    <font>
      <b/>
      <sz val="16"/>
      <color theme="1"/>
      <name val="Calibri"/>
      <family val="2"/>
      <charset val="204"/>
      <scheme val="minor"/>
    </font>
    <font>
      <b/>
      <sz val="16"/>
      <color theme="1"/>
      <name val="Calibri"/>
      <family val="2"/>
      <charset val="204"/>
    </font>
    <font>
      <i/>
      <vertAlign val="superscript"/>
      <sz val="11"/>
      <color theme="1"/>
      <name val="Calibri"/>
      <family val="2"/>
      <charset val="204"/>
      <scheme val="minor"/>
    </font>
    <font>
      <vertAlign val="subscript"/>
      <sz val="11"/>
      <color theme="0" tint="-0.499984740745262"/>
      <name val="Calibri"/>
      <family val="2"/>
      <charset val="204"/>
      <scheme val="minor"/>
    </font>
    <font>
      <sz val="22"/>
      <color theme="0"/>
      <name val="Calibri"/>
      <family val="2"/>
      <charset val="204"/>
      <scheme val="minor"/>
    </font>
    <font>
      <vertAlign val="superscript"/>
      <sz val="22"/>
      <color theme="0"/>
      <name val="Calibri"/>
      <family val="2"/>
      <charset val="204"/>
      <scheme val="minor"/>
    </font>
    <font>
      <i/>
      <vertAlign val="superscript"/>
      <sz val="11"/>
      <name val="Calibri"/>
      <family val="2"/>
      <charset val="204"/>
      <scheme val="minor"/>
    </font>
    <font>
      <i/>
      <sz val="11"/>
      <color theme="1"/>
      <name val="Calibri"/>
      <family val="2"/>
      <charset val="204"/>
    </font>
    <font>
      <i/>
      <vertAlign val="superscript"/>
      <sz val="11"/>
      <color theme="1"/>
      <name val="Calibri"/>
      <family val="2"/>
      <charset val="204"/>
    </font>
    <font>
      <sz val="9"/>
      <color rgb="FF1C1C1C"/>
      <name val="Calibri"/>
      <family val="2"/>
      <charset val="204"/>
    </font>
    <font>
      <b/>
      <i/>
      <sz val="11"/>
      <color theme="1"/>
      <name val="Calibri"/>
      <family val="2"/>
      <charset val="204"/>
      <scheme val="minor"/>
    </font>
    <font>
      <i/>
      <sz val="12"/>
      <color theme="1"/>
      <name val="Calibri"/>
      <family val="2"/>
      <charset val="204"/>
      <scheme val="minor"/>
    </font>
    <font>
      <i/>
      <vertAlign val="superscript"/>
      <sz val="12"/>
      <color theme="1"/>
      <name val="Calibri"/>
      <family val="2"/>
      <charset val="204"/>
      <scheme val="minor"/>
    </font>
    <font>
      <sz val="12"/>
      <color theme="1"/>
      <name val="Calibri"/>
      <family val="2"/>
      <charset val="204"/>
    </font>
    <font>
      <i/>
      <sz val="12"/>
      <color theme="1"/>
      <name val="Calibri"/>
      <family val="2"/>
      <charset val="204"/>
    </font>
    <font>
      <i/>
      <sz val="12"/>
      <name val="Calibri"/>
      <family val="2"/>
      <charset val="204"/>
      <scheme val="minor"/>
    </font>
    <font>
      <i/>
      <vertAlign val="superscript"/>
      <sz val="10"/>
      <color theme="1"/>
      <name val="Calibri"/>
      <family val="2"/>
      <charset val="204"/>
      <scheme val="minor"/>
    </font>
    <font>
      <sz val="9"/>
      <color theme="0" tint="-0.499984740745262"/>
      <name val="Calibri"/>
      <family val="2"/>
      <charset val="204"/>
      <scheme val="minor"/>
    </font>
    <font>
      <u/>
      <sz val="15"/>
      <color theme="10"/>
      <name val="Times New Roman"/>
      <family val="1"/>
      <charset val="204"/>
    </font>
    <font>
      <u/>
      <sz val="11.3"/>
      <color theme="10"/>
      <name val="Calibri"/>
      <family val="2"/>
      <charset val="204"/>
      <scheme val="minor"/>
    </font>
    <font>
      <sz val="9"/>
      <name val="Calibri"/>
      <family val="2"/>
      <charset val="204"/>
      <scheme val="minor"/>
    </font>
    <font>
      <vertAlign val="superscript"/>
      <sz val="9"/>
      <name val="Calibri"/>
      <family val="2"/>
      <charset val="204"/>
      <scheme val="minor"/>
    </font>
    <font>
      <b/>
      <vertAlign val="superscript"/>
      <sz val="10"/>
      <color theme="1"/>
      <name val="Times New Roman"/>
      <family val="1"/>
      <charset val="204"/>
    </font>
    <font>
      <sz val="11"/>
      <color rgb="FFFF0000"/>
      <name val="Calibri"/>
      <family val="2"/>
      <charset val="204"/>
    </font>
    <font>
      <b/>
      <sz val="16"/>
      <color rgb="FFFF0000"/>
      <name val="Calibri"/>
      <family val="2"/>
      <charset val="204"/>
      <scheme val="minor"/>
    </font>
    <font>
      <vertAlign val="superscript"/>
      <sz val="8"/>
      <color theme="1"/>
      <name val="Calibri"/>
      <family val="2"/>
      <charset val="204"/>
    </font>
    <font>
      <i/>
      <sz val="10"/>
      <color theme="1"/>
      <name val="Calibri"/>
      <family val="2"/>
      <charset val="204"/>
    </font>
    <font>
      <b/>
      <sz val="11"/>
      <color theme="1"/>
      <name val="Times New Roman"/>
      <family val="1"/>
      <charset val="204"/>
    </font>
    <font>
      <b/>
      <sz val="14"/>
      <color theme="1"/>
      <name val="Times New Roman"/>
      <family val="1"/>
      <charset val="204"/>
    </font>
    <font>
      <sz val="11"/>
      <name val="Times New Roman"/>
      <family val="1"/>
      <charset val="204"/>
    </font>
    <font>
      <sz val="10"/>
      <name val="Arial Cyr"/>
      <charset val="204"/>
    </font>
    <font>
      <sz val="8"/>
      <name val="Calibri"/>
      <family val="2"/>
      <charset val="204"/>
      <scheme val="minor"/>
    </font>
    <font>
      <b/>
      <sz val="8"/>
      <name val="Calibri"/>
      <family val="2"/>
      <charset val="204"/>
      <scheme val="minor"/>
    </font>
    <font>
      <i/>
      <sz val="10"/>
      <name val="Calibri"/>
      <family val="2"/>
      <charset val="204"/>
      <scheme val="minor"/>
    </font>
    <font>
      <i/>
      <vertAlign val="superscript"/>
      <sz val="10"/>
      <name val="Calibri"/>
      <family val="2"/>
      <charset val="204"/>
      <scheme val="minor"/>
    </font>
    <font>
      <b/>
      <sz val="10"/>
      <name val="Calibri"/>
      <family val="2"/>
      <charset val="204"/>
      <scheme val="minor"/>
    </font>
    <font>
      <sz val="9.5"/>
      <name val="Calibri"/>
      <family val="2"/>
      <charset val="204"/>
      <scheme val="minor"/>
    </font>
    <font>
      <sz val="12"/>
      <name val="Times New Roman"/>
      <family val="1"/>
      <charset val="204"/>
    </font>
    <font>
      <sz val="10.5"/>
      <name val="Times New Roman"/>
      <family val="1"/>
      <charset val="204"/>
    </font>
    <font>
      <sz val="9"/>
      <color rgb="FFFF0000"/>
      <name val="Calibri"/>
      <family val="2"/>
      <charset val="204"/>
      <scheme val="minor"/>
    </font>
    <font>
      <sz val="10"/>
      <color theme="1"/>
      <name val="Calibri Light"/>
      <family val="2"/>
      <charset val="204"/>
      <scheme val="major"/>
    </font>
    <font>
      <sz val="1"/>
      <color rgb="FFCCFF99"/>
      <name val="Calibri"/>
      <family val="2"/>
      <charset val="204"/>
      <scheme val="minor"/>
    </font>
    <font>
      <sz val="12.5"/>
      <name val="Calibri"/>
      <family val="2"/>
      <charset val="204"/>
      <scheme val="minor"/>
    </font>
    <font>
      <sz val="10"/>
      <color theme="0" tint="-0.499984740745262"/>
      <name val="Calibri"/>
      <family val="2"/>
      <charset val="204"/>
      <scheme val="minor"/>
    </font>
    <font>
      <b/>
      <vertAlign val="superscript"/>
      <sz val="18"/>
      <color theme="0"/>
      <name val="Calibri"/>
      <family val="2"/>
      <charset val="204"/>
      <scheme val="minor"/>
    </font>
    <font>
      <sz val="10.5"/>
      <color rgb="FFFF0000"/>
      <name val="Calibri"/>
      <family val="2"/>
      <charset val="204"/>
      <scheme val="minor"/>
    </font>
    <font>
      <vertAlign val="superscript"/>
      <sz val="9"/>
      <color theme="1"/>
      <name val="Calibri"/>
      <family val="2"/>
      <charset val="204"/>
      <scheme val="minor"/>
    </font>
    <font>
      <b/>
      <sz val="9"/>
      <color rgb="FF002060"/>
      <name val="Calibri"/>
      <family val="2"/>
      <charset val="204"/>
      <scheme val="minor"/>
    </font>
    <font>
      <sz val="2"/>
      <color theme="1"/>
      <name val="Calibri"/>
      <family val="2"/>
      <charset val="204"/>
      <scheme val="minor"/>
    </font>
    <font>
      <i/>
      <sz val="9"/>
      <color theme="1"/>
      <name val="Calibri"/>
      <family val="2"/>
      <charset val="204"/>
      <scheme val="minor"/>
    </font>
    <font>
      <b/>
      <i/>
      <sz val="10"/>
      <color rgb="FF0070C0"/>
      <name val="Calibri"/>
      <family val="2"/>
      <charset val="204"/>
      <scheme val="minor"/>
    </font>
    <font>
      <sz val="11"/>
      <color rgb="FF5F5F5F"/>
      <name val="Calibri"/>
      <family val="2"/>
      <charset val="204"/>
      <scheme val="minor"/>
    </font>
    <font>
      <b/>
      <sz val="11"/>
      <color rgb="FF5F5F5F"/>
      <name val="Calibri"/>
      <family val="2"/>
      <charset val="204"/>
      <scheme val="minor"/>
    </font>
    <font>
      <sz val="3"/>
      <color rgb="FFCCFF99"/>
      <name val="Calibri"/>
      <family val="2"/>
      <charset val="204"/>
      <scheme val="minor"/>
    </font>
    <font>
      <sz val="2"/>
      <color rgb="FFE3F3D1"/>
      <name val="Calibri"/>
      <family val="2"/>
      <charset val="204"/>
      <scheme val="minor"/>
    </font>
    <font>
      <sz val="2"/>
      <color theme="2"/>
      <name val="Calibri"/>
      <family val="2"/>
      <charset val="204"/>
      <scheme val="minor"/>
    </font>
    <font>
      <sz val="8"/>
      <color rgb="FF5F5F5F"/>
      <name val="Calibri"/>
      <family val="2"/>
      <charset val="204"/>
      <scheme val="minor"/>
    </font>
    <font>
      <b/>
      <sz val="14"/>
      <name val="Calibri Light"/>
      <family val="2"/>
      <charset val="204"/>
      <scheme val="major"/>
    </font>
    <font>
      <b/>
      <sz val="14"/>
      <color rgb="FFFF0000"/>
      <name val="Calibri"/>
      <family val="2"/>
      <charset val="204"/>
      <scheme val="minor"/>
    </font>
    <font>
      <b/>
      <sz val="14"/>
      <color theme="1"/>
      <name val="Calibri Light"/>
      <family val="2"/>
      <charset val="204"/>
      <scheme val="major"/>
    </font>
    <font>
      <sz val="14"/>
      <color theme="1"/>
      <name val="Calibri Light"/>
      <family val="2"/>
      <charset val="204"/>
      <scheme val="major"/>
    </font>
  </fonts>
  <fills count="51">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0"/>
        <bgColor theme="0"/>
      </patternFill>
    </fill>
    <fill>
      <patternFill patternType="solid">
        <fgColor theme="0"/>
        <bgColor rgb="FFCCFF99"/>
      </patternFill>
    </fill>
    <fill>
      <patternFill patternType="solid">
        <fgColor rgb="FFD9D9D9"/>
        <bgColor indexed="64"/>
      </patternFill>
    </fill>
    <fill>
      <patternFill patternType="darkGrid">
        <fgColor rgb="FFCCFF99"/>
        <bgColor rgb="FFFFC000"/>
      </patternFill>
    </fill>
    <fill>
      <patternFill patternType="solid">
        <fgColor theme="0" tint="-4.9989318521683403E-2"/>
        <bgColor theme="0" tint="-0.14996795556505021"/>
      </patternFill>
    </fill>
    <fill>
      <patternFill patternType="solid">
        <fgColor rgb="FFD2E6F0"/>
        <bgColor indexed="64"/>
      </patternFill>
    </fill>
    <fill>
      <patternFill patternType="solid">
        <fgColor rgb="FFCCFF99"/>
        <bgColor rgb="FFCCFF99"/>
      </patternFill>
    </fill>
  </fills>
  <borders count="142">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indexed="64"/>
      </bottom>
      <diagonal/>
    </border>
    <border>
      <left/>
      <right/>
      <top style="hair">
        <color auto="1"/>
      </top>
      <bottom/>
      <diagonal/>
    </border>
    <border>
      <left/>
      <right style="medium">
        <color rgb="FF333333"/>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hair">
        <color auto="1"/>
      </right>
      <top style="thin">
        <color auto="1"/>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s>
  <cellStyleXfs count="12">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3" fillId="0" borderId="0" applyNumberFormat="0" applyFill="0" applyBorder="0" applyAlignment="0" applyProtection="0"/>
    <xf numFmtId="0" fontId="173" fillId="0" borderId="0"/>
  </cellStyleXfs>
  <cellXfs count="2610">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0" fillId="0" borderId="0" xfId="0"/>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2" fontId="0" fillId="20" borderId="0" xfId="0" applyNumberFormat="1" applyFill="1" applyAlignment="1">
      <alignment horizontal="center"/>
    </xf>
    <xf numFmtId="0" fontId="0" fillId="0" borderId="0" xfId="0"/>
    <xf numFmtId="0" fontId="0" fillId="20" borderId="0" xfId="0" applyFill="1"/>
    <xf numFmtId="0" fontId="12" fillId="20" borderId="0" xfId="0" applyFont="1" applyFill="1"/>
    <xf numFmtId="0" fontId="83" fillId="20" borderId="0" xfId="10" applyFill="1"/>
    <xf numFmtId="0" fontId="83" fillId="0" borderId="0" xfId="10"/>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5" fillId="20" borderId="0" xfId="0" applyFont="1" applyFill="1" applyAlignment="1">
      <alignment vertical="center"/>
    </xf>
    <xf numFmtId="0" fontId="96"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99"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3"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3"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3"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6"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99" fillId="0" borderId="0" xfId="0" applyFont="1" applyProtection="1">
      <protection hidden="1"/>
    </xf>
    <xf numFmtId="0" fontId="0" fillId="13" borderId="4" xfId="0"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6"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6"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6" fillId="0" borderId="4" xfId="0" applyFont="1" applyBorder="1" applyAlignment="1" applyProtection="1">
      <alignment horizontal="center" vertical="center"/>
      <protection hidden="1"/>
    </xf>
    <xf numFmtId="0" fontId="81"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6"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0" fillId="0" borderId="0" xfId="0" applyNumberFormat="1" applyFont="1" applyFill="1" applyBorder="1" applyAlignment="1" applyProtection="1">
      <alignment horizontal="center" vertical="center" wrapText="1"/>
      <protection hidden="1"/>
    </xf>
    <xf numFmtId="0" fontId="76" fillId="0" borderId="12" xfId="0" applyFont="1" applyBorder="1" applyAlignment="1" applyProtection="1">
      <alignment horizontal="center" vertical="center"/>
      <protection hidden="1"/>
    </xf>
    <xf numFmtId="1" fontId="90" fillId="0" borderId="12" xfId="0" applyNumberFormat="1" applyFont="1" applyFill="1" applyBorder="1" applyAlignment="1" applyProtection="1">
      <alignment horizontal="center" vertical="center" wrapText="1"/>
      <protection hidden="1"/>
    </xf>
    <xf numFmtId="0" fontId="91" fillId="0" borderId="7" xfId="0" applyFont="1" applyFill="1" applyBorder="1" applyProtection="1">
      <protection hidden="1"/>
    </xf>
    <xf numFmtId="1" fontId="90"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6"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78" fillId="0" borderId="0" xfId="0" applyNumberFormat="1" applyFont="1" applyFill="1" applyBorder="1" applyAlignment="1" applyProtection="1">
      <alignment horizontal="center" vertical="center" wrapText="1"/>
      <protection hidden="1"/>
    </xf>
    <xf numFmtId="0" fontId="79" fillId="0" borderId="0" xfId="0" applyFont="1" applyProtection="1">
      <protection hidden="1"/>
    </xf>
    <xf numFmtId="0" fontId="45" fillId="0" borderId="4" xfId="0" applyFont="1" applyFill="1" applyBorder="1" applyAlignment="1" applyProtection="1">
      <alignment horizontal="left" vertical="top" wrapText="1"/>
      <protection hidden="1"/>
    </xf>
    <xf numFmtId="0" fontId="77" fillId="0" borderId="4" xfId="0" applyFont="1" applyBorder="1" applyAlignment="1" applyProtection="1">
      <alignment horizontal="center" vertical="center"/>
      <protection hidden="1"/>
    </xf>
    <xf numFmtId="166" fontId="78" fillId="0" borderId="4" xfId="0" applyNumberFormat="1" applyFont="1" applyFill="1" applyBorder="1" applyAlignment="1" applyProtection="1">
      <alignment horizontal="center" vertical="center" wrapText="1"/>
      <protection hidden="1"/>
    </xf>
    <xf numFmtId="0" fontId="79"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88" fillId="0" borderId="0" xfId="0" applyNumberFormat="1" applyFont="1" applyBorder="1" applyAlignment="1" applyProtection="1">
      <alignment vertical="center" wrapText="1"/>
      <protection hidden="1"/>
    </xf>
    <xf numFmtId="0" fontId="76" fillId="0" borderId="4" xfId="0" applyFont="1" applyFill="1" applyBorder="1" applyAlignment="1" applyProtection="1">
      <alignment horizontal="left" vertical="center" wrapText="1"/>
      <protection hidden="1"/>
    </xf>
    <xf numFmtId="166" fontId="79" fillId="0" borderId="0" xfId="0" applyNumberFormat="1" applyFont="1" applyProtection="1">
      <protection hidden="1"/>
    </xf>
    <xf numFmtId="166" fontId="78"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6" fillId="0" borderId="4" xfId="0" applyFont="1" applyFill="1" applyBorder="1" applyAlignment="1" applyProtection="1">
      <alignment vertical="top" wrapText="1"/>
      <protection hidden="1"/>
    </xf>
    <xf numFmtId="1" fontId="80" fillId="0" borderId="0" xfId="0" applyNumberFormat="1" applyFont="1" applyBorder="1" applyAlignment="1" applyProtection="1">
      <alignment horizontal="center" vertical="center" wrapText="1"/>
      <protection hidden="1"/>
    </xf>
    <xf numFmtId="0" fontId="76" fillId="0" borderId="13" xfId="0" applyFont="1" applyBorder="1" applyAlignment="1" applyProtection="1">
      <alignment horizontal="center" vertical="center"/>
      <protection hidden="1"/>
    </xf>
    <xf numFmtId="1" fontId="80" fillId="0" borderId="13" xfId="0" applyNumberFormat="1" applyFont="1" applyBorder="1" applyAlignment="1" applyProtection="1">
      <alignment horizontal="center" vertical="center" wrapText="1"/>
      <protection hidden="1"/>
    </xf>
    <xf numFmtId="0" fontId="79" fillId="0" borderId="13" xfId="0" applyFont="1" applyBorder="1" applyProtection="1">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69" fillId="0" borderId="4" xfId="6" applyNumberFormat="1" applyFont="1" applyFill="1" applyBorder="1" applyProtection="1">
      <protection hidden="1"/>
    </xf>
    <xf numFmtId="166" fontId="69"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4"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4"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4"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4"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4"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89" fillId="0" borderId="0" xfId="0" applyFont="1" applyProtection="1">
      <protection hidden="1"/>
    </xf>
    <xf numFmtId="0" fontId="89"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2" fillId="20" borderId="0" xfId="0" applyFont="1" applyFill="1" applyProtection="1">
      <protection locked="0" hidden="1"/>
    </xf>
    <xf numFmtId="0" fontId="0" fillId="37" borderId="0" xfId="0" applyFill="1" applyProtection="1">
      <protection locked="0" hidden="1"/>
    </xf>
    <xf numFmtId="0" fontId="72" fillId="37" borderId="0" xfId="0" applyFont="1" applyFill="1" applyProtection="1">
      <protection locked="0" hidden="1"/>
    </xf>
    <xf numFmtId="0" fontId="0" fillId="29" borderId="0" xfId="0" applyFill="1" applyProtection="1">
      <protection locked="0" hidden="1"/>
    </xf>
    <xf numFmtId="0" fontId="72" fillId="29" borderId="0" xfId="0" applyFont="1" applyFill="1" applyProtection="1">
      <protection locked="0" hidden="1"/>
    </xf>
    <xf numFmtId="0" fontId="0" fillId="25" borderId="0" xfId="0" applyFill="1" applyProtection="1">
      <protection locked="0" hidden="1"/>
    </xf>
    <xf numFmtId="0" fontId="72" fillId="25" borderId="0" xfId="0" applyFont="1" applyFill="1" applyProtection="1">
      <protection locked="0" hidden="1"/>
    </xf>
    <xf numFmtId="0" fontId="0" fillId="6" borderId="0" xfId="0" applyFill="1" applyProtection="1">
      <protection locked="0" hidden="1"/>
    </xf>
    <xf numFmtId="0" fontId="72" fillId="6" borderId="0" xfId="0" applyFont="1" applyFill="1" applyProtection="1">
      <protection locked="0" hidden="1"/>
    </xf>
    <xf numFmtId="0" fontId="73"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2"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69"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6"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69"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6"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2"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8"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07" fillId="20" borderId="0" xfId="0" applyFont="1" applyFill="1"/>
    <xf numFmtId="0" fontId="0" fillId="20" borderId="0" xfId="0" applyFont="1" applyFill="1" applyAlignment="1">
      <alignment horizontal="center" vertical="center"/>
    </xf>
    <xf numFmtId="0" fontId="7" fillId="20" borderId="0" xfId="0" applyFont="1" applyFill="1" applyAlignment="1">
      <alignment horizontal="center" vertical="center"/>
    </xf>
    <xf numFmtId="0" fontId="117" fillId="20" borderId="0" xfId="0" applyFont="1" applyFill="1"/>
    <xf numFmtId="0" fontId="51" fillId="13" borderId="0" xfId="0" applyFont="1" applyFill="1" applyAlignment="1">
      <alignment horizontal="center" wrapText="1"/>
    </xf>
    <xf numFmtId="0" fontId="110" fillId="20" borderId="0" xfId="0" applyFont="1" applyFill="1" applyBorder="1" applyAlignment="1">
      <alignment horizontal="center" vertical="center"/>
    </xf>
    <xf numFmtId="0" fontId="30" fillId="2" borderId="0" xfId="0" applyFont="1" applyFill="1" applyBorder="1" applyAlignment="1" applyProtection="1">
      <alignment vertical="top"/>
      <protection hidden="1"/>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3" fillId="21" borderId="29" xfId="10" applyFill="1" applyBorder="1"/>
    <xf numFmtId="0" fontId="83" fillId="21" borderId="6" xfId="10" quotePrefix="1" applyFill="1" applyBorder="1" applyAlignment="1">
      <alignment vertical="center" wrapText="1"/>
    </xf>
    <xf numFmtId="0" fontId="0" fillId="5" borderId="4" xfId="0" applyFill="1" applyBorder="1" applyAlignment="1">
      <alignment horizontal="center"/>
    </xf>
    <xf numFmtId="0" fontId="121" fillId="20" borderId="0" xfId="0" applyFont="1" applyFill="1" applyAlignment="1">
      <alignment horizontal="right" indent="1"/>
    </xf>
    <xf numFmtId="0" fontId="110" fillId="20" borderId="13" xfId="0" applyFont="1" applyFill="1" applyBorder="1" applyAlignment="1">
      <alignment horizontal="center" vertical="center"/>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112"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125" fillId="20" borderId="0" xfId="0" applyFont="1" applyFill="1"/>
    <xf numFmtId="0" fontId="112" fillId="21" borderId="4" xfId="0" applyFont="1" applyFill="1" applyBorder="1" applyAlignment="1">
      <alignment horizontal="center" vertical="center"/>
    </xf>
    <xf numFmtId="0" fontId="83" fillId="2" borderId="111" xfId="10" quotePrefix="1" applyFill="1" applyBorder="1" applyAlignment="1" applyProtection="1">
      <alignment horizontal="center" vertical="center" wrapText="1"/>
      <protection locked="0"/>
    </xf>
    <xf numFmtId="0" fontId="109" fillId="2" borderId="0" xfId="10" applyFont="1" applyFill="1" applyBorder="1" applyAlignment="1" applyProtection="1">
      <alignment vertical="top"/>
      <protection locked="0" hidden="1"/>
    </xf>
    <xf numFmtId="0" fontId="109" fillId="2" borderId="0" xfId="10" applyFont="1" applyFill="1" applyBorder="1" applyAlignment="1" applyProtection="1">
      <alignment horizontal="right" vertical="top"/>
      <protection locked="0" hidden="1"/>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69"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69"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14" fontId="0" fillId="0" borderId="0" xfId="0" applyNumberFormat="1" applyProtection="1">
      <protection hidden="1"/>
    </xf>
    <xf numFmtId="0" fontId="29" fillId="36" borderId="4" xfId="0" applyFont="1" applyFill="1" applyBorder="1" applyAlignment="1" applyProtection="1">
      <alignment horizontal="center" vertical="center"/>
      <protection locked="0" hidden="1"/>
    </xf>
    <xf numFmtId="0" fontId="109"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0" fontId="0" fillId="20" borderId="0" xfId="0" applyFont="1" applyFill="1" applyAlignment="1" applyProtection="1">
      <alignment horizontal="center" vertical="center"/>
      <protection hidden="1"/>
    </xf>
    <xf numFmtId="0" fontId="83" fillId="20" borderId="0" xfId="10" applyFill="1" applyProtection="1">
      <protection hidden="1"/>
    </xf>
    <xf numFmtId="0" fontId="87" fillId="20" borderId="0" xfId="0" applyFont="1" applyFill="1" applyAlignment="1" applyProtection="1">
      <alignment wrapText="1"/>
      <protection hidden="1"/>
    </xf>
    <xf numFmtId="0" fontId="74" fillId="0" borderId="0" xfId="0" applyFont="1" applyFill="1" applyAlignment="1" applyProtection="1">
      <alignment horizontal="center" vertical="center" wrapText="1"/>
      <protection hidden="1"/>
    </xf>
    <xf numFmtId="1" fontId="92" fillId="20" borderId="0" xfId="0" applyNumberFormat="1" applyFont="1" applyFill="1" applyAlignment="1" applyProtection="1">
      <alignment horizontal="center"/>
      <protection hidden="1"/>
    </xf>
    <xf numFmtId="0" fontId="0" fillId="29" borderId="104" xfId="0" applyFill="1" applyBorder="1" applyProtection="1">
      <protection hidden="1"/>
    </xf>
    <xf numFmtId="0" fontId="7" fillId="29" borderId="4" xfId="0" applyFon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0" fillId="21" borderId="4" xfId="0" applyFont="1" applyFill="1" applyBorder="1" applyAlignment="1" applyProtection="1">
      <alignment vertical="center"/>
      <protection hidden="1"/>
    </xf>
    <xf numFmtId="0" fontId="95" fillId="20" borderId="0" xfId="0" applyFont="1" applyFill="1" applyProtection="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24" fillId="44" borderId="112" xfId="0" applyNumberFormat="1" applyFont="1" applyFill="1" applyBorder="1" applyAlignment="1" applyProtection="1">
      <alignment horizontal="center" vertical="center"/>
      <protection hidden="1"/>
    </xf>
    <xf numFmtId="0" fontId="121" fillId="20" borderId="0" xfId="0" applyFont="1" applyFill="1" applyAlignment="1" applyProtection="1">
      <alignment horizontal="center" vertical="center"/>
      <protection hidden="1"/>
    </xf>
    <xf numFmtId="0" fontId="83" fillId="20" borderId="0" xfId="10" quotePrefix="1" applyFont="1" applyFill="1" applyAlignment="1" applyProtection="1">
      <alignment horizontal="center" vertical="center"/>
      <protection hidden="1"/>
    </xf>
    <xf numFmtId="0" fontId="125"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30" fillId="21" borderId="108" xfId="0" applyFont="1" applyFill="1" applyBorder="1" applyAlignment="1" applyProtection="1">
      <alignment vertical="center" wrapText="1"/>
      <protection hidden="1"/>
    </xf>
    <xf numFmtId="0" fontId="12" fillId="20" borderId="0" xfId="0" applyFont="1" applyFill="1" applyAlignment="1" applyProtection="1">
      <alignment vertical="center"/>
      <protection hidden="1"/>
    </xf>
    <xf numFmtId="49" fontId="121" fillId="20" borderId="0" xfId="0" applyNumberFormat="1" applyFont="1" applyFill="1" applyAlignment="1" applyProtection="1">
      <alignment horizontal="center" vertical="center"/>
      <protection hidden="1"/>
    </xf>
    <xf numFmtId="0" fontId="0" fillId="13" borderId="103" xfId="0" applyFont="1" applyFill="1" applyBorder="1" applyAlignment="1" applyProtection="1">
      <alignment horizontal="right" vertical="center"/>
      <protection locked="0"/>
    </xf>
    <xf numFmtId="0" fontId="134" fillId="13" borderId="104"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2" fontId="134" fillId="13" borderId="104" xfId="0" applyNumberFormat="1" applyFont="1" applyFill="1" applyBorder="1" applyAlignment="1" applyProtection="1">
      <alignment horizontal="right" vertical="center" wrapText="1"/>
      <protection locked="0"/>
    </xf>
    <xf numFmtId="165" fontId="134" fillId="13" borderId="104" xfId="0" applyNumberFormat="1" applyFont="1" applyFill="1" applyBorder="1" applyAlignment="1" applyProtection="1">
      <alignment horizontal="right" vertical="center" wrapText="1"/>
      <protection locked="0"/>
    </xf>
    <xf numFmtId="0" fontId="26" fillId="0" borderId="1" xfId="0" applyFont="1" applyFill="1" applyBorder="1" applyAlignment="1" applyProtection="1">
      <alignment vertical="top" wrapText="1"/>
      <protection hidden="1"/>
    </xf>
    <xf numFmtId="0" fontId="112" fillId="21" borderId="4" xfId="0" applyFont="1" applyFill="1" applyBorder="1" applyAlignment="1">
      <alignment horizontal="center" vertical="center"/>
    </xf>
    <xf numFmtId="0" fontId="112" fillId="21" borderId="4" xfId="0" applyFont="1" applyFill="1" applyBorder="1" applyAlignment="1">
      <alignment horizontal="center" vertical="center"/>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0" borderId="0" xfId="0" applyAlignment="1"/>
    <xf numFmtId="0" fontId="137" fillId="0" borderId="0" xfId="0" applyFont="1" applyAlignment="1">
      <alignment horizontal="left" vertical="center"/>
    </xf>
    <xf numFmtId="0" fontId="138" fillId="0" borderId="0" xfId="0" applyFont="1" applyAlignment="1">
      <alignment horizontal="center" vertical="center"/>
    </xf>
    <xf numFmtId="0" fontId="0" fillId="0" borderId="0" xfId="0" applyFont="1" applyAlignment="1"/>
    <xf numFmtId="0" fontId="0" fillId="0" borderId="0" xfId="0" applyFont="1"/>
    <xf numFmtId="0" fontId="138" fillId="0" borderId="0" xfId="0" applyFont="1" applyAlignment="1">
      <alignment horizontal="left" vertical="center"/>
    </xf>
    <xf numFmtId="0" fontId="0" fillId="0" borderId="4" xfId="0" applyBorder="1"/>
    <xf numFmtId="0" fontId="66" fillId="0" borderId="4" xfId="0" applyFont="1" applyBorder="1" applyAlignment="1">
      <alignment horizontal="center" vertical="top"/>
    </xf>
    <xf numFmtId="0" fontId="66" fillId="0" borderId="4" xfId="0" applyFont="1" applyBorder="1" applyAlignment="1">
      <alignment vertical="top"/>
    </xf>
    <xf numFmtId="0" fontId="66" fillId="0" borderId="4" xfId="0" applyFont="1" applyBorder="1" applyAlignment="1">
      <alignment vertical="top" wrapText="1"/>
    </xf>
    <xf numFmtId="0" fontId="66" fillId="6" borderId="117" xfId="0" applyFont="1" applyFill="1" applyBorder="1" applyAlignment="1">
      <alignment vertical="top"/>
    </xf>
    <xf numFmtId="0" fontId="24" fillId="14" borderId="4" xfId="0" applyFont="1" applyFill="1" applyBorder="1" applyAlignment="1">
      <alignment horizontal="center" vertical="center" wrapText="1"/>
    </xf>
    <xf numFmtId="0" fontId="24" fillId="14" borderId="4" xfId="0" applyFont="1" applyFill="1" applyBorder="1" applyAlignment="1">
      <alignment vertical="center" wrapText="1"/>
    </xf>
    <xf numFmtId="0" fontId="139" fillId="14" borderId="4" xfId="0" applyFont="1" applyFill="1" applyBorder="1" applyAlignment="1">
      <alignment vertical="center" wrapText="1"/>
    </xf>
    <xf numFmtId="0" fontId="0" fillId="0" borderId="0" xfId="0" applyFill="1" applyBorder="1"/>
    <xf numFmtId="0" fontId="140" fillId="2" borderId="0" xfId="0" applyFont="1" applyFill="1" applyBorder="1" applyAlignment="1" applyProtection="1">
      <alignment horizontal="center" vertical="center"/>
      <protection hidden="1"/>
    </xf>
    <xf numFmtId="0" fontId="0" fillId="20" borderId="0" xfId="0" applyFill="1" applyAlignment="1" applyProtection="1">
      <alignment horizontal="right"/>
      <protection hidden="1"/>
    </xf>
    <xf numFmtId="0" fontId="28" fillId="0" borderId="0" xfId="0" applyFont="1"/>
    <xf numFmtId="0" fontId="141" fillId="0" borderId="4" xfId="0" applyNumberFormat="1" applyFont="1" applyBorder="1" applyAlignment="1">
      <alignment horizontal="center" vertical="center" wrapText="1"/>
    </xf>
    <xf numFmtId="9" fontId="26" fillId="0" borderId="4" xfId="0" applyNumberFormat="1" applyFont="1" applyBorder="1" applyAlignment="1">
      <alignment horizontal="center" vertical="center"/>
    </xf>
    <xf numFmtId="0" fontId="26" fillId="0" borderId="4" xfId="0" applyFont="1" applyBorder="1" applyAlignment="1">
      <alignment horizontal="center" vertical="center"/>
    </xf>
    <xf numFmtId="9" fontId="0" fillId="0" borderId="0" xfId="0" applyNumberFormat="1"/>
    <xf numFmtId="2" fontId="0" fillId="0" borderId="0" xfId="0" applyNumberFormat="1"/>
    <xf numFmtId="1" fontId="0" fillId="0" borderId="0" xfId="0" applyNumberFormat="1"/>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66" fillId="0" borderId="4" xfId="0" applyFont="1" applyBorder="1" applyAlignment="1">
      <alignment horizontal="center" vertical="top"/>
    </xf>
    <xf numFmtId="0" fontId="66" fillId="0" borderId="4" xfId="0" applyFont="1" applyBorder="1" applyAlignment="1">
      <alignment vertical="top" wrapText="1"/>
    </xf>
    <xf numFmtId="0" fontId="66" fillId="0" borderId="4" xfId="0" applyFont="1" applyBorder="1" applyAlignment="1">
      <alignment horizontal="center" vertical="top"/>
    </xf>
    <xf numFmtId="0" fontId="66" fillId="0" borderId="4" xfId="0" applyFont="1" applyBorder="1" applyAlignment="1">
      <alignment vertical="top" wrapText="1"/>
    </xf>
    <xf numFmtId="0" fontId="142" fillId="0" borderId="0" xfId="0" applyFont="1"/>
    <xf numFmtId="0" fontId="0" fillId="2" borderId="0" xfId="0" applyFont="1" applyFill="1" applyBorder="1" applyAlignment="1" applyProtection="1">
      <alignment horizontal="center"/>
      <protection hidden="1"/>
    </xf>
    <xf numFmtId="0" fontId="113" fillId="20" borderId="0" xfId="0" applyFont="1" applyFill="1" applyBorder="1" applyAlignment="1" applyProtection="1">
      <alignment horizontal="center" vertical="center" wrapText="1"/>
      <protection hidden="1"/>
    </xf>
    <xf numFmtId="0" fontId="0" fillId="5" borderId="4" xfId="0" applyFill="1" applyBorder="1" applyAlignment="1" applyProtection="1">
      <alignment horizontal="center" vertical="center"/>
      <protection hidden="1"/>
    </xf>
    <xf numFmtId="4" fontId="0" fillId="5" borderId="4" xfId="0" applyNumberFormat="1" applyFill="1" applyBorder="1" applyAlignment="1" applyProtection="1">
      <alignment horizontal="center" vertical="center"/>
      <protection hidden="1"/>
    </xf>
    <xf numFmtId="3" fontId="0" fillId="5" borderId="110" xfId="0" applyNumberFormat="1" applyFont="1" applyFill="1" applyBorder="1" applyAlignment="1" applyProtection="1">
      <alignment horizontal="center" vertical="center" wrapText="1"/>
      <protection hidden="1"/>
    </xf>
    <xf numFmtId="9" fontId="1" fillId="5" borderId="108" xfId="1" applyFont="1" applyFill="1" applyBorder="1" applyAlignment="1" applyProtection="1">
      <alignment horizontal="center" vertical="center"/>
      <protection hidden="1"/>
    </xf>
    <xf numFmtId="0" fontId="0" fillId="21" borderId="108" xfId="0" applyFill="1" applyBorder="1" applyAlignment="1" applyProtection="1">
      <alignment horizontal="left" vertical="center" wrapText="1"/>
      <protection hidden="1"/>
    </xf>
    <xf numFmtId="3" fontId="0" fillId="5" borderId="100" xfId="0" applyNumberFormat="1" applyFont="1" applyFill="1" applyBorder="1" applyAlignment="1" applyProtection="1">
      <alignment horizontal="center" vertical="center" wrapText="1"/>
      <protection hidden="1"/>
    </xf>
    <xf numFmtId="10" fontId="0" fillId="0" borderId="0" xfId="0" applyNumberFormat="1"/>
    <xf numFmtId="0" fontId="0" fillId="21" borderId="100" xfId="0" applyFill="1" applyBorder="1" applyAlignment="1" applyProtection="1">
      <alignment horizontal="left" vertical="center" wrapText="1"/>
      <protection hidden="1"/>
    </xf>
    <xf numFmtId="0" fontId="147" fillId="44" borderId="0" xfId="0" applyFont="1" applyFill="1" applyBorder="1" applyAlignment="1" applyProtection="1">
      <alignment horizontal="left" vertical="center" indent="11"/>
      <protection hidden="1"/>
    </xf>
    <xf numFmtId="0" fontId="147" fillId="44" borderId="0" xfId="0" applyFont="1" applyFill="1" applyBorder="1" applyAlignment="1" applyProtection="1">
      <alignment horizontal="left" vertical="center" indent="12"/>
      <protection hidden="1"/>
    </xf>
    <xf numFmtId="0" fontId="147" fillId="44" borderId="0" xfId="0" applyFont="1" applyFill="1" applyBorder="1" applyAlignment="1" applyProtection="1">
      <alignment horizontal="left" vertical="center" indent="13"/>
      <protection hidden="1"/>
    </xf>
    <xf numFmtId="0" fontId="147" fillId="44" borderId="0" xfId="0" applyFont="1" applyFill="1" applyBorder="1" applyAlignment="1" applyProtection="1">
      <alignment horizontal="left" vertical="center" indent="14"/>
      <protection hidden="1"/>
    </xf>
    <xf numFmtId="0" fontId="147" fillId="44" borderId="0" xfId="0" applyFont="1" applyFill="1" applyBorder="1" applyAlignment="1" applyProtection="1">
      <alignment horizontal="left" vertical="center" indent="15"/>
      <protection hidden="1"/>
    </xf>
    <xf numFmtId="0" fontId="147" fillId="44" borderId="0" xfId="0" applyFont="1" applyFill="1" applyBorder="1" applyAlignment="1" applyProtection="1">
      <alignment horizontal="left" vertical="center" indent="16"/>
      <protection hidden="1"/>
    </xf>
    <xf numFmtId="0" fontId="147" fillId="44" borderId="0" xfId="0" applyFont="1" applyFill="1" applyBorder="1" applyAlignment="1" applyProtection="1">
      <alignment horizontal="left" vertical="center" indent="18"/>
      <protection hidden="1"/>
    </xf>
    <xf numFmtId="0" fontId="147" fillId="44" borderId="0" xfId="0" applyFont="1" applyFill="1" applyBorder="1" applyAlignment="1" applyProtection="1">
      <alignment horizontal="left" vertical="center" indent="19"/>
      <protection hidden="1"/>
    </xf>
    <xf numFmtId="0" fontId="0" fillId="45" borderId="10" xfId="0" applyFont="1" applyFill="1" applyBorder="1" applyAlignment="1" applyProtection="1">
      <alignment horizontal="center"/>
      <protection hidden="1"/>
    </xf>
    <xf numFmtId="0" fontId="0" fillId="45" borderId="6" xfId="0" applyFont="1" applyFill="1" applyBorder="1" applyAlignment="1" applyProtection="1">
      <alignment horizontal="center"/>
      <protection hidden="1"/>
    </xf>
    <xf numFmtId="0" fontId="0" fillId="0" borderId="28" xfId="0" applyFill="1" applyBorder="1"/>
    <xf numFmtId="0" fontId="51" fillId="20" borderId="0" xfId="0" applyFont="1" applyFill="1" applyBorder="1" applyAlignment="1" applyProtection="1">
      <alignment horizontal="center"/>
      <protection hidden="1"/>
    </xf>
    <xf numFmtId="0" fontId="140" fillId="2" borderId="0" xfId="0" applyFont="1" applyFill="1" applyBorder="1" applyAlignment="1" applyProtection="1">
      <alignment horizontal="left" vertical="center" indent="10"/>
      <protection hidden="1"/>
    </xf>
    <xf numFmtId="0" fontId="140" fillId="2" borderId="0" xfId="0" applyFont="1" applyFill="1" applyBorder="1" applyAlignment="1" applyProtection="1">
      <alignment horizontal="left" vertical="center" indent="12"/>
      <protection hidden="1"/>
    </xf>
    <xf numFmtId="0" fontId="140" fillId="2" borderId="0" xfId="0" applyFont="1" applyFill="1" applyBorder="1" applyAlignment="1" applyProtection="1">
      <alignment horizontal="left" vertical="center" indent="14"/>
      <protection hidden="1"/>
    </xf>
    <xf numFmtId="0" fontId="140" fillId="2" borderId="0" xfId="0" applyFont="1" applyFill="1" applyBorder="1" applyAlignment="1" applyProtection="1">
      <alignment horizontal="left" vertical="center" indent="15"/>
      <protection hidden="1"/>
    </xf>
    <xf numFmtId="0" fontId="140" fillId="2" borderId="0" xfId="0" applyFont="1" applyFill="1" applyBorder="1" applyAlignment="1" applyProtection="1">
      <alignment horizontal="left" vertical="center" indent="16"/>
      <protection hidden="1"/>
    </xf>
    <xf numFmtId="0" fontId="140" fillId="2" borderId="0" xfId="0" applyFont="1" applyFill="1" applyBorder="1" applyAlignment="1" applyProtection="1">
      <alignment horizontal="left" vertical="center" indent="17"/>
      <protection hidden="1"/>
    </xf>
    <xf numFmtId="0" fontId="140" fillId="2" borderId="0" xfId="0" applyFont="1" applyFill="1" applyBorder="1" applyAlignment="1" applyProtection="1">
      <alignment horizontal="left" vertical="center" indent="18"/>
      <protection hidden="1"/>
    </xf>
    <xf numFmtId="0" fontId="140" fillId="2" borderId="0" xfId="0" applyFont="1" applyFill="1" applyBorder="1" applyAlignment="1" applyProtection="1">
      <alignment horizontal="left" vertical="center" indent="19"/>
      <protection hidden="1"/>
    </xf>
    <xf numFmtId="0" fontId="140" fillId="2" borderId="0" xfId="0" applyFont="1" applyFill="1" applyBorder="1" applyAlignment="1" applyProtection="1">
      <alignment horizontal="left" vertical="center" indent="20"/>
      <protection hidden="1"/>
    </xf>
    <xf numFmtId="0" fontId="140" fillId="2" borderId="0" xfId="0" applyFont="1" applyFill="1" applyBorder="1" applyAlignment="1" applyProtection="1">
      <alignment horizontal="left" vertical="center" indent="11"/>
      <protection hidden="1"/>
    </xf>
    <xf numFmtId="0" fontId="140" fillId="2" borderId="0" xfId="0" applyFont="1" applyFill="1" applyBorder="1" applyAlignment="1" applyProtection="1">
      <alignment horizontal="left" vertical="center" indent="13"/>
      <protection hidden="1"/>
    </xf>
    <xf numFmtId="0" fontId="28" fillId="0" borderId="4" xfId="0" applyFont="1" applyFill="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121" fillId="20" borderId="0" xfId="0" applyNumberFormat="1" applyFont="1" applyFill="1" applyAlignment="1" applyProtection="1">
      <alignment horizontal="center" vertical="center"/>
      <protection hidden="1"/>
    </xf>
    <xf numFmtId="0" fontId="126" fillId="0" borderId="11" xfId="0" applyFont="1" applyBorder="1" applyAlignment="1" applyProtection="1">
      <alignment horizontal="center" vertical="center" wrapText="1"/>
      <protection hidden="1"/>
    </xf>
    <xf numFmtId="0" fontId="126" fillId="0" borderId="4" xfId="0" applyFont="1" applyBorder="1" applyAlignment="1" applyProtection="1">
      <alignment horizontal="center" vertical="center" wrapText="1"/>
      <protection hidden="1"/>
    </xf>
    <xf numFmtId="0" fontId="93" fillId="20" borderId="0" xfId="0" applyFont="1" applyFill="1" applyAlignment="1" applyProtection="1">
      <alignment horizontal="center"/>
      <protection hidden="1"/>
    </xf>
    <xf numFmtId="0" fontId="0" fillId="29" borderId="104" xfId="0" applyFill="1" applyBorder="1" applyAlignment="1" applyProtection="1">
      <alignment horizontal="center" vertical="center"/>
      <protection hidden="1"/>
    </xf>
    <xf numFmtId="165" fontId="0" fillId="29" borderId="104" xfId="0" applyNumberFormat="1" applyFill="1" applyBorder="1" applyAlignment="1" applyProtection="1">
      <alignment horizontal="center" vertical="center"/>
      <protection hidden="1"/>
    </xf>
    <xf numFmtId="0" fontId="7" fillId="29" borderId="4" xfId="0" applyFont="1" applyFill="1" applyBorder="1" applyAlignment="1" applyProtection="1">
      <alignment horizontal="center" vertical="center"/>
      <protection hidden="1"/>
    </xf>
    <xf numFmtId="0" fontId="0" fillId="29" borderId="4" xfId="0" applyFill="1" applyBorder="1" applyAlignment="1" applyProtection="1">
      <alignment horizontal="center" vertical="center"/>
      <protection hidden="1"/>
    </xf>
    <xf numFmtId="0" fontId="129" fillId="5" borderId="80" xfId="0" applyNumberFormat="1" applyFont="1" applyFill="1" applyBorder="1" applyAlignment="1" applyProtection="1">
      <alignment horizontal="center" vertical="center" wrapText="1"/>
      <protection hidden="1"/>
    </xf>
    <xf numFmtId="3" fontId="0" fillId="5" borderId="108" xfId="0" applyNumberFormat="1" applyFill="1" applyBorder="1" applyAlignment="1" applyProtection="1">
      <alignment horizontal="center" vertical="center"/>
      <protection hidden="1"/>
    </xf>
    <xf numFmtId="1" fontId="2" fillId="0" borderId="0" xfId="2" applyNumberFormat="1" applyProtection="1">
      <protection hidden="1"/>
    </xf>
    <xf numFmtId="0" fontId="66" fillId="0" borderId="0" xfId="0" applyFont="1" applyFill="1" applyBorder="1" applyAlignment="1">
      <alignment vertical="top"/>
    </xf>
    <xf numFmtId="170" fontId="0" fillId="0" borderId="0" xfId="0" applyNumberFormat="1"/>
    <xf numFmtId="166" fontId="0" fillId="0" borderId="0" xfId="0" applyNumberFormat="1" applyFill="1" applyBorder="1"/>
    <xf numFmtId="0" fontId="136" fillId="20" borderId="0" xfId="0" applyFont="1" applyFill="1"/>
    <xf numFmtId="1" fontId="0" fillId="0" borderId="4" xfId="0" applyNumberFormat="1" applyBorder="1"/>
    <xf numFmtId="0" fontId="0" fillId="0" borderId="4" xfId="0" applyFill="1" applyBorder="1"/>
    <xf numFmtId="0" fontId="0" fillId="0" borderId="4" xfId="0" applyFill="1" applyBorder="1" applyAlignment="1">
      <alignment horizontal="left"/>
    </xf>
    <xf numFmtId="0" fontId="0" fillId="0" borderId="4" xfId="0" applyBorder="1" applyAlignment="1">
      <alignment horizontal="left"/>
    </xf>
    <xf numFmtId="0" fontId="0" fillId="0" borderId="4" xfId="0" applyBorder="1" applyAlignment="1">
      <alignment horizontal="right"/>
    </xf>
    <xf numFmtId="165" fontId="26" fillId="0" borderId="4" xfId="0" applyNumberFormat="1" applyFont="1" applyBorder="1" applyAlignment="1">
      <alignment horizontal="center" vertical="center"/>
    </xf>
    <xf numFmtId="0" fontId="27" fillId="0" borderId="0" xfId="0" applyFont="1" applyAlignment="1">
      <alignment vertical="center"/>
    </xf>
    <xf numFmtId="0" fontId="27" fillId="0" borderId="4" xfId="0" applyFont="1" applyBorder="1" applyAlignment="1">
      <alignment vertical="center"/>
    </xf>
    <xf numFmtId="0" fontId="27" fillId="0" borderId="4" xfId="0" applyFont="1" applyBorder="1" applyAlignment="1">
      <alignment vertical="center" wrapText="1"/>
    </xf>
    <xf numFmtId="0" fontId="27" fillId="0" borderId="4" xfId="0" applyFont="1" applyBorder="1" applyAlignment="1">
      <alignment horizontal="center" vertical="center"/>
    </xf>
    <xf numFmtId="0" fontId="27" fillId="0" borderId="4" xfId="0" applyFont="1" applyBorder="1" applyAlignment="1">
      <alignment horizontal="center" vertical="center" wrapText="1"/>
    </xf>
    <xf numFmtId="1" fontId="27" fillId="0" borderId="4" xfId="1" applyNumberFormat="1" applyFont="1" applyBorder="1" applyAlignment="1">
      <alignment horizontal="center" vertical="center"/>
    </xf>
    <xf numFmtId="1" fontId="27" fillId="0" borderId="4" xfId="0" applyNumberFormat="1" applyFont="1" applyBorder="1" applyAlignment="1">
      <alignment horizontal="center" vertical="center" wrapText="1"/>
    </xf>
    <xf numFmtId="49" fontId="28" fillId="0" borderId="4" xfId="0" applyNumberFormat="1" applyFont="1" applyBorder="1" applyAlignment="1">
      <alignment vertical="center" wrapText="1"/>
    </xf>
    <xf numFmtId="0" fontId="28" fillId="0" borderId="4" xfId="0" applyFont="1" applyBorder="1" applyAlignment="1">
      <alignment horizontal="center" vertical="center"/>
    </xf>
    <xf numFmtId="166" fontId="12" fillId="10" borderId="4" xfId="0" applyNumberFormat="1" applyFont="1" applyFill="1" applyBorder="1" applyProtection="1">
      <protection hidden="1"/>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7" fillId="0" borderId="0" xfId="0" applyFont="1" applyBorder="1" applyAlignment="1">
      <alignment horizontal="center" vertical="center"/>
    </xf>
    <xf numFmtId="49" fontId="27" fillId="0" borderId="4" xfId="0" applyNumberFormat="1" applyFont="1" applyBorder="1" applyAlignment="1">
      <alignment vertical="center" wrapText="1"/>
    </xf>
    <xf numFmtId="49" fontId="27" fillId="0" borderId="11" xfId="0" applyNumberFormat="1" applyFont="1" applyBorder="1" applyAlignment="1">
      <alignment vertical="center" wrapText="1"/>
    </xf>
    <xf numFmtId="49" fontId="27" fillId="0" borderId="5" xfId="0" applyNumberFormat="1" applyFont="1" applyBorder="1" applyAlignment="1">
      <alignment vertical="center" wrapText="1"/>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8" xfId="0" applyFont="1" applyBorder="1" applyAlignment="1">
      <alignment vertical="center" wrapText="1"/>
    </xf>
    <xf numFmtId="0" fontId="27" fillId="0" borderId="7" xfId="0" applyFont="1" applyBorder="1" applyAlignment="1">
      <alignment vertical="center"/>
    </xf>
    <xf numFmtId="1" fontId="27" fillId="0" borderId="4" xfId="0" applyNumberFormat="1" applyFont="1" applyBorder="1" applyAlignment="1">
      <alignment horizontal="center" vertical="center"/>
    </xf>
    <xf numFmtId="0" fontId="27" fillId="0" borderId="11" xfId="0" applyFont="1" applyBorder="1" applyAlignment="1">
      <alignment vertical="center"/>
    </xf>
    <xf numFmtId="0" fontId="27" fillId="0" borderId="5" xfId="0" applyFont="1" applyBorder="1" applyAlignment="1">
      <alignment vertical="center"/>
    </xf>
    <xf numFmtId="170" fontId="27" fillId="0" borderId="5" xfId="0" applyNumberFormat="1" applyFont="1" applyBorder="1" applyAlignment="1">
      <alignment horizontal="center" vertical="center"/>
    </xf>
    <xf numFmtId="165" fontId="27" fillId="0" borderId="4" xfId="0" applyNumberFormat="1" applyFont="1" applyBorder="1" applyAlignment="1">
      <alignment horizontal="center" vertical="center"/>
    </xf>
    <xf numFmtId="0" fontId="27" fillId="0" borderId="11" xfId="0" applyFont="1" applyBorder="1" applyAlignment="1">
      <alignment vertical="center" wrapText="1"/>
    </xf>
    <xf numFmtId="0" fontId="27" fillId="0" borderId="5" xfId="0" applyFont="1" applyBorder="1" applyAlignment="1">
      <alignment horizontal="left" vertical="center" wrapText="1" indent="1"/>
    </xf>
    <xf numFmtId="0" fontId="27" fillId="0" borderId="28" xfId="0" applyFont="1" applyBorder="1" applyAlignment="1">
      <alignment horizontal="center" vertical="center"/>
    </xf>
    <xf numFmtId="0" fontId="27" fillId="0" borderId="28" xfId="0" applyFont="1" applyBorder="1" applyAlignment="1">
      <alignment vertical="center"/>
    </xf>
    <xf numFmtId="165" fontId="27" fillId="0" borderId="7" xfId="0" applyNumberFormat="1" applyFont="1" applyBorder="1" applyAlignment="1">
      <alignment horizontal="center" vertical="center"/>
    </xf>
    <xf numFmtId="0" fontId="27" fillId="0" borderId="0" xfId="0" applyFont="1" applyBorder="1" applyAlignment="1">
      <alignment vertical="center"/>
    </xf>
    <xf numFmtId="2" fontId="27" fillId="0" borderId="5" xfId="0" applyNumberFormat="1" applyFont="1" applyBorder="1" applyAlignment="1">
      <alignment horizontal="center" vertical="center"/>
    </xf>
    <xf numFmtId="1" fontId="27" fillId="0" borderId="5" xfId="0" applyNumberFormat="1" applyFont="1" applyBorder="1" applyAlignment="1">
      <alignment horizontal="center" vertical="center"/>
    </xf>
    <xf numFmtId="165" fontId="27" fillId="0" borderId="11" xfId="0" applyNumberFormat="1" applyFont="1" applyBorder="1" applyAlignment="1">
      <alignment horizontal="center" vertical="center"/>
    </xf>
    <xf numFmtId="0" fontId="27" fillId="0" borderId="28" xfId="0" applyFont="1" applyBorder="1" applyAlignment="1">
      <alignment vertical="center" wrapText="1"/>
    </xf>
    <xf numFmtId="0" fontId="27" fillId="0" borderId="28" xfId="0" applyFont="1" applyBorder="1" applyAlignment="1">
      <alignment horizontal="left" vertical="center" wrapText="1" indent="1"/>
    </xf>
    <xf numFmtId="1" fontId="27" fillId="0" borderId="28" xfId="0" applyNumberFormat="1" applyFont="1" applyBorder="1" applyAlignment="1">
      <alignment horizontal="center" vertical="center"/>
    </xf>
    <xf numFmtId="0" fontId="28" fillId="0" borderId="5" xfId="0" applyFont="1" applyBorder="1" applyAlignment="1">
      <alignment vertical="center" wrapText="1"/>
    </xf>
    <xf numFmtId="0" fontId="28" fillId="0" borderId="5" xfId="0" applyFont="1" applyBorder="1" applyAlignment="1">
      <alignment horizontal="center" vertical="center"/>
    </xf>
    <xf numFmtId="1" fontId="28" fillId="0" borderId="5" xfId="0" applyNumberFormat="1" applyFont="1" applyBorder="1" applyAlignment="1">
      <alignment horizontal="center" vertical="center"/>
    </xf>
    <xf numFmtId="166" fontId="27" fillId="0" borderId="11" xfId="0" applyNumberFormat="1" applyFont="1" applyBorder="1" applyAlignment="1">
      <alignment horizontal="center" vertical="center"/>
    </xf>
    <xf numFmtId="0" fontId="28" fillId="0" borderId="8" xfId="0" applyFont="1" applyBorder="1" applyAlignment="1">
      <alignment horizontal="left" vertical="center" wrapText="1"/>
    </xf>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27" fillId="0" borderId="28" xfId="0" applyFont="1" applyBorder="1" applyAlignment="1">
      <alignment horizontal="left" vertical="center" indent="2"/>
    </xf>
    <xf numFmtId="0" fontId="27" fillId="0" borderId="5" xfId="0" applyFont="1" applyBorder="1" applyAlignment="1">
      <alignment horizontal="left" vertical="center" indent="2"/>
    </xf>
    <xf numFmtId="165" fontId="27" fillId="0" borderId="28" xfId="0" applyNumberFormat="1" applyFont="1" applyBorder="1" applyAlignment="1">
      <alignment horizontal="center" vertical="center"/>
    </xf>
    <xf numFmtId="2" fontId="27" fillId="0" borderId="28" xfId="0" applyNumberFormat="1" applyFont="1" applyBorder="1" applyAlignment="1">
      <alignment horizontal="center" vertical="center"/>
    </xf>
    <xf numFmtId="2" fontId="29" fillId="16" borderId="4" xfId="0" applyNumberFormat="1" applyFont="1" applyFill="1" applyBorder="1" applyAlignment="1" applyProtection="1">
      <alignment horizontal="right"/>
      <protection hidden="1"/>
    </xf>
    <xf numFmtId="1" fontId="27" fillId="0" borderId="11" xfId="0" applyNumberFormat="1" applyFont="1" applyBorder="1" applyAlignment="1">
      <alignment horizontal="center" vertical="center"/>
    </xf>
    <xf numFmtId="0" fontId="27" fillId="0" borderId="9" xfId="0" applyFont="1" applyBorder="1" applyAlignment="1">
      <alignment vertical="center"/>
    </xf>
    <xf numFmtId="0" fontId="27" fillId="0" borderId="13" xfId="0" applyFont="1" applyBorder="1" applyAlignment="1">
      <alignment vertical="center"/>
    </xf>
    <xf numFmtId="0" fontId="27" fillId="0" borderId="10" xfId="0" applyFont="1" applyBorder="1" applyAlignment="1">
      <alignment vertical="center"/>
    </xf>
    <xf numFmtId="0" fontId="27" fillId="0" borderId="29" xfId="0" applyFont="1" applyBorder="1" applyAlignment="1">
      <alignment vertical="center"/>
    </xf>
    <xf numFmtId="0" fontId="27" fillId="0" borderId="6" xfId="0" applyFont="1" applyBorder="1" applyAlignment="1">
      <alignment vertical="center"/>
    </xf>
    <xf numFmtId="0" fontId="27" fillId="0" borderId="3" xfId="0" applyFont="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8" xfId="0" applyFont="1" applyBorder="1" applyAlignment="1">
      <alignment vertical="center"/>
    </xf>
    <xf numFmtId="0" fontId="27" fillId="0" borderId="12" xfId="0" applyFont="1" applyBorder="1" applyAlignment="1">
      <alignment vertical="center"/>
    </xf>
    <xf numFmtId="167" fontId="27" fillId="0" borderId="3" xfId="0" applyNumberFormat="1" applyFont="1" applyBorder="1" applyAlignment="1">
      <alignment vertical="center"/>
    </xf>
    <xf numFmtId="0" fontId="27" fillId="0" borderId="5" xfId="0" applyFont="1" applyBorder="1" applyAlignment="1">
      <alignment vertical="center" wrapText="1"/>
    </xf>
    <xf numFmtId="0" fontId="0" fillId="0" borderId="3" xfId="0" applyBorder="1"/>
    <xf numFmtId="0" fontId="0" fillId="0" borderId="1" xfId="0" applyBorder="1"/>
    <xf numFmtId="0" fontId="0" fillId="0" borderId="2" xfId="0" applyBorder="1"/>
    <xf numFmtId="0" fontId="0" fillId="0" borderId="9" xfId="0" applyBorder="1"/>
    <xf numFmtId="0" fontId="0" fillId="0" borderId="13" xfId="0" applyBorder="1"/>
    <xf numFmtId="0" fontId="0" fillId="0" borderId="10" xfId="0" applyBorder="1"/>
    <xf numFmtId="0" fontId="0" fillId="0" borderId="29" xfId="0" applyBorder="1"/>
    <xf numFmtId="0" fontId="0" fillId="0" borderId="0" xfId="0" applyBorder="1"/>
    <xf numFmtId="0" fontId="0" fillId="0" borderId="6" xfId="0" applyBorder="1"/>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27" fillId="0" borderId="4" xfId="0" applyFont="1" applyBorder="1" applyAlignment="1">
      <alignment horizontal="center" vertical="center"/>
    </xf>
    <xf numFmtId="1" fontId="0" fillId="20" borderId="0" xfId="0" applyNumberFormat="1" applyFill="1" applyAlignment="1" applyProtection="1">
      <alignment horizontal="center"/>
      <protection hidden="1"/>
    </xf>
    <xf numFmtId="0" fontId="28" fillId="0" borderId="4" xfId="0" applyFont="1" applyBorder="1" applyAlignment="1">
      <alignment vertical="center" wrapText="1"/>
    </xf>
    <xf numFmtId="3" fontId="27" fillId="0" borderId="11" xfId="0" applyNumberFormat="1" applyFont="1" applyBorder="1" applyAlignment="1">
      <alignment horizontal="center" vertical="center"/>
    </xf>
    <xf numFmtId="49" fontId="26" fillId="0" borderId="8"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1" fontId="27" fillId="0" borderId="8" xfId="0" applyNumberFormat="1" applyFont="1" applyBorder="1" applyAlignment="1">
      <alignment horizontal="center" vertical="center"/>
    </xf>
    <xf numFmtId="2" fontId="28" fillId="0" borderId="4" xfId="0" applyNumberFormat="1" applyFont="1" applyBorder="1" applyAlignment="1">
      <alignment horizontal="center" vertical="center"/>
    </xf>
    <xf numFmtId="1" fontId="27" fillId="0" borderId="7" xfId="0" applyNumberFormat="1" applyFont="1" applyBorder="1" applyAlignment="1">
      <alignment horizontal="center" vertical="center"/>
    </xf>
    <xf numFmtId="0" fontId="27"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11" xfId="0" applyFont="1" applyFill="1" applyBorder="1" applyAlignment="1">
      <alignment horizontal="center" vertical="center"/>
    </xf>
    <xf numFmtId="0" fontId="27" fillId="0" borderId="5" xfId="0" applyFont="1" applyFill="1" applyBorder="1" applyAlignment="1">
      <alignment horizontal="center" vertical="center"/>
    </xf>
    <xf numFmtId="1" fontId="27" fillId="0" borderId="5" xfId="0" applyNumberFormat="1" applyFont="1" applyBorder="1" applyAlignment="1">
      <alignment horizontal="center"/>
    </xf>
    <xf numFmtId="0" fontId="0" fillId="0" borderId="0" xfId="0" applyAlignment="1">
      <alignment wrapText="1"/>
    </xf>
    <xf numFmtId="10" fontId="0" fillId="0" borderId="0" xfId="0" applyNumberFormat="1" applyAlignment="1">
      <alignment wrapText="1"/>
    </xf>
    <xf numFmtId="9" fontId="0" fillId="0" borderId="0" xfId="0" applyNumberFormat="1" applyAlignment="1">
      <alignment wrapText="1"/>
    </xf>
    <xf numFmtId="0" fontId="109" fillId="2" borderId="0" xfId="10" applyFont="1" applyFill="1" applyAlignment="1" applyProtection="1">
      <alignment horizontal="right" vertical="center"/>
      <protection hidden="1"/>
    </xf>
    <xf numFmtId="0" fontId="66" fillId="20" borderId="0" xfId="0" applyFont="1" applyFill="1" applyProtection="1">
      <protection hidden="1"/>
    </xf>
    <xf numFmtId="0" fontId="0" fillId="43" borderId="0" xfId="0" applyFill="1" applyProtection="1">
      <protection hidden="1"/>
    </xf>
    <xf numFmtId="0" fontId="66" fillId="43" borderId="0" xfId="0" applyFont="1" applyFill="1" applyProtection="1">
      <protection hidden="1"/>
    </xf>
    <xf numFmtId="0" fontId="66" fillId="0" borderId="0" xfId="0" applyFont="1" applyProtection="1">
      <protection hidden="1"/>
    </xf>
    <xf numFmtId="0" fontId="66" fillId="2" borderId="0" xfId="0" applyFont="1" applyFill="1" applyProtection="1">
      <protection hidden="1"/>
    </xf>
    <xf numFmtId="0" fontId="98" fillId="20" borderId="0" xfId="0" applyFont="1" applyFill="1" applyProtection="1">
      <protection hidden="1"/>
    </xf>
    <xf numFmtId="0" fontId="98" fillId="2" borderId="0" xfId="0" applyFont="1" applyFill="1" applyProtection="1">
      <protection hidden="1"/>
    </xf>
    <xf numFmtId="0" fontId="98" fillId="2" borderId="0" xfId="0" applyFont="1" applyFill="1" applyAlignment="1" applyProtection="1">
      <alignment horizontal="left" vertical="top" wrapText="1"/>
      <protection hidden="1"/>
    </xf>
    <xf numFmtId="0" fontId="98" fillId="2" borderId="0" xfId="0" applyFont="1" applyFill="1" applyAlignment="1" applyProtection="1">
      <alignment vertical="top" wrapText="1"/>
      <protection hidden="1"/>
    </xf>
    <xf numFmtId="0" fontId="98" fillId="20" borderId="0" xfId="0" applyFont="1" applyFill="1" applyAlignment="1" applyProtection="1">
      <alignment vertical="center" wrapText="1"/>
      <protection hidden="1"/>
    </xf>
    <xf numFmtId="0" fontId="66" fillId="2" borderId="0" xfId="0" applyFont="1" applyFill="1" applyAlignment="1" applyProtection="1">
      <alignment horizontal="right"/>
      <protection hidden="1"/>
    </xf>
    <xf numFmtId="0" fontId="160" fillId="20" borderId="0" xfId="0" applyFont="1" applyFill="1" applyAlignment="1" applyProtection="1">
      <alignment horizontal="right"/>
      <protection hidden="1"/>
    </xf>
    <xf numFmtId="0" fontId="0" fillId="2" borderId="0" xfId="0" applyFill="1" applyProtection="1">
      <protection hidden="1"/>
    </xf>
    <xf numFmtId="0" fontId="85" fillId="20" borderId="0" xfId="0" applyFont="1" applyFill="1" applyAlignment="1" applyProtection="1">
      <alignment vertical="center"/>
      <protection hidden="1"/>
    </xf>
    <xf numFmtId="0" fontId="0" fillId="21" borderId="4"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110" fillId="20" borderId="0" xfId="0" applyFont="1" applyFill="1" applyBorder="1" applyAlignment="1" applyProtection="1">
      <alignment horizontal="center" vertical="center"/>
      <protection hidden="1"/>
    </xf>
    <xf numFmtId="0" fontId="110" fillId="20" borderId="13" xfId="0" applyFont="1" applyFill="1" applyBorder="1" applyAlignment="1" applyProtection="1">
      <alignment horizontal="center" vertical="center"/>
      <protection hidden="1"/>
    </xf>
    <xf numFmtId="0" fontId="0" fillId="21" borderId="5" xfId="0" applyFont="1" applyFill="1" applyBorder="1" applyAlignment="1" applyProtection="1">
      <alignment horizontal="right" vertical="center" wrapText="1"/>
      <protection hidden="1"/>
    </xf>
    <xf numFmtId="0" fontId="0" fillId="13" borderId="3" xfId="0" applyFill="1" applyBorder="1" applyAlignment="1" applyProtection="1">
      <alignment horizontal="center" vertical="center"/>
      <protection locked="0" hidden="1"/>
    </xf>
    <xf numFmtId="0" fontId="0" fillId="21" borderId="4" xfId="0" applyFont="1" applyFill="1" applyBorder="1" applyAlignment="1" applyProtection="1">
      <alignment horizontal="right" vertical="center"/>
      <protection hidden="1"/>
    </xf>
    <xf numFmtId="0" fontId="0" fillId="13" borderId="8" xfId="0" applyFill="1" applyBorder="1" applyAlignment="1" applyProtection="1">
      <alignment horizontal="center" vertical="center"/>
      <protection locked="0" hidden="1"/>
    </xf>
    <xf numFmtId="0" fontId="0" fillId="21" borderId="4" xfId="0" applyFont="1" applyFill="1" applyBorder="1" applyAlignment="1" applyProtection="1">
      <alignment horizontal="right" vertical="center" wrapText="1"/>
      <protection hidden="1"/>
    </xf>
    <xf numFmtId="3" fontId="0" fillId="13" borderId="8" xfId="0" applyNumberFormat="1" applyFill="1" applyBorder="1" applyAlignment="1" applyProtection="1">
      <alignment horizontal="center" vertical="center"/>
      <protection locked="0" hidden="1"/>
    </xf>
    <xf numFmtId="0" fontId="0" fillId="21" borderId="11" xfId="0" applyFont="1" applyFill="1" applyBorder="1" applyAlignment="1" applyProtection="1">
      <alignment horizontal="right" vertical="center" wrapText="1"/>
      <protection hidden="1"/>
    </xf>
    <xf numFmtId="3" fontId="0" fillId="13" borderId="100" xfId="0" applyNumberFormat="1" applyFill="1" applyBorder="1" applyAlignment="1" applyProtection="1">
      <alignment horizontal="center" vertical="center"/>
      <protection locked="0" hidden="1"/>
    </xf>
    <xf numFmtId="0" fontId="9" fillId="21" borderId="5" xfId="0" applyFont="1" applyFill="1" applyBorder="1" applyAlignment="1" applyProtection="1">
      <alignment horizontal="right" vertical="center" wrapText="1"/>
      <protection hidden="1"/>
    </xf>
    <xf numFmtId="0" fontId="0" fillId="21" borderId="4" xfId="0" applyFill="1" applyBorder="1" applyAlignment="1" applyProtection="1">
      <alignment horizontal="right" vertical="center" wrapText="1"/>
      <protection hidden="1"/>
    </xf>
    <xf numFmtId="0" fontId="0" fillId="45" borderId="6" xfId="0" applyFont="1" applyFill="1" applyBorder="1" applyAlignment="1" applyProtection="1">
      <alignment horizontal="center" vertical="center"/>
      <protection hidden="1"/>
    </xf>
    <xf numFmtId="0" fontId="133" fillId="21" borderId="3" xfId="0" applyFont="1" applyFill="1" applyBorder="1" applyAlignment="1" applyProtection="1">
      <alignment horizontal="right" vertical="center" wrapText="1"/>
      <protection hidden="1"/>
    </xf>
    <xf numFmtId="0" fontId="162" fillId="2" borderId="54" xfId="10" applyFont="1" applyFill="1" applyBorder="1" applyAlignment="1" applyProtection="1">
      <alignment horizontal="center" vertical="center" wrapText="1"/>
      <protection locked="0" hidden="1"/>
    </xf>
    <xf numFmtId="0" fontId="31" fillId="20" borderId="0" xfId="0" applyFont="1" applyFill="1" applyProtection="1">
      <protection hidden="1"/>
    </xf>
    <xf numFmtId="0" fontId="109" fillId="20" borderId="0" xfId="10" applyFont="1" applyFill="1" applyAlignment="1" applyProtection="1">
      <alignment horizontal="right"/>
      <protection locked="0"/>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3" fontId="0" fillId="5" borderId="8" xfId="0" applyNumberFormat="1" applyFill="1" applyBorder="1" applyAlignment="1" applyProtection="1">
      <alignment horizontal="center" vertical="center"/>
      <protection hidden="1"/>
    </xf>
    <xf numFmtId="0" fontId="30" fillId="20" borderId="0" xfId="0" applyFont="1" applyFill="1" applyAlignment="1" applyProtection="1">
      <alignment horizontal="right"/>
    </xf>
    <xf numFmtId="0" fontId="12" fillId="21" borderId="4" xfId="0" applyFont="1"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87" fillId="21" borderId="4" xfId="0" applyFont="1" applyFill="1" applyBorder="1" applyAlignment="1" applyProtection="1">
      <alignment vertical="center" wrapText="1"/>
      <protection hidden="1"/>
    </xf>
    <xf numFmtId="0" fontId="0" fillId="21" borderId="100" xfId="0" applyFont="1" applyFill="1" applyBorder="1" applyAlignment="1">
      <alignment horizontal="right" vertical="center" wrapText="1"/>
    </xf>
    <xf numFmtId="0" fontId="0" fillId="13" borderId="100" xfId="0" applyFont="1" applyFill="1" applyBorder="1" applyAlignment="1" applyProtection="1">
      <alignment horizontal="center" vertical="center"/>
      <protection locked="0"/>
    </xf>
    <xf numFmtId="0" fontId="0" fillId="13" borderId="108" xfId="0" applyFont="1" applyFill="1" applyBorder="1" applyAlignment="1" applyProtection="1">
      <alignment horizontal="center" vertical="center"/>
      <protection locked="0"/>
    </xf>
    <xf numFmtId="0" fontId="61" fillId="21" borderId="108" xfId="0" applyFont="1" applyFill="1" applyBorder="1" applyAlignment="1">
      <alignment horizontal="right" vertical="center" wrapText="1"/>
    </xf>
    <xf numFmtId="49" fontId="30" fillId="21" borderId="108" xfId="0" applyNumberFormat="1" applyFont="1" applyFill="1" applyBorder="1" applyAlignment="1">
      <alignment horizontal="left" vertical="center" wrapText="1"/>
    </xf>
    <xf numFmtId="0" fontId="0" fillId="13" borderId="100" xfId="0" applyFill="1" applyBorder="1" applyAlignment="1" applyProtection="1">
      <alignment horizontal="center" vertical="center" wrapText="1"/>
      <protection locked="0"/>
    </xf>
    <xf numFmtId="0" fontId="0" fillId="13" borderId="104" xfId="0" applyFill="1" applyBorder="1" applyAlignment="1" applyProtection="1">
      <alignment horizontal="center" vertical="center" wrapText="1"/>
      <protection locked="0"/>
    </xf>
    <xf numFmtId="0" fontId="0" fillId="13" borderId="108" xfId="0" applyNumberFormat="1" applyFont="1" applyFill="1" applyBorder="1" applyAlignment="1" applyProtection="1">
      <alignment horizontal="center" vertical="center" wrapText="1"/>
      <protection locked="0"/>
    </xf>
    <xf numFmtId="0" fontId="0" fillId="13" borderId="108" xfId="0" applyFill="1" applyBorder="1" applyAlignment="1" applyProtection="1">
      <alignment horizontal="center" vertical="center" wrapText="1"/>
      <protection locked="0"/>
    </xf>
    <xf numFmtId="0" fontId="0" fillId="21" borderId="104" xfId="0" applyFont="1" applyFill="1" applyBorder="1" applyAlignment="1">
      <alignment horizontal="right" vertical="center" wrapText="1"/>
    </xf>
    <xf numFmtId="0" fontId="0" fillId="13" borderId="119" xfId="0" applyFill="1" applyBorder="1" applyAlignment="1" applyProtection="1">
      <alignment horizontal="right" vertical="center"/>
      <protection locked="0"/>
    </xf>
    <xf numFmtId="0" fontId="65" fillId="21" borderId="100" xfId="0" applyFont="1" applyFill="1" applyBorder="1" applyAlignment="1">
      <alignment horizontal="left" vertical="top" wrapText="1"/>
    </xf>
    <xf numFmtId="0" fontId="65" fillId="21" borderId="104" xfId="0" applyFont="1" applyFill="1" applyBorder="1" applyAlignment="1">
      <alignment vertical="center" wrapText="1"/>
    </xf>
    <xf numFmtId="0" fontId="65" fillId="21" borderId="108" xfId="0" applyFont="1" applyFill="1" applyBorder="1" applyAlignment="1">
      <alignment vertical="center" wrapText="1"/>
    </xf>
    <xf numFmtId="0" fontId="67" fillId="21" borderId="110" xfId="0" applyFont="1" applyFill="1" applyBorder="1" applyAlignment="1" applyProtection="1">
      <alignment horizontal="left" vertical="center" wrapText="1"/>
      <protection hidden="1"/>
    </xf>
    <xf numFmtId="0" fontId="67" fillId="21" borderId="104" xfId="0" applyFont="1" applyFill="1" applyBorder="1" applyAlignment="1" applyProtection="1">
      <alignment horizontal="left" vertical="center" wrapText="1"/>
      <protection hidden="1"/>
    </xf>
    <xf numFmtId="165" fontId="0" fillId="5" borderId="104" xfId="0" applyNumberFormat="1" applyFill="1" applyBorder="1" applyAlignment="1">
      <alignment horizontal="center" vertical="center"/>
    </xf>
    <xf numFmtId="0" fontId="29" fillId="21" borderId="108" xfId="0" applyFont="1" applyFill="1" applyBorder="1" applyAlignment="1">
      <alignment horizontal="right" vertical="center" wrapText="1"/>
    </xf>
    <xf numFmtId="0" fontId="163" fillId="21" borderId="100" xfId="0" applyFont="1" applyFill="1" applyBorder="1" applyAlignment="1">
      <alignment vertical="center"/>
    </xf>
    <xf numFmtId="0" fontId="163" fillId="21" borderId="104" xfId="0" applyFont="1" applyFill="1" applyBorder="1" applyAlignment="1">
      <alignment vertical="center"/>
    </xf>
    <xf numFmtId="0" fontId="0" fillId="0" borderId="108" xfId="0" applyBorder="1"/>
    <xf numFmtId="0" fontId="0" fillId="0" borderId="100" xfId="0" applyBorder="1"/>
    <xf numFmtId="0" fontId="163" fillId="21" borderId="109" xfId="0" applyFont="1" applyFill="1" applyBorder="1" applyAlignment="1">
      <alignment vertical="center"/>
    </xf>
    <xf numFmtId="0" fontId="0" fillId="13" borderId="97" xfId="0" applyFill="1" applyBorder="1" applyAlignment="1" applyProtection="1">
      <alignment horizontal="center" vertical="center"/>
      <protection locked="0"/>
    </xf>
    <xf numFmtId="0" fontId="0" fillId="21" borderId="100" xfId="0" applyFill="1" applyBorder="1" applyAlignment="1" applyProtection="1">
      <alignment horizontal="left" vertical="center"/>
      <protection hidden="1"/>
    </xf>
    <xf numFmtId="0" fontId="0" fillId="13" borderId="101" xfId="0" applyFill="1" applyBorder="1" applyAlignment="1" applyProtection="1">
      <alignment horizontal="center" vertical="center"/>
      <protection locked="0"/>
    </xf>
    <xf numFmtId="0" fontId="0" fillId="21" borderId="104" xfId="0" applyFill="1" applyBorder="1" applyAlignment="1" applyProtection="1">
      <alignment horizontal="left" vertical="center"/>
      <protection hidden="1"/>
    </xf>
    <xf numFmtId="0" fontId="0" fillId="21" borderId="104" xfId="0" applyFont="1" applyFill="1" applyBorder="1" applyAlignment="1">
      <alignment horizontal="right" vertical="center"/>
    </xf>
    <xf numFmtId="0" fontId="30" fillId="21" borderId="104" xfId="0" applyFont="1" applyFill="1" applyBorder="1" applyAlignment="1" applyProtection="1">
      <alignment horizontal="left" vertical="center" wrapText="1"/>
      <protection hidden="1"/>
    </xf>
    <xf numFmtId="0" fontId="7" fillId="13" borderId="101" xfId="0" applyFont="1" applyFill="1" applyBorder="1" applyAlignment="1" applyProtection="1">
      <alignment horizontal="center" vertical="center" wrapText="1"/>
      <protection locked="0"/>
    </xf>
    <xf numFmtId="0" fontId="61" fillId="21" borderId="104" xfId="0" applyFont="1" applyFill="1" applyBorder="1" applyAlignment="1">
      <alignment horizontal="right" vertical="center" wrapText="1"/>
    </xf>
    <xf numFmtId="0" fontId="0" fillId="13" borderId="101" xfId="0" applyFill="1" applyBorder="1"/>
    <xf numFmtId="0" fontId="0" fillId="13" borderId="105" xfId="0" applyFill="1" applyBorder="1"/>
    <xf numFmtId="0" fontId="0" fillId="21" borderId="108" xfId="0" applyFill="1" applyBorder="1" applyAlignment="1" applyProtection="1">
      <alignment horizontal="left" vertical="center"/>
      <protection hidden="1"/>
    </xf>
    <xf numFmtId="0" fontId="29" fillId="21" borderId="100" xfId="0" applyFont="1" applyFill="1" applyBorder="1" applyAlignment="1">
      <alignment horizontal="right" vertical="center"/>
    </xf>
    <xf numFmtId="1" fontId="0" fillId="5" borderId="97" xfId="0" applyNumberFormat="1" applyFill="1" applyBorder="1" applyAlignment="1">
      <alignment horizontal="center" vertical="center"/>
    </xf>
    <xf numFmtId="0" fontId="29" fillId="21" borderId="104" xfId="0" applyFont="1" applyFill="1" applyBorder="1" applyAlignment="1">
      <alignment horizontal="right" indent="1"/>
    </xf>
    <xf numFmtId="1" fontId="0" fillId="13" borderId="101" xfId="0" applyNumberFormat="1" applyFill="1" applyBorder="1" applyAlignment="1" applyProtection="1">
      <alignment horizontal="center"/>
      <protection locked="0"/>
    </xf>
    <xf numFmtId="0" fontId="0" fillId="13" borderId="101" xfId="0" applyFill="1" applyBorder="1" applyAlignment="1" applyProtection="1">
      <alignment horizontal="center"/>
      <protection locked="0"/>
    </xf>
    <xf numFmtId="0" fontId="0" fillId="21" borderId="5" xfId="0" applyFont="1" applyFill="1" applyBorder="1" applyAlignment="1">
      <alignment horizontal="right" vertical="center" wrapText="1"/>
    </xf>
    <xf numFmtId="0" fontId="0" fillId="13" borderId="5" xfId="0" applyFill="1" applyBorder="1"/>
    <xf numFmtId="0" fontId="0" fillId="21" borderId="5" xfId="0" applyFill="1" applyBorder="1" applyProtection="1">
      <protection hidden="1"/>
    </xf>
    <xf numFmtId="0" fontId="29" fillId="21" borderId="108" xfId="0" applyFont="1" applyFill="1" applyBorder="1" applyAlignment="1">
      <alignment horizontal="right" indent="1"/>
    </xf>
    <xf numFmtId="0" fontId="0" fillId="13" borderId="105" xfId="0" applyFill="1" applyBorder="1" applyAlignment="1" applyProtection="1">
      <alignment horizontal="center"/>
      <protection locked="0"/>
    </xf>
    <xf numFmtId="0" fontId="29" fillId="21" borderId="109" xfId="0" applyFont="1" applyFill="1" applyBorder="1" applyAlignment="1">
      <alignment horizontal="right" vertical="center" wrapText="1"/>
    </xf>
    <xf numFmtId="0" fontId="0" fillId="13" borderId="97" xfId="0" applyFill="1" applyBorder="1"/>
    <xf numFmtId="0" fontId="0" fillId="21" borderId="100" xfId="0" applyFont="1" applyFill="1" applyBorder="1" applyAlignment="1">
      <alignment horizontal="right" vertical="center"/>
    </xf>
    <xf numFmtId="0" fontId="29" fillId="21" borderId="100" xfId="0" applyFont="1" applyFill="1" applyBorder="1" applyAlignment="1">
      <alignment horizontal="right" vertical="center" wrapText="1"/>
    </xf>
    <xf numFmtId="0" fontId="0" fillId="13" borderId="100" xfId="0" applyFont="1" applyFill="1" applyBorder="1" applyAlignment="1">
      <alignment horizontal="center" vertical="center"/>
    </xf>
    <xf numFmtId="0" fontId="0" fillId="13" borderId="109" xfId="0" applyFill="1" applyBorder="1" applyAlignment="1" applyProtection="1">
      <alignment horizontal="center" vertical="center"/>
      <protection locked="0"/>
    </xf>
    <xf numFmtId="0" fontId="0" fillId="21" borderId="104" xfId="0" applyFill="1" applyBorder="1" applyAlignment="1">
      <alignment horizontal="center"/>
    </xf>
    <xf numFmtId="0" fontId="0" fillId="0" borderId="10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0" borderId="108" xfId="0" applyFill="1" applyBorder="1" applyAlignment="1" applyProtection="1">
      <alignment horizontal="left" vertical="center" wrapText="1"/>
      <protection locked="0"/>
    </xf>
    <xf numFmtId="0" fontId="74" fillId="20" borderId="0" xfId="0" applyFont="1" applyFill="1" applyAlignment="1">
      <alignment horizontal="center" vertical="top"/>
    </xf>
    <xf numFmtId="0" fontId="0" fillId="21" borderId="103" xfId="0" applyFill="1" applyBorder="1" applyAlignment="1" applyProtection="1">
      <alignment horizontal="left" vertical="center" wrapText="1"/>
      <protection hidden="1"/>
    </xf>
    <xf numFmtId="0" fontId="7" fillId="13" borderId="104" xfId="0" applyFont="1" applyFill="1" applyBorder="1" applyAlignment="1" applyProtection="1">
      <alignment horizontal="center" vertical="center"/>
      <protection locked="0"/>
    </xf>
    <xf numFmtId="0" fontId="83" fillId="21" borderId="4" xfId="10" applyFill="1" applyBorder="1" applyAlignment="1">
      <alignment vertical="center"/>
    </xf>
    <xf numFmtId="0" fontId="83" fillId="21" borderId="4" xfId="10" applyFill="1" applyBorder="1" applyAlignment="1">
      <alignment horizontal="left" vertical="center"/>
    </xf>
    <xf numFmtId="0" fontId="0" fillId="21" borderId="4" xfId="0" applyFill="1" applyBorder="1" applyAlignment="1">
      <alignment horizontal="center" vertical="center"/>
    </xf>
    <xf numFmtId="0" fontId="0" fillId="21" borderId="4" xfId="0" applyFill="1" applyBorder="1" applyAlignment="1">
      <alignment horizontal="center" vertical="center" wrapText="1"/>
    </xf>
    <xf numFmtId="0" fontId="82" fillId="21" borderId="4" xfId="0" applyFont="1" applyFill="1" applyBorder="1" applyAlignment="1">
      <alignment vertical="center"/>
    </xf>
    <xf numFmtId="0" fontId="122" fillId="12" borderId="4" xfId="0" applyFont="1" applyFill="1" applyBorder="1" applyAlignment="1" applyProtection="1">
      <alignment horizontal="center" vertical="center"/>
      <protection hidden="1"/>
    </xf>
    <xf numFmtId="0" fontId="0" fillId="21" borderId="4" xfId="0" applyFill="1" applyBorder="1" applyAlignment="1" applyProtection="1">
      <alignment vertical="center"/>
      <protection hidden="1"/>
    </xf>
    <xf numFmtId="0" fontId="0" fillId="20" borderId="0" xfId="0" applyFill="1" applyAlignment="1">
      <alignment vertical="center"/>
    </xf>
    <xf numFmtId="0" fontId="0" fillId="21" borderId="110" xfId="0" applyFont="1" applyFill="1" applyBorder="1" applyAlignment="1">
      <alignment horizontal="right" vertical="center"/>
    </xf>
    <xf numFmtId="0" fontId="0" fillId="13" borderId="110" xfId="0" applyFill="1" applyBorder="1" applyAlignment="1" applyProtection="1">
      <alignment horizontal="center" vertical="center"/>
      <protection locked="0"/>
    </xf>
    <xf numFmtId="0" fontId="0" fillId="21" borderId="4" xfId="0" applyFill="1" applyBorder="1" applyAlignment="1" applyProtection="1">
      <alignment vertical="center"/>
      <protection locked="0"/>
    </xf>
    <xf numFmtId="0" fontId="0" fillId="13" borderId="97" xfId="0" applyFill="1" applyBorder="1" applyAlignment="1" applyProtection="1">
      <alignment horizontal="center" vertical="center" wrapText="1"/>
      <protection locked="0"/>
    </xf>
    <xf numFmtId="0" fontId="0" fillId="21" borderId="100" xfId="0" applyFont="1" applyFill="1" applyBorder="1" applyAlignment="1" applyProtection="1">
      <alignment horizontal="left" vertical="center" wrapText="1"/>
      <protection hidden="1"/>
    </xf>
    <xf numFmtId="0" fontId="12" fillId="20" borderId="0" xfId="0" applyFont="1" applyFill="1" applyAlignment="1">
      <alignment horizontal="center" vertical="center" wrapText="1"/>
    </xf>
    <xf numFmtId="0" fontId="114" fillId="46" borderId="104" xfId="0" applyFont="1" applyFill="1" applyBorder="1" applyAlignment="1" applyProtection="1">
      <alignment horizontal="center" vertical="center"/>
      <protection locked="0"/>
    </xf>
    <xf numFmtId="0" fontId="114" fillId="46" borderId="100" xfId="0" applyFont="1" applyFill="1" applyBorder="1" applyAlignment="1" applyProtection="1">
      <alignment horizontal="center" vertical="center"/>
      <protection locked="0"/>
    </xf>
    <xf numFmtId="0" fontId="114" fillId="46" borderId="109" xfId="0" applyFont="1" applyFill="1" applyBorder="1" applyAlignment="1" applyProtection="1">
      <alignment horizontal="center" vertical="center"/>
      <protection locked="0"/>
    </xf>
    <xf numFmtId="0" fontId="166" fillId="46" borderId="120" xfId="0" applyFont="1" applyFill="1" applyBorder="1" applyAlignment="1" applyProtection="1">
      <alignment horizontal="center" vertical="center"/>
      <protection locked="0"/>
    </xf>
    <xf numFmtId="0" fontId="0" fillId="46" borderId="121" xfId="0" applyFill="1" applyBorder="1"/>
    <xf numFmtId="0" fontId="0" fillId="46" borderId="122" xfId="0" applyFill="1" applyBorder="1" applyAlignment="1" applyProtection="1">
      <alignment horizontal="center" vertical="center" wrapText="1"/>
      <protection locked="0"/>
    </xf>
    <xf numFmtId="0" fontId="0" fillId="46" borderId="100" xfId="0" applyFill="1" applyBorder="1" applyAlignment="1" applyProtection="1">
      <alignment horizontal="center"/>
      <protection locked="0"/>
    </xf>
    <xf numFmtId="0" fontId="0" fillId="46" borderId="104" xfId="0" applyFill="1" applyBorder="1" applyAlignment="1" applyProtection="1">
      <alignment horizontal="center"/>
      <protection locked="0"/>
    </xf>
    <xf numFmtId="0" fontId="7" fillId="20" borderId="0" xfId="0" applyFont="1" applyFill="1" applyProtection="1">
      <protection hidden="1"/>
    </xf>
    <xf numFmtId="0" fontId="170" fillId="44" borderId="1" xfId="0" applyFont="1" applyFill="1" applyBorder="1" applyAlignment="1" applyProtection="1">
      <alignment horizontal="center" vertical="center" wrapText="1"/>
      <protection hidden="1"/>
    </xf>
    <xf numFmtId="0" fontId="36" fillId="20" borderId="0" xfId="0" applyFont="1" applyFill="1" applyProtection="1">
      <protection hidden="1"/>
    </xf>
    <xf numFmtId="0" fontId="0" fillId="20" borderId="0" xfId="0" applyFont="1" applyFill="1" applyAlignment="1" applyProtection="1">
      <alignment wrapText="1"/>
      <protection hidden="1"/>
    </xf>
    <xf numFmtId="0" fontId="0" fillId="20" borderId="0" xfId="0" applyFont="1" applyFill="1" applyProtection="1">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horizontal="left" vertical="center" wrapText="1"/>
      <protection hidden="1"/>
    </xf>
    <xf numFmtId="0" fontId="27" fillId="0" borderId="0" xfId="0" applyFont="1" applyFill="1" applyAlignment="1" applyProtection="1">
      <alignment horizontal="left" vertical="center"/>
      <protection hidden="1"/>
    </xf>
    <xf numFmtId="0" fontId="27" fillId="0" borderId="0" xfId="0" applyFont="1" applyFill="1" applyProtection="1">
      <protection hidden="1"/>
    </xf>
    <xf numFmtId="0" fontId="27" fillId="20" borderId="0" xfId="0" applyFont="1" applyFill="1" applyAlignment="1" applyProtection="1">
      <alignment horizontal="center" vertical="center"/>
      <protection hidden="1"/>
    </xf>
    <xf numFmtId="0" fontId="27" fillId="20" borderId="0" xfId="0" applyFont="1" applyFill="1" applyAlignment="1" applyProtection="1">
      <alignment horizontal="left" vertical="center" wrapText="1"/>
      <protection hidden="1"/>
    </xf>
    <xf numFmtId="0" fontId="27" fillId="20" borderId="0" xfId="0" applyFont="1" applyFill="1" applyAlignment="1" applyProtection="1">
      <alignment horizontal="left" vertical="center"/>
      <protection hidden="1"/>
    </xf>
    <xf numFmtId="0" fontId="27" fillId="20" borderId="0" xfId="0" applyFont="1" applyFill="1" applyProtection="1">
      <protection hidden="1"/>
    </xf>
    <xf numFmtId="0" fontId="30" fillId="20" borderId="0" xfId="0" applyFont="1" applyFill="1" applyAlignment="1" applyProtection="1">
      <alignment horizontal="left" vertical="center"/>
      <protection hidden="1"/>
    </xf>
    <xf numFmtId="0" fontId="30" fillId="20" borderId="0" xfId="0" applyFont="1" applyFill="1" applyAlignment="1" applyProtection="1">
      <alignment horizontal="center" vertical="center"/>
      <protection hidden="1"/>
    </xf>
    <xf numFmtId="0" fontId="30" fillId="20" borderId="0" xfId="0" applyFont="1" applyFill="1" applyAlignment="1" applyProtection="1">
      <alignment horizontal="left" vertical="center" wrapText="1"/>
      <protection hidden="1"/>
    </xf>
    <xf numFmtId="0" fontId="66" fillId="0" borderId="4"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center" vertical="center" wrapText="1"/>
      <protection hidden="1"/>
    </xf>
    <xf numFmtId="0" fontId="170" fillId="0" borderId="4" xfId="0" applyFont="1" applyFill="1" applyBorder="1" applyAlignment="1" applyProtection="1">
      <alignment horizontal="center" vertical="center" wrapText="1"/>
      <protection hidden="1"/>
    </xf>
    <xf numFmtId="0" fontId="170" fillId="0" borderId="4" xfId="0" applyFont="1" applyFill="1" applyBorder="1" applyAlignment="1" applyProtection="1">
      <alignment horizontal="center" vertical="center"/>
      <protection hidden="1"/>
    </xf>
    <xf numFmtId="0" fontId="66" fillId="0" borderId="4" xfId="0" applyFont="1" applyFill="1" applyBorder="1" applyAlignment="1" applyProtection="1">
      <alignment horizontal="center" vertical="center"/>
      <protection hidden="1"/>
    </xf>
    <xf numFmtId="0" fontId="170" fillId="44" borderId="4" xfId="0" applyFont="1" applyFill="1" applyBorder="1" applyAlignment="1" applyProtection="1">
      <alignment horizontal="center" vertical="center" wrapText="1"/>
      <protection hidden="1"/>
    </xf>
    <xf numFmtId="0" fontId="170" fillId="44" borderId="0" xfId="0" applyFont="1" applyFill="1" applyBorder="1" applyAlignment="1" applyProtection="1">
      <alignment horizontal="center" vertical="center" wrapText="1"/>
      <protection hidden="1"/>
    </xf>
    <xf numFmtId="173" fontId="30" fillId="20" borderId="0" xfId="0" applyNumberFormat="1" applyFont="1" applyFill="1" applyProtection="1">
      <protection hidden="1"/>
    </xf>
    <xf numFmtId="0" fontId="30" fillId="20" borderId="0" xfId="0" quotePrefix="1" applyFont="1" applyFill="1" applyProtection="1">
      <protection hidden="1"/>
    </xf>
    <xf numFmtId="0" fontId="170" fillId="0" borderId="133" xfId="0" applyFont="1" applyFill="1" applyBorder="1" applyAlignment="1" applyProtection="1">
      <alignment horizontal="center" vertical="center"/>
      <protection hidden="1"/>
    </xf>
    <xf numFmtId="0" fontId="170" fillId="0" borderId="121" xfId="0" applyFont="1" applyFill="1" applyBorder="1" applyAlignment="1" applyProtection="1">
      <alignment horizontal="center" vertical="center" wrapText="1"/>
      <protection hidden="1"/>
    </xf>
    <xf numFmtId="0" fontId="170" fillId="0" borderId="122" xfId="0" applyFont="1" applyFill="1" applyBorder="1" applyAlignment="1" applyProtection="1">
      <alignment horizontal="center" vertical="center" wrapText="1"/>
      <protection hidden="1"/>
    </xf>
    <xf numFmtId="0" fontId="66" fillId="0" borderId="133" xfId="0" applyFont="1" applyFill="1" applyBorder="1" applyAlignment="1" applyProtection="1">
      <alignment horizontal="center" vertical="center"/>
      <protection hidden="1"/>
    </xf>
    <xf numFmtId="0" fontId="66" fillId="0" borderId="121" xfId="0" applyFont="1" applyFill="1" applyBorder="1" applyAlignment="1" applyProtection="1">
      <alignment horizontal="center" vertical="center"/>
      <protection hidden="1"/>
    </xf>
    <xf numFmtId="0" fontId="66" fillId="0" borderId="122" xfId="0" applyFont="1" applyFill="1" applyBorder="1" applyAlignment="1" applyProtection="1">
      <alignment horizontal="center" vertical="center"/>
      <protection hidden="1"/>
    </xf>
    <xf numFmtId="0" fontId="170" fillId="0" borderId="133" xfId="0" applyFont="1" applyFill="1" applyBorder="1" applyAlignment="1" applyProtection="1">
      <alignment horizontal="center" vertical="center" wrapText="1"/>
      <protection hidden="1"/>
    </xf>
    <xf numFmtId="0" fontId="66" fillId="0" borderId="133" xfId="0" applyFont="1" applyFill="1" applyBorder="1" applyAlignment="1" applyProtection="1">
      <alignment horizontal="center" vertical="center" wrapText="1"/>
      <protection hidden="1"/>
    </xf>
    <xf numFmtId="0" fontId="66" fillId="0" borderId="121" xfId="0" applyFont="1" applyFill="1" applyBorder="1" applyAlignment="1" applyProtection="1">
      <alignment horizontal="center" vertical="center" wrapText="1"/>
      <protection hidden="1"/>
    </xf>
    <xf numFmtId="0" fontId="66" fillId="0" borderId="122" xfId="0" applyFont="1" applyFill="1" applyBorder="1" applyAlignment="1" applyProtection="1">
      <alignment horizontal="center" vertical="center" wrapText="1"/>
      <protection hidden="1"/>
    </xf>
    <xf numFmtId="0" fontId="7" fillId="2" borderId="0" xfId="0" applyFont="1" applyFill="1" applyProtection="1">
      <protection hidden="1"/>
    </xf>
    <xf numFmtId="0" fontId="172" fillId="0" borderId="4" xfId="0" applyFont="1" applyFill="1" applyBorder="1" applyAlignment="1" applyProtection="1">
      <alignment horizontal="center" vertical="center" wrapText="1"/>
      <protection hidden="1"/>
    </xf>
    <xf numFmtId="0" fontId="0" fillId="2" borderId="0" xfId="0" applyFont="1" applyFill="1" applyProtection="1">
      <protection hidden="1"/>
    </xf>
    <xf numFmtId="0" fontId="0" fillId="2" borderId="0" xfId="0" applyFont="1" applyFill="1" applyAlignment="1" applyProtection="1">
      <alignment wrapText="1"/>
      <protection hidden="1"/>
    </xf>
    <xf numFmtId="0" fontId="0"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center"/>
      <protection hidden="1"/>
    </xf>
    <xf numFmtId="0" fontId="181" fillId="0" borderId="4" xfId="0" applyFont="1" applyFill="1" applyBorder="1" applyAlignment="1" applyProtection="1">
      <alignment horizontal="center" vertical="center" wrapText="1"/>
      <protection hidden="1"/>
    </xf>
    <xf numFmtId="0" fontId="184" fillId="20" borderId="0" xfId="0" applyFont="1" applyFill="1" applyProtection="1">
      <protection hidden="1"/>
    </xf>
    <xf numFmtId="8" fontId="30" fillId="20" borderId="0" xfId="0" applyNumberFormat="1" applyFont="1" applyFill="1" applyProtection="1">
      <protection hidden="1"/>
    </xf>
    <xf numFmtId="1" fontId="0" fillId="20" borderId="0" xfId="0" applyNumberFormat="1" applyFill="1"/>
    <xf numFmtId="1" fontId="0" fillId="29" borderId="104" xfId="0" applyNumberFormat="1" applyFill="1" applyBorder="1" applyProtection="1">
      <protection hidden="1"/>
    </xf>
    <xf numFmtId="0" fontId="0" fillId="0" borderId="0" xfId="0" quotePrefix="1" applyFill="1" applyProtection="1">
      <protection hidden="1"/>
    </xf>
    <xf numFmtId="0" fontId="0" fillId="0" borderId="0" xfId="0" applyFill="1"/>
    <xf numFmtId="0" fontId="0" fillId="0" borderId="29" xfId="0" applyFill="1" applyBorder="1" applyProtection="1">
      <protection hidden="1"/>
    </xf>
    <xf numFmtId="0" fontId="0" fillId="28" borderId="0" xfId="0" applyFill="1" applyBorder="1" applyProtection="1">
      <protection hidden="1"/>
    </xf>
    <xf numFmtId="0" fontId="0" fillId="0" borderId="3" xfId="0" applyFill="1" applyBorder="1" applyProtection="1">
      <protection hidden="1"/>
    </xf>
    <xf numFmtId="0" fontId="0" fillId="0" borderId="1" xfId="0" applyFill="1" applyBorder="1" applyProtection="1">
      <protection hidden="1"/>
    </xf>
    <xf numFmtId="0" fontId="0" fillId="0" borderId="6" xfId="0" applyFill="1" applyBorder="1" applyProtection="1">
      <protection hidden="1"/>
    </xf>
    <xf numFmtId="1" fontId="0" fillId="0" borderId="6" xfId="0" applyNumberFormat="1" applyFill="1" applyBorder="1" applyProtection="1">
      <protection hidden="1"/>
    </xf>
    <xf numFmtId="0" fontId="0" fillId="0" borderId="2" xfId="0" applyFill="1" applyBorder="1" applyProtection="1">
      <protection hidden="1"/>
    </xf>
    <xf numFmtId="0" fontId="0" fillId="28" borderId="13" xfId="0" applyFill="1" applyBorder="1" applyProtection="1">
      <protection hidden="1"/>
    </xf>
    <xf numFmtId="0" fontId="0" fillId="28" borderId="1" xfId="0" applyFill="1" applyBorder="1" applyProtection="1">
      <protection hidden="1"/>
    </xf>
    <xf numFmtId="0" fontId="186" fillId="20" borderId="0" xfId="0" applyFont="1" applyFill="1" applyProtection="1">
      <protection hidden="1"/>
    </xf>
    <xf numFmtId="0" fontId="186" fillId="20" borderId="0" xfId="0" applyFont="1" applyFill="1" applyAlignment="1" applyProtection="1">
      <alignment horizontal="left" vertical="center" indent="1"/>
      <protection hidden="1"/>
    </xf>
    <xf numFmtId="0" fontId="87" fillId="20" borderId="0" xfId="0" applyFont="1" applyFill="1" applyAlignment="1" applyProtection="1">
      <alignment horizontal="left" vertical="center" indent="1"/>
      <protection hidden="1"/>
    </xf>
    <xf numFmtId="0" fontId="36" fillId="2" borderId="0" xfId="0" applyFont="1" applyFill="1" applyAlignment="1" applyProtection="1">
      <alignment horizontal="center" vertical="center"/>
      <protection hidden="1"/>
    </xf>
    <xf numFmtId="0" fontId="30" fillId="2" borderId="0" xfId="0" applyFont="1" applyFill="1" applyBorder="1" applyProtection="1">
      <protection hidden="1"/>
    </xf>
    <xf numFmtId="0" fontId="30" fillId="0" borderId="0" xfId="0" applyFont="1" applyFill="1" applyBorder="1" applyProtection="1">
      <protection hidden="1"/>
    </xf>
    <xf numFmtId="0" fontId="109" fillId="2" borderId="0" xfId="10" applyFont="1" applyFill="1" applyBorder="1" applyAlignment="1" applyProtection="1">
      <alignment vertical="center"/>
      <protection hidden="1"/>
    </xf>
    <xf numFmtId="0" fontId="160" fillId="20" borderId="0" xfId="0" applyFont="1" applyFill="1" applyBorder="1" applyAlignment="1" applyProtection="1">
      <alignment horizontal="left" vertical="center" wrapText="1" indent="1"/>
      <protection hidden="1"/>
    </xf>
    <xf numFmtId="0" fontId="173" fillId="0" borderId="0" xfId="11" applyProtection="1">
      <protection hidden="1"/>
    </xf>
    <xf numFmtId="3" fontId="35" fillId="21" borderId="110" xfId="11" applyNumberFormat="1" applyFont="1" applyFill="1" applyBorder="1" applyAlignment="1" applyProtection="1">
      <alignment horizontal="right" vertical="center"/>
      <protection hidden="1"/>
    </xf>
    <xf numFmtId="3" fontId="35" fillId="21" borderId="104" xfId="11" applyNumberFormat="1" applyFont="1" applyFill="1" applyBorder="1" applyAlignment="1" applyProtection="1">
      <alignment horizontal="right" vertical="center"/>
      <protection hidden="1"/>
    </xf>
    <xf numFmtId="4" fontId="35" fillId="21" borderId="110" xfId="11" applyNumberFormat="1" applyFont="1" applyFill="1" applyBorder="1" applyAlignment="1" applyProtection="1">
      <alignment horizontal="right" vertical="center"/>
      <protection hidden="1"/>
    </xf>
    <xf numFmtId="4" fontId="35" fillId="21" borderId="108" xfId="11" applyNumberFormat="1" applyFont="1" applyFill="1" applyBorder="1" applyAlignment="1" applyProtection="1">
      <alignment horizontal="right" vertical="center"/>
      <protection hidden="1"/>
    </xf>
    <xf numFmtId="4" fontId="35" fillId="21" borderId="100" xfId="11" applyNumberFormat="1" applyFont="1" applyFill="1" applyBorder="1" applyAlignment="1" applyProtection="1">
      <alignment vertical="center"/>
      <protection hidden="1"/>
    </xf>
    <xf numFmtId="3" fontId="35" fillId="21" borderId="104" xfId="11" applyNumberFormat="1" applyFont="1" applyFill="1" applyBorder="1" applyAlignment="1" applyProtection="1">
      <alignment vertical="center"/>
      <protection hidden="1"/>
    </xf>
    <xf numFmtId="3" fontId="35" fillId="21" borderId="108" xfId="11" applyNumberFormat="1" applyFont="1" applyFill="1" applyBorder="1" applyAlignment="1" applyProtection="1">
      <alignment vertical="center"/>
      <protection hidden="1"/>
    </xf>
    <xf numFmtId="3" fontId="35" fillId="21" borderId="11" xfId="11" applyNumberFormat="1" applyFont="1" applyFill="1" applyBorder="1" applyAlignment="1" applyProtection="1">
      <alignment horizontal="right" vertical="center"/>
      <protection hidden="1"/>
    </xf>
    <xf numFmtId="10" fontId="178" fillId="21" borderId="80" xfId="11" applyNumberFormat="1" applyFont="1" applyFill="1" applyBorder="1" applyAlignment="1" applyProtection="1">
      <alignment horizontal="right" vertical="center"/>
      <protection hidden="1"/>
    </xf>
    <xf numFmtId="164" fontId="35" fillId="21" borderId="110" xfId="11" applyNumberFormat="1" applyFont="1" applyFill="1" applyBorder="1" applyAlignment="1" applyProtection="1">
      <alignment horizontal="right" vertical="center"/>
      <protection hidden="1"/>
    </xf>
    <xf numFmtId="3" fontId="35" fillId="21" borderId="108" xfId="11" applyNumberFormat="1" applyFont="1" applyFill="1" applyBorder="1" applyAlignment="1" applyProtection="1">
      <alignment horizontal="right" vertical="center"/>
      <protection hidden="1"/>
    </xf>
    <xf numFmtId="4" fontId="35" fillId="21" borderId="100" xfId="11" applyNumberFormat="1" applyFont="1" applyFill="1" applyBorder="1" applyAlignment="1" applyProtection="1">
      <alignment horizontal="right" vertical="center"/>
      <protection hidden="1"/>
    </xf>
    <xf numFmtId="4" fontId="35" fillId="21" borderId="5" xfId="11" applyNumberFormat="1" applyFont="1" applyFill="1" applyBorder="1" applyAlignment="1" applyProtection="1">
      <alignment horizontal="right" vertical="center"/>
      <protection hidden="1"/>
    </xf>
    <xf numFmtId="0" fontId="174" fillId="5" borderId="4" xfId="11" applyFont="1" applyFill="1" applyBorder="1" applyAlignment="1" applyProtection="1">
      <alignment horizontal="center" vertical="center" wrapText="1"/>
      <protection hidden="1"/>
    </xf>
    <xf numFmtId="4" fontId="175" fillId="5" borderId="4" xfId="11" applyNumberFormat="1" applyFont="1" applyFill="1" applyBorder="1" applyAlignment="1" applyProtection="1">
      <alignment horizontal="right" vertical="center" wrapText="1" indent="1"/>
      <protection hidden="1"/>
    </xf>
    <xf numFmtId="0" fontId="174" fillId="5" borderId="5" xfId="11" applyFont="1" applyFill="1" applyBorder="1" applyAlignment="1" applyProtection="1">
      <alignment horizontal="center" vertical="center" wrapText="1"/>
      <protection hidden="1"/>
    </xf>
    <xf numFmtId="1" fontId="174" fillId="0" borderId="123" xfId="11" applyNumberFormat="1" applyFont="1" applyBorder="1" applyAlignment="1" applyProtection="1">
      <alignment horizontal="center"/>
      <protection hidden="1"/>
    </xf>
    <xf numFmtId="14" fontId="174" fillId="0" borderId="118" xfId="11" applyNumberFormat="1" applyFont="1" applyBorder="1" applyAlignment="1" applyProtection="1">
      <alignment horizontal="center" vertical="center"/>
      <protection hidden="1"/>
    </xf>
    <xf numFmtId="4" fontId="174" fillId="0" borderId="124" xfId="11" applyNumberFormat="1" applyFont="1" applyFill="1" applyBorder="1" applyAlignment="1" applyProtection="1">
      <alignment horizontal="right" vertical="center" indent="1"/>
      <protection hidden="1"/>
    </xf>
    <xf numFmtId="4" fontId="174" fillId="0" borderId="125" xfId="11" applyNumberFormat="1" applyFont="1" applyFill="1" applyBorder="1" applyAlignment="1" applyProtection="1">
      <alignment horizontal="right" vertical="center" indent="1"/>
      <protection hidden="1"/>
    </xf>
    <xf numFmtId="4" fontId="174" fillId="0" borderId="126" xfId="11" applyNumberFormat="1" applyFont="1" applyFill="1" applyBorder="1" applyAlignment="1" applyProtection="1">
      <alignment horizontal="right" vertical="center" indent="1"/>
      <protection hidden="1"/>
    </xf>
    <xf numFmtId="4" fontId="174" fillId="0" borderId="127" xfId="11" applyNumberFormat="1" applyFont="1" applyFill="1" applyBorder="1" applyAlignment="1" applyProtection="1">
      <alignment horizontal="right" vertical="center" indent="1"/>
      <protection hidden="1"/>
    </xf>
    <xf numFmtId="4" fontId="174" fillId="0" borderId="118" xfId="11" applyNumberFormat="1" applyFont="1" applyFill="1" applyBorder="1" applyAlignment="1" applyProtection="1">
      <alignment horizontal="right" vertical="center" indent="1"/>
      <protection hidden="1"/>
    </xf>
    <xf numFmtId="4" fontId="174" fillId="0" borderId="123" xfId="11" applyNumberFormat="1" applyFont="1" applyFill="1" applyBorder="1" applyAlignment="1" applyProtection="1">
      <alignment horizontal="right" vertical="center" indent="1"/>
      <protection hidden="1"/>
    </xf>
    <xf numFmtId="1" fontId="174" fillId="0" borderId="124" xfId="11" applyNumberFormat="1" applyFont="1" applyBorder="1" applyAlignment="1" applyProtection="1">
      <alignment horizontal="center"/>
      <protection hidden="1"/>
    </xf>
    <xf numFmtId="14" fontId="174" fillId="0" borderId="126" xfId="11" applyNumberFormat="1" applyFont="1" applyBorder="1" applyAlignment="1" applyProtection="1">
      <alignment horizontal="center" vertical="center"/>
      <protection hidden="1"/>
    </xf>
    <xf numFmtId="4" fontId="174" fillId="0" borderId="113" xfId="11" applyNumberFormat="1" applyFont="1" applyFill="1" applyBorder="1" applyAlignment="1" applyProtection="1">
      <alignment horizontal="right" vertical="center" indent="1"/>
      <protection hidden="1"/>
    </xf>
    <xf numFmtId="1" fontId="174" fillId="0" borderId="120" xfId="11" applyNumberFormat="1" applyFont="1" applyBorder="1" applyAlignment="1" applyProtection="1">
      <alignment horizontal="center"/>
      <protection hidden="1"/>
    </xf>
    <xf numFmtId="14" fontId="174" fillId="0" borderId="128" xfId="11" applyNumberFormat="1" applyFont="1" applyBorder="1" applyAlignment="1" applyProtection="1">
      <alignment horizontal="center" vertical="center"/>
      <protection hidden="1"/>
    </xf>
    <xf numFmtId="4" fontId="174" fillId="0" borderId="120" xfId="11" applyNumberFormat="1" applyFont="1" applyFill="1" applyBorder="1" applyAlignment="1" applyProtection="1">
      <alignment horizontal="right" vertical="center" indent="1"/>
      <protection hidden="1"/>
    </xf>
    <xf numFmtId="4" fontId="174" fillId="0" borderId="129" xfId="11" applyNumberFormat="1" applyFont="1" applyFill="1" applyBorder="1" applyAlignment="1" applyProtection="1">
      <alignment horizontal="right" vertical="center" indent="1"/>
      <protection hidden="1"/>
    </xf>
    <xf numFmtId="4" fontId="174" fillId="0" borderId="128" xfId="11" applyNumberFormat="1" applyFont="1" applyFill="1" applyBorder="1" applyAlignment="1" applyProtection="1">
      <alignment horizontal="right" vertical="center" indent="1"/>
      <protection hidden="1"/>
    </xf>
    <xf numFmtId="1" fontId="174" fillId="0" borderId="127" xfId="11" applyNumberFormat="1" applyFont="1" applyBorder="1" applyAlignment="1" applyProtection="1">
      <alignment horizontal="center"/>
      <protection hidden="1"/>
    </xf>
    <xf numFmtId="14" fontId="174" fillId="0" borderId="130" xfId="11" applyNumberFormat="1" applyFont="1" applyBorder="1" applyAlignment="1" applyProtection="1">
      <alignment horizontal="center" vertical="center"/>
      <protection hidden="1"/>
    </xf>
    <xf numFmtId="4" fontId="174" fillId="0" borderId="114" xfId="11" applyNumberFormat="1" applyFont="1" applyFill="1" applyBorder="1" applyAlignment="1" applyProtection="1">
      <alignment horizontal="right" vertical="center" indent="1"/>
      <protection hidden="1"/>
    </xf>
    <xf numFmtId="4" fontId="174" fillId="0" borderId="130" xfId="11" applyNumberFormat="1" applyFont="1" applyFill="1" applyBorder="1" applyAlignment="1" applyProtection="1">
      <alignment horizontal="right" vertical="center" indent="1"/>
      <protection hidden="1"/>
    </xf>
    <xf numFmtId="4" fontId="174" fillId="13" borderId="113" xfId="11" applyNumberFormat="1" applyFont="1" applyFill="1" applyBorder="1" applyAlignment="1" applyProtection="1">
      <alignment horizontal="right" vertical="center" indent="1"/>
      <protection locked="0" hidden="1"/>
    </xf>
    <xf numFmtId="4" fontId="174" fillId="13" borderId="129" xfId="11" applyNumberFormat="1" applyFont="1" applyFill="1" applyBorder="1" applyAlignment="1" applyProtection="1">
      <alignment horizontal="right" vertical="center" indent="1"/>
      <protection locked="0" hidden="1"/>
    </xf>
    <xf numFmtId="4" fontId="35" fillId="13" borderId="104" xfId="11" applyNumberFormat="1" applyFont="1" applyFill="1" applyBorder="1" applyAlignment="1" applyProtection="1">
      <alignment horizontal="right" vertical="center"/>
      <protection locked="0" hidden="1"/>
    </xf>
    <xf numFmtId="10" fontId="35" fillId="13" borderId="104" xfId="11" applyNumberFormat="1" applyFont="1" applyFill="1" applyBorder="1" applyAlignment="1" applyProtection="1">
      <alignment horizontal="right" vertical="center"/>
      <protection locked="0" hidden="1"/>
    </xf>
    <xf numFmtId="173" fontId="35" fillId="13" borderId="104" xfId="11" applyNumberFormat="1" applyFont="1" applyFill="1" applyBorder="1" applyAlignment="1" applyProtection="1">
      <alignment horizontal="right" vertical="center"/>
      <protection locked="0" hidden="1"/>
    </xf>
    <xf numFmtId="3" fontId="35" fillId="13" borderId="104" xfId="11" applyNumberFormat="1" applyFont="1" applyFill="1" applyBorder="1" applyAlignment="1" applyProtection="1">
      <alignment horizontal="right" vertical="center"/>
      <protection locked="0" hidden="1"/>
    </xf>
    <xf numFmtId="3" fontId="179" fillId="13" borderId="104" xfId="11" applyNumberFormat="1" applyFont="1" applyFill="1" applyBorder="1" applyAlignment="1" applyProtection="1">
      <alignment horizontal="right" vertical="center"/>
      <protection locked="0" hidden="1"/>
    </xf>
    <xf numFmtId="4" fontId="35" fillId="13" borderId="108" xfId="11" applyNumberFormat="1" applyFont="1" applyFill="1" applyBorder="1" applyAlignment="1" applyProtection="1">
      <alignment horizontal="right" vertical="center"/>
      <protection locked="0" hidden="1"/>
    </xf>
    <xf numFmtId="3" fontId="179" fillId="13" borderId="4" xfId="11" applyNumberFormat="1" applyFont="1" applyFill="1" applyBorder="1" applyAlignment="1" applyProtection="1">
      <alignment horizontal="center" vertical="center" wrapText="1"/>
      <protection locked="0" hidden="1"/>
    </xf>
    <xf numFmtId="9" fontId="35" fillId="13" borderId="104" xfId="11" applyNumberFormat="1" applyFont="1" applyFill="1" applyBorder="1" applyAlignment="1" applyProtection="1">
      <alignment horizontal="right" vertical="center"/>
      <protection locked="0" hidden="1"/>
    </xf>
    <xf numFmtId="4" fontId="35" fillId="21" borderId="104" xfId="11" applyNumberFormat="1" applyFont="1" applyFill="1" applyBorder="1" applyAlignment="1" applyProtection="1">
      <alignment horizontal="right" vertical="center"/>
      <protection hidden="1"/>
    </xf>
    <xf numFmtId="0" fontId="27" fillId="0" borderId="4" xfId="0" applyNumberFormat="1" applyFont="1" applyFill="1" applyBorder="1" applyAlignment="1" applyProtection="1">
      <alignment horizontal="right" vertical="center"/>
      <protection hidden="1"/>
    </xf>
    <xf numFmtId="0" fontId="27" fillId="0" borderId="133" xfId="0" applyNumberFormat="1" applyFont="1" applyFill="1" applyBorder="1" applyAlignment="1" applyProtection="1">
      <alignment horizontal="right" vertical="center"/>
      <protection hidden="1"/>
    </xf>
    <xf numFmtId="0" fontId="27" fillId="0" borderId="121" xfId="0" applyNumberFormat="1" applyFont="1" applyFill="1" applyBorder="1" applyAlignment="1" applyProtection="1">
      <alignment horizontal="right" vertical="center"/>
      <protection hidden="1"/>
    </xf>
    <xf numFmtId="0" fontId="27" fillId="0" borderId="122" xfId="0" applyNumberFormat="1" applyFont="1" applyFill="1" applyBorder="1" applyAlignment="1" applyProtection="1">
      <alignment horizontal="right" vertical="center"/>
      <protection hidden="1"/>
    </xf>
    <xf numFmtId="0" fontId="28" fillId="0" borderId="133" xfId="0" applyNumberFormat="1" applyFont="1" applyFill="1" applyBorder="1" applyAlignment="1" applyProtection="1">
      <alignment horizontal="right" vertical="center"/>
      <protection hidden="1"/>
    </xf>
    <xf numFmtId="0" fontId="28" fillId="0" borderId="121" xfId="0" applyNumberFormat="1" applyFont="1" applyFill="1" applyBorder="1" applyAlignment="1" applyProtection="1">
      <alignment horizontal="right" vertical="center"/>
      <protection hidden="1"/>
    </xf>
    <xf numFmtId="0" fontId="28" fillId="0" borderId="122" xfId="0" applyNumberFormat="1" applyFont="1" applyFill="1" applyBorder="1" applyAlignment="1" applyProtection="1">
      <alignment horizontal="right" vertical="center"/>
      <protection hidden="1"/>
    </xf>
    <xf numFmtId="2" fontId="28" fillId="0" borderId="4" xfId="0" applyNumberFormat="1" applyFont="1" applyFill="1" applyBorder="1" applyAlignment="1" applyProtection="1">
      <alignment horizontal="right" vertical="center"/>
      <protection hidden="1"/>
    </xf>
    <xf numFmtId="0" fontId="0" fillId="47" borderId="0" xfId="0" applyFill="1" applyProtection="1">
      <protection hidden="1"/>
    </xf>
    <xf numFmtId="0" fontId="7" fillId="20" borderId="0" xfId="0" applyFont="1" applyFill="1" applyAlignment="1" applyProtection="1">
      <alignment horizontal="center"/>
      <protection hidden="1"/>
    </xf>
    <xf numFmtId="0" fontId="0" fillId="28" borderId="4" xfId="0" applyFont="1" applyFill="1" applyBorder="1" applyProtection="1">
      <protection hidden="1"/>
    </xf>
    <xf numFmtId="0" fontId="184" fillId="20" borderId="0" xfId="0" applyFont="1" applyFill="1" applyAlignment="1" applyProtection="1">
      <alignment horizontal="center" vertical="center"/>
      <protection hidden="1"/>
    </xf>
    <xf numFmtId="0" fontId="184" fillId="20" borderId="0" xfId="0" applyFont="1" applyFill="1" applyAlignment="1" applyProtection="1">
      <alignment horizontal="center" vertical="center"/>
      <protection locked="0" hidden="1"/>
    </xf>
    <xf numFmtId="0" fontId="83" fillId="0" borderId="0" xfId="10" applyFill="1" applyBorder="1" applyAlignment="1">
      <alignment horizontal="center"/>
    </xf>
    <xf numFmtId="0" fontId="7" fillId="13" borderId="4" xfId="0" applyFont="1" applyFill="1" applyBorder="1" applyAlignment="1" applyProtection="1">
      <alignment horizontal="center" vertical="center" wrapText="1"/>
      <protection locked="0" hidden="1"/>
    </xf>
    <xf numFmtId="4" fontId="35" fillId="13" borderId="104" xfId="11" applyNumberFormat="1" applyFont="1" applyFill="1" applyBorder="1" applyAlignment="1" applyProtection="1">
      <alignment horizontal="right" vertical="center"/>
      <protection locked="0"/>
    </xf>
    <xf numFmtId="0" fontId="0" fillId="21" borderId="2" xfId="0" applyFill="1" applyBorder="1" applyAlignment="1" applyProtection="1">
      <alignment horizontal="left" vertical="center" wrapText="1"/>
      <protection hidden="1"/>
    </xf>
    <xf numFmtId="0" fontId="112" fillId="20" borderId="0" xfId="0" applyFont="1" applyFill="1" applyBorder="1" applyAlignment="1" applyProtection="1">
      <alignment horizontal="center" vertical="top"/>
      <protection hidden="1"/>
    </xf>
    <xf numFmtId="0" fontId="0" fillId="20" borderId="1" xfId="0" applyFont="1" applyFill="1" applyBorder="1" applyAlignment="1" applyProtection="1">
      <alignment horizontal="center"/>
      <protection hidden="1"/>
    </xf>
    <xf numFmtId="0" fontId="12" fillId="20" borderId="0" xfId="0" applyFont="1" applyFill="1" applyAlignment="1">
      <alignment horizontal="center" wrapText="1"/>
    </xf>
    <xf numFmtId="0" fontId="67" fillId="21" borderId="104" xfId="0" applyFont="1" applyFill="1" applyBorder="1" applyAlignment="1" applyProtection="1">
      <alignment horizontal="left" vertical="center" wrapText="1"/>
      <protection hidden="1"/>
    </xf>
    <xf numFmtId="14" fontId="112" fillId="13" borderId="4" xfId="0" applyNumberFormat="1" applyFont="1" applyFill="1" applyBorder="1" applyAlignment="1" applyProtection="1">
      <alignment horizontal="center" vertical="center"/>
      <protection locked="0"/>
    </xf>
    <xf numFmtId="1" fontId="123" fillId="13" borderId="4" xfId="0" applyNumberFormat="1" applyFont="1" applyFill="1" applyBorder="1" applyAlignment="1" applyProtection="1">
      <alignment horizontal="center" vertical="center"/>
      <protection locked="0"/>
    </xf>
    <xf numFmtId="0" fontId="135" fillId="20" borderId="0" xfId="0" applyFont="1" applyFill="1" applyAlignment="1" applyProtection="1">
      <alignment horizontal="center"/>
      <protection hidden="1"/>
    </xf>
    <xf numFmtId="0" fontId="0" fillId="20" borderId="0" xfId="0" applyFill="1" applyAlignment="1" applyProtection="1">
      <alignment wrapText="1"/>
      <protection hidden="1"/>
    </xf>
    <xf numFmtId="0" fontId="12" fillId="20" borderId="0" xfId="0" applyFont="1" applyFill="1" applyAlignment="1" applyProtection="1">
      <alignment horizontal="left" vertical="center"/>
      <protection hidden="1"/>
    </xf>
    <xf numFmtId="0" fontId="0" fillId="21" borderId="100" xfId="0" applyFont="1" applyFill="1" applyBorder="1" applyAlignment="1">
      <alignment horizontal="right" indent="1"/>
    </xf>
    <xf numFmtId="0" fontId="0" fillId="21" borderId="104" xfId="0" applyFont="1" applyFill="1" applyBorder="1" applyAlignment="1">
      <alignment horizontal="right" indent="1"/>
    </xf>
    <xf numFmtId="0" fontId="0" fillId="21" borderId="108" xfId="0" applyFont="1" applyFill="1" applyBorder="1" applyAlignment="1">
      <alignment horizontal="right" indent="1"/>
    </xf>
    <xf numFmtId="1" fontId="0" fillId="0" borderId="79" xfId="0" applyNumberFormat="1" applyBorder="1" applyAlignment="1" applyProtection="1">
      <alignment vertical="center"/>
      <protection hidden="1"/>
    </xf>
    <xf numFmtId="1" fontId="0" fillId="0" borderId="51" xfId="0" applyNumberFormat="1" applyFill="1" applyBorder="1" applyAlignment="1" applyProtection="1">
      <alignment vertical="center"/>
      <protection hidden="1"/>
    </xf>
    <xf numFmtId="0" fontId="31" fillId="21" borderId="100" xfId="0" applyFont="1" applyFill="1" applyBorder="1" applyAlignment="1">
      <alignment horizontal="left" vertical="center" wrapText="1"/>
    </xf>
    <xf numFmtId="0" fontId="31" fillId="21" borderId="104" xfId="0" applyFont="1" applyFill="1" applyBorder="1" applyAlignment="1">
      <alignment horizontal="left" vertical="center" wrapText="1"/>
    </xf>
    <xf numFmtId="0" fontId="31" fillId="21" borderId="108" xfId="0" applyFont="1" applyFill="1" applyBorder="1" applyAlignment="1">
      <alignment horizontal="left" vertical="center" wrapText="1"/>
    </xf>
    <xf numFmtId="0" fontId="12" fillId="20" borderId="0" xfId="0" applyFont="1" applyFill="1" applyAlignment="1" applyProtection="1">
      <alignment horizontal="center"/>
      <protection hidden="1"/>
    </xf>
    <xf numFmtId="0" fontId="112" fillId="36" borderId="11" xfId="0" applyFont="1" applyFill="1" applyBorder="1" applyAlignment="1">
      <alignment horizontal="center" vertical="center"/>
    </xf>
    <xf numFmtId="0" fontId="9" fillId="36" borderId="5" xfId="0" applyFont="1" applyFill="1" applyBorder="1" applyAlignment="1">
      <alignment horizontal="center" vertical="center"/>
    </xf>
    <xf numFmtId="0" fontId="112" fillId="21" borderId="11" xfId="0" applyFont="1" applyFill="1" applyBorder="1" applyAlignment="1">
      <alignment horizontal="center" wrapText="1"/>
    </xf>
    <xf numFmtId="0" fontId="12" fillId="20" borderId="0" xfId="0" applyFont="1" applyFill="1" applyAlignment="1" applyProtection="1">
      <alignment horizontal="center" vertical="top" wrapText="1"/>
      <protection hidden="1"/>
    </xf>
    <xf numFmtId="0" fontId="68" fillId="21" borderId="5" xfId="0" applyFont="1" applyFill="1" applyBorder="1" applyAlignment="1">
      <alignment horizontal="right" vertical="center" wrapText="1" indent="1"/>
    </xf>
    <xf numFmtId="0" fontId="30" fillId="36" borderId="4" xfId="0" applyFont="1" applyFill="1" applyBorder="1" applyAlignment="1">
      <alignment horizontal="center" vertical="center" wrapText="1"/>
    </xf>
    <xf numFmtId="0" fontId="0" fillId="36" borderId="100" xfId="0" applyFill="1" applyBorder="1" applyAlignment="1">
      <alignment horizontal="right" indent="1"/>
    </xf>
    <xf numFmtId="0" fontId="0" fillId="36" borderId="104" xfId="0" applyFill="1" applyBorder="1" applyAlignment="1">
      <alignment horizontal="right" indent="1"/>
    </xf>
    <xf numFmtId="0" fontId="0" fillId="36" borderId="108" xfId="0" applyFill="1" applyBorder="1" applyAlignment="1">
      <alignment horizontal="right" indent="1"/>
    </xf>
    <xf numFmtId="0" fontId="7" fillId="36" borderId="4" xfId="0" applyFont="1" applyFill="1" applyBorder="1" applyAlignment="1">
      <alignment horizontal="right" indent="1"/>
    </xf>
    <xf numFmtId="0" fontId="68" fillId="36" borderId="5" xfId="0" applyFont="1" applyFill="1" applyBorder="1" applyAlignment="1">
      <alignment horizontal="right" vertical="center" wrapText="1" indent="1"/>
    </xf>
    <xf numFmtId="0" fontId="7" fillId="36" borderId="4" xfId="0" applyFont="1" applyFill="1" applyBorder="1" applyAlignment="1" applyProtection="1">
      <alignment horizontal="right" indent="1"/>
    </xf>
    <xf numFmtId="0" fontId="112" fillId="36" borderId="11" xfId="0" applyFont="1" applyFill="1" applyBorder="1" applyAlignment="1">
      <alignment horizontal="center" wrapText="1"/>
    </xf>
    <xf numFmtId="0" fontId="112" fillId="36" borderId="4" xfId="0" applyFont="1" applyFill="1" applyBorder="1" applyAlignment="1" applyProtection="1">
      <alignment horizontal="right" vertical="center" wrapText="1"/>
    </xf>
    <xf numFmtId="0" fontId="0" fillId="36" borderId="100" xfId="0" applyFont="1" applyFill="1" applyBorder="1" applyAlignment="1">
      <alignment horizontal="right" vertical="center" wrapText="1"/>
    </xf>
    <xf numFmtId="0" fontId="0" fillId="36" borderId="108" xfId="0" applyFont="1" applyFill="1" applyBorder="1" applyAlignment="1">
      <alignment horizontal="right" vertical="center" wrapText="1"/>
    </xf>
    <xf numFmtId="0" fontId="61" fillId="36" borderId="100" xfId="0" applyFont="1" applyFill="1" applyBorder="1" applyAlignment="1">
      <alignment horizontal="right" vertical="center" wrapText="1"/>
    </xf>
    <xf numFmtId="0" fontId="61" fillId="36" borderId="108" xfId="0" applyFont="1" applyFill="1" applyBorder="1" applyAlignment="1">
      <alignment horizontal="right" vertical="center" wrapText="1"/>
    </xf>
    <xf numFmtId="0" fontId="0" fillId="36" borderId="100" xfId="0" applyFill="1" applyBorder="1" applyAlignment="1">
      <alignment horizontal="right" wrapText="1"/>
    </xf>
    <xf numFmtId="0" fontId="0" fillId="36" borderId="104" xfId="0" applyFill="1" applyBorder="1" applyAlignment="1">
      <alignment horizontal="right" indent="2"/>
    </xf>
    <xf numFmtId="0" fontId="0" fillId="36" borderId="108" xfId="0" applyFill="1" applyBorder="1" applyAlignment="1">
      <alignment horizontal="right" vertical="top" wrapText="1" indent="2"/>
    </xf>
    <xf numFmtId="0" fontId="0" fillId="36" borderId="100" xfId="0" applyFill="1" applyBorder="1" applyAlignment="1">
      <alignment horizontal="right" vertical="center"/>
    </xf>
    <xf numFmtId="0" fontId="0" fillId="36" borderId="108" xfId="0" applyFill="1" applyBorder="1" applyAlignment="1">
      <alignment horizontal="right" vertical="center" wrapText="1"/>
    </xf>
    <xf numFmtId="0" fontId="29" fillId="36" borderId="110" xfId="0" applyFont="1" applyFill="1" applyBorder="1" applyAlignment="1">
      <alignment horizontal="right" vertical="center"/>
    </xf>
    <xf numFmtId="0" fontId="29" fillId="36" borderId="104" xfId="0" applyFont="1" applyFill="1" applyBorder="1" applyAlignment="1">
      <alignment horizontal="right" vertical="center"/>
    </xf>
    <xf numFmtId="0" fontId="29" fillId="36" borderId="104" xfId="0" applyFont="1" applyFill="1" applyBorder="1" applyAlignment="1">
      <alignment horizontal="right" vertical="center" wrapText="1"/>
    </xf>
    <xf numFmtId="0" fontId="0" fillId="36" borderId="104" xfId="0" applyFont="1" applyFill="1" applyBorder="1" applyAlignment="1">
      <alignment horizontal="right" vertical="center" wrapText="1"/>
    </xf>
    <xf numFmtId="0" fontId="29" fillId="36" borderId="108" xfId="0" applyFont="1" applyFill="1" applyBorder="1" applyAlignment="1">
      <alignment horizontal="right" vertical="center" wrapText="1"/>
    </xf>
    <xf numFmtId="0" fontId="0" fillId="36" borderId="104" xfId="0" applyFill="1" applyBorder="1" applyAlignment="1">
      <alignment horizontal="right" vertical="center"/>
    </xf>
    <xf numFmtId="0" fontId="0" fillId="36" borderId="108" xfId="0" applyFill="1" applyBorder="1" applyAlignment="1">
      <alignment horizontal="right" vertical="center"/>
    </xf>
    <xf numFmtId="0" fontId="0" fillId="36" borderId="100" xfId="0" applyFill="1" applyBorder="1" applyAlignment="1">
      <alignment horizontal="right" vertical="center" wrapText="1"/>
    </xf>
    <xf numFmtId="49" fontId="0" fillId="36" borderId="104" xfId="0" applyNumberFormat="1" applyFont="1" applyFill="1" applyBorder="1" applyAlignment="1">
      <alignment horizontal="right" vertical="center" wrapText="1"/>
    </xf>
    <xf numFmtId="0" fontId="0" fillId="36" borderId="104" xfId="0" applyFill="1" applyBorder="1" applyAlignment="1">
      <alignment horizontal="right" vertical="center" wrapText="1"/>
    </xf>
    <xf numFmtId="0" fontId="0" fillId="36" borderId="4" xfId="0" applyFont="1" applyFill="1" applyBorder="1" applyAlignment="1">
      <alignment horizontal="center" vertical="center" wrapText="1"/>
    </xf>
    <xf numFmtId="0" fontId="7" fillId="36" borderId="4" xfId="0" applyFont="1" applyFill="1" applyBorder="1" applyAlignment="1">
      <alignment horizontal="center" vertical="center" wrapText="1"/>
    </xf>
    <xf numFmtId="0" fontId="0" fillId="36" borderId="104" xfId="0" applyFill="1" applyBorder="1" applyAlignment="1">
      <alignment horizontal="right" vertical="center" wrapText="1" indent="1"/>
    </xf>
    <xf numFmtId="49" fontId="0" fillId="36" borderId="100" xfId="0" applyNumberFormat="1" applyFill="1" applyBorder="1" applyAlignment="1">
      <alignment horizontal="right" vertical="center" wrapText="1"/>
    </xf>
    <xf numFmtId="0" fontId="30" fillId="21" borderId="4" xfId="0" applyFont="1" applyFill="1" applyBorder="1" applyAlignment="1" applyProtection="1">
      <alignment horizontal="center" vertical="center" wrapText="1"/>
      <protection hidden="1"/>
    </xf>
    <xf numFmtId="166" fontId="194" fillId="48" borderId="100" xfId="0" applyNumberFormat="1" applyFont="1" applyFill="1" applyBorder="1" applyAlignment="1" applyProtection="1">
      <alignment horizontal="right" vertical="center"/>
      <protection hidden="1"/>
    </xf>
    <xf numFmtId="2" fontId="194" fillId="21" borderId="100" xfId="0" applyNumberFormat="1" applyFont="1" applyFill="1" applyBorder="1" applyProtection="1">
      <protection hidden="1"/>
    </xf>
    <xf numFmtId="2" fontId="194" fillId="21" borderId="100" xfId="0" applyNumberFormat="1" applyFont="1" applyFill="1" applyBorder="1" applyAlignment="1" applyProtection="1">
      <alignment vertical="center"/>
      <protection hidden="1"/>
    </xf>
    <xf numFmtId="166" fontId="194" fillId="48" borderId="104" xfId="0" applyNumberFormat="1" applyFont="1" applyFill="1" applyBorder="1" applyAlignment="1" applyProtection="1">
      <alignment horizontal="right" vertical="center"/>
      <protection hidden="1"/>
    </xf>
    <xf numFmtId="2" fontId="194" fillId="21" borderId="104" xfId="0" applyNumberFormat="1" applyFont="1" applyFill="1" applyBorder="1" applyProtection="1">
      <protection hidden="1"/>
    </xf>
    <xf numFmtId="2" fontId="194" fillId="21" borderId="104" xfId="0" applyNumberFormat="1" applyFont="1" applyFill="1" applyBorder="1" applyAlignment="1" applyProtection="1">
      <alignment vertical="center"/>
      <protection hidden="1"/>
    </xf>
    <xf numFmtId="166" fontId="194" fillId="48" borderId="109" xfId="0" applyNumberFormat="1" applyFont="1" applyFill="1" applyBorder="1" applyAlignment="1" applyProtection="1">
      <alignment horizontal="right" vertical="center"/>
      <protection hidden="1"/>
    </xf>
    <xf numFmtId="2" fontId="194" fillId="21" borderId="109" xfId="0" applyNumberFormat="1" applyFont="1" applyFill="1" applyBorder="1" applyProtection="1">
      <protection hidden="1"/>
    </xf>
    <xf numFmtId="2" fontId="194" fillId="21" borderId="109" xfId="0" applyNumberFormat="1" applyFont="1" applyFill="1" applyBorder="1" applyAlignment="1" applyProtection="1">
      <alignment vertical="center"/>
      <protection hidden="1"/>
    </xf>
    <xf numFmtId="166" fontId="194" fillId="48" borderId="4" xfId="0" applyNumberFormat="1" applyFont="1" applyFill="1" applyBorder="1" applyAlignment="1" applyProtection="1">
      <alignment horizontal="right" vertical="center"/>
      <protection hidden="1"/>
    </xf>
    <xf numFmtId="2" fontId="195" fillId="21" borderId="4" xfId="0" applyNumberFormat="1" applyFont="1" applyFill="1" applyBorder="1" applyAlignment="1" applyProtection="1">
      <alignment vertical="center"/>
      <protection hidden="1"/>
    </xf>
    <xf numFmtId="2" fontId="117" fillId="20" borderId="0" xfId="0" applyNumberFormat="1" applyFont="1" applyFill="1"/>
    <xf numFmtId="4" fontId="127" fillId="36" borderId="4" xfId="0" applyNumberFormat="1" applyFont="1" applyFill="1" applyBorder="1" applyAlignment="1" applyProtection="1">
      <alignment horizontal="center" vertical="center" wrapText="1"/>
      <protection hidden="1"/>
    </xf>
    <xf numFmtId="4" fontId="128" fillId="36" borderId="4" xfId="0" applyNumberFormat="1" applyFont="1" applyFill="1" applyBorder="1" applyAlignment="1" applyProtection="1">
      <alignment horizontal="center" vertical="center" wrapText="1"/>
      <protection hidden="1"/>
    </xf>
    <xf numFmtId="4" fontId="128" fillId="36" borderId="7" xfId="0" applyNumberFormat="1" applyFont="1" applyFill="1" applyBorder="1" applyAlignment="1" applyProtection="1">
      <alignment horizontal="center" vertical="center"/>
      <protection hidden="1"/>
    </xf>
    <xf numFmtId="2" fontId="134" fillId="13" borderId="110" xfId="0" applyNumberFormat="1" applyFont="1" applyFill="1" applyBorder="1" applyAlignment="1" applyProtection="1">
      <alignment horizontal="right" vertical="center" wrapText="1"/>
      <protection locked="0"/>
    </xf>
    <xf numFmtId="2" fontId="134" fillId="13" borderId="109" xfId="0" applyNumberFormat="1" applyFont="1" applyFill="1" applyBorder="1" applyAlignment="1" applyProtection="1">
      <alignment horizontal="right" vertical="center" wrapText="1"/>
      <protection locked="0"/>
    </xf>
    <xf numFmtId="0" fontId="196" fillId="20" borderId="0" xfId="0" applyFont="1" applyFill="1" applyProtection="1">
      <protection hidden="1"/>
    </xf>
    <xf numFmtId="165" fontId="69" fillId="29" borderId="4" xfId="0" applyNumberFormat="1" applyFont="1" applyFill="1" applyBorder="1" applyProtection="1">
      <protection hidden="1"/>
    </xf>
    <xf numFmtId="4" fontId="134" fillId="13" borderId="104" xfId="0" applyNumberFormat="1" applyFont="1" applyFill="1" applyBorder="1" applyAlignment="1" applyProtection="1">
      <alignment horizontal="right" vertical="center" wrapText="1" indent="1"/>
      <protection locked="0"/>
    </xf>
    <xf numFmtId="4" fontId="7" fillId="13" borderId="4" xfId="0" applyNumberFormat="1" applyFont="1" applyFill="1" applyBorder="1" applyAlignment="1" applyProtection="1">
      <alignment horizontal="right" vertical="center" indent="1"/>
      <protection locked="0"/>
    </xf>
    <xf numFmtId="0" fontId="0" fillId="49" borderId="4" xfId="0" applyFill="1" applyBorder="1" applyAlignment="1">
      <alignment horizontal="center"/>
    </xf>
    <xf numFmtId="0" fontId="0" fillId="49" borderId="100" xfId="0" applyFont="1" applyFill="1" applyBorder="1" applyAlignment="1" applyProtection="1">
      <alignment horizontal="center" vertical="center"/>
      <protection locked="0"/>
    </xf>
    <xf numFmtId="0" fontId="29" fillId="49" borderId="104" xfId="0" applyFont="1" applyFill="1" applyBorder="1" applyAlignment="1" applyProtection="1">
      <alignment horizontal="center" vertical="center"/>
      <protection locked="0"/>
    </xf>
    <xf numFmtId="0" fontId="0" fillId="49" borderId="108" xfId="0" applyFont="1" applyFill="1" applyBorder="1" applyAlignment="1" applyProtection="1">
      <alignment horizontal="center" vertical="center"/>
      <protection locked="0"/>
    </xf>
    <xf numFmtId="0" fontId="0" fillId="49" borderId="119" xfId="0" applyFill="1" applyBorder="1" applyAlignment="1" applyProtection="1">
      <alignment horizontal="right" vertical="center"/>
      <protection locked="0"/>
    </xf>
    <xf numFmtId="0" fontId="0" fillId="49" borderId="118" xfId="0" applyFill="1" applyBorder="1" applyAlignment="1" applyProtection="1">
      <alignment horizontal="center" vertical="center"/>
      <protection locked="0"/>
    </xf>
    <xf numFmtId="0" fontId="0" fillId="49" borderId="104" xfId="0" applyFill="1" applyBorder="1" applyAlignment="1" applyProtection="1">
      <alignment horizontal="center" vertical="center"/>
      <protection locked="0"/>
    </xf>
    <xf numFmtId="0" fontId="0" fillId="49" borderId="108" xfId="0" applyFill="1" applyBorder="1" applyAlignment="1" applyProtection="1">
      <alignment horizontal="center" vertical="center"/>
      <protection locked="0"/>
    </xf>
    <xf numFmtId="0" fontId="0" fillId="49" borderId="100" xfId="0" applyNumberFormat="1" applyFont="1" applyFill="1" applyBorder="1" applyAlignment="1" applyProtection="1">
      <alignment horizontal="center" vertical="center" wrapText="1"/>
      <protection locked="0"/>
    </xf>
    <xf numFmtId="0" fontId="0" fillId="49" borderId="104" xfId="0" applyNumberFormat="1" applyFont="1" applyFill="1" applyBorder="1" applyAlignment="1" applyProtection="1">
      <alignment horizontal="center" vertical="center" wrapText="1"/>
      <protection locked="0"/>
    </xf>
    <xf numFmtId="0" fontId="0" fillId="49" borderId="108" xfId="0" applyNumberFormat="1" applyFont="1" applyFill="1" applyBorder="1" applyAlignment="1" applyProtection="1">
      <alignment horizontal="center" vertical="center" wrapText="1"/>
      <protection locked="0"/>
    </xf>
    <xf numFmtId="0" fontId="0" fillId="49" borderId="100" xfId="0" applyFill="1" applyBorder="1" applyAlignment="1" applyProtection="1">
      <alignment horizontal="center" vertical="center"/>
      <protection locked="0"/>
    </xf>
    <xf numFmtId="0" fontId="0" fillId="49" borderId="104" xfId="0" applyFill="1" applyBorder="1" applyAlignment="1" applyProtection="1">
      <alignment horizontal="center"/>
      <protection locked="0"/>
    </xf>
    <xf numFmtId="0" fontId="0" fillId="49" borderId="0" xfId="0" applyFill="1" applyAlignment="1" applyProtection="1">
      <alignment horizontal="center" vertical="center"/>
      <protection locked="0"/>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center" wrapText="1"/>
    </xf>
    <xf numFmtId="0" fontId="112" fillId="36" borderId="4" xfId="0" applyFont="1" applyFill="1" applyBorder="1" applyAlignment="1">
      <alignment horizontal="center" vertical="center" wrapText="1"/>
    </xf>
    <xf numFmtId="0" fontId="0" fillId="21" borderId="4" xfId="0" applyFont="1" applyFill="1" applyBorder="1" applyAlignment="1">
      <alignment horizontal="center" vertical="center" wrapText="1"/>
    </xf>
    <xf numFmtId="0" fontId="134" fillId="13" borderId="110" xfId="0" applyFont="1" applyFill="1" applyBorder="1" applyAlignment="1" applyProtection="1">
      <alignment horizontal="right" vertical="center" wrapText="1"/>
      <protection locked="0"/>
    </xf>
    <xf numFmtId="0" fontId="0" fillId="13" borderId="132" xfId="0" applyFont="1" applyFill="1" applyBorder="1" applyAlignment="1" applyProtection="1">
      <alignment horizontal="right" vertical="center"/>
      <protection locked="0"/>
    </xf>
    <xf numFmtId="0" fontId="134" fillId="13" borderId="109" xfId="0" applyFont="1" applyFill="1" applyBorder="1" applyAlignment="1" applyProtection="1">
      <alignment horizontal="right" vertical="center" wrapText="1"/>
      <protection locked="0"/>
    </xf>
    <xf numFmtId="0" fontId="0" fillId="13" borderId="135" xfId="0" applyFont="1" applyFill="1" applyBorder="1" applyAlignment="1" applyProtection="1">
      <alignment horizontal="right" vertical="center"/>
      <protection locked="0"/>
    </xf>
    <xf numFmtId="0" fontId="0" fillId="29" borderId="110" xfId="0" applyFill="1" applyBorder="1" applyProtection="1">
      <protection hidden="1"/>
    </xf>
    <xf numFmtId="165" fontId="134" fillId="13" borderId="110" xfId="0" applyNumberFormat="1" applyFont="1" applyFill="1" applyBorder="1" applyAlignment="1" applyProtection="1">
      <alignment horizontal="right" vertical="center" wrapText="1"/>
      <protection locked="0"/>
    </xf>
    <xf numFmtId="0" fontId="0" fillId="29" borderId="110" xfId="0" applyFill="1" applyBorder="1" applyAlignment="1" applyProtection="1">
      <alignment horizontal="center" vertical="center"/>
      <protection hidden="1"/>
    </xf>
    <xf numFmtId="166" fontId="0" fillId="29" borderId="110" xfId="0" applyNumberFormat="1" applyFill="1" applyBorder="1" applyAlignment="1" applyProtection="1">
      <alignment horizontal="center" vertical="center"/>
      <protection hidden="1"/>
    </xf>
    <xf numFmtId="165" fontId="0" fillId="29" borderId="110" xfId="0" applyNumberFormat="1" applyFill="1" applyBorder="1" applyProtection="1">
      <protection hidden="1"/>
    </xf>
    <xf numFmtId="0" fontId="0" fillId="29" borderId="109" xfId="0" applyFill="1" applyBorder="1" applyProtection="1">
      <protection hidden="1"/>
    </xf>
    <xf numFmtId="165" fontId="134" fillId="13" borderId="109" xfId="0" applyNumberFormat="1" applyFont="1" applyFill="1" applyBorder="1" applyAlignment="1" applyProtection="1">
      <alignment horizontal="right" vertical="center" wrapText="1"/>
      <protection locked="0"/>
    </xf>
    <xf numFmtId="0" fontId="0" fillId="29" borderId="109" xfId="0" applyFill="1" applyBorder="1" applyAlignment="1" applyProtection="1">
      <alignment horizontal="center" vertical="center"/>
      <protection hidden="1"/>
    </xf>
    <xf numFmtId="166" fontId="0" fillId="29" borderId="109" xfId="0" applyNumberFormat="1" applyFill="1" applyBorder="1" applyAlignment="1" applyProtection="1">
      <alignment horizontal="center" vertical="center"/>
      <protection hidden="1"/>
    </xf>
    <xf numFmtId="165" fontId="0" fillId="29" borderId="109" xfId="0" applyNumberFormat="1" applyFill="1" applyBorder="1" applyProtection="1">
      <protection hidden="1"/>
    </xf>
    <xf numFmtId="4" fontId="134" fillId="13" borderId="110" xfId="0" applyNumberFormat="1" applyFont="1" applyFill="1" applyBorder="1" applyAlignment="1" applyProtection="1">
      <alignment horizontal="right" vertical="center" wrapText="1" indent="1"/>
      <protection locked="0"/>
    </xf>
    <xf numFmtId="4" fontId="134" fillId="13" borderId="109" xfId="0" applyNumberFormat="1" applyFont="1" applyFill="1" applyBorder="1" applyAlignment="1" applyProtection="1">
      <alignment horizontal="right" vertical="center" wrapText="1" indent="1"/>
      <protection locked="0"/>
    </xf>
    <xf numFmtId="0" fontId="197" fillId="20" borderId="0" xfId="0" applyFont="1" applyFill="1" applyProtection="1">
      <protection hidden="1"/>
    </xf>
    <xf numFmtId="14" fontId="198" fillId="20" borderId="0" xfId="0" applyNumberFormat="1" applyFont="1" applyFill="1" applyProtection="1">
      <protection hidden="1"/>
    </xf>
    <xf numFmtId="14" fontId="0" fillId="13" borderId="4" xfId="0" applyNumberFormat="1" applyFill="1" applyBorder="1" applyAlignment="1" applyProtection="1">
      <alignment horizontal="right" vertical="center" indent="1"/>
      <protection locked="0"/>
    </xf>
    <xf numFmtId="0" fontId="12" fillId="20" borderId="0" xfId="0" applyNumberFormat="1" applyFont="1" applyFill="1" applyAlignment="1" applyProtection="1">
      <alignment vertical="center"/>
      <protection hidden="1"/>
    </xf>
    <xf numFmtId="0" fontId="131" fillId="36" borderId="4" xfId="0" applyFont="1" applyFill="1" applyBorder="1" applyAlignment="1" applyProtection="1">
      <alignment horizontal="right" vertical="center"/>
      <protection hidden="1"/>
    </xf>
    <xf numFmtId="14" fontId="0" fillId="13" borderId="4" xfId="0" applyNumberFormat="1" applyFont="1" applyFill="1" applyBorder="1" applyAlignment="1" applyProtection="1">
      <alignment horizontal="right" vertical="center" indent="1"/>
      <protection locked="0"/>
    </xf>
    <xf numFmtId="0" fontId="35" fillId="36" borderId="4" xfId="0" applyFont="1" applyFill="1" applyBorder="1" applyAlignment="1" applyProtection="1">
      <alignment horizontal="center" vertical="center" wrapText="1"/>
      <protection hidden="1"/>
    </xf>
    <xf numFmtId="0" fontId="0" fillId="20" borderId="0" xfId="0" applyFill="1" applyAlignment="1">
      <alignment horizontal="right" vertical="center"/>
    </xf>
    <xf numFmtId="0" fontId="131" fillId="36" borderId="4" xfId="0" applyFont="1" applyFill="1" applyBorder="1" applyAlignment="1" applyProtection="1">
      <alignment horizontal="right" vertical="center" wrapText="1" indent="1"/>
      <protection hidden="1"/>
    </xf>
    <xf numFmtId="0" fontId="12" fillId="20" borderId="0" xfId="0" applyFont="1" applyFill="1" applyAlignment="1" applyProtection="1">
      <alignment horizontal="left" vertical="top"/>
      <protection hidden="1"/>
    </xf>
    <xf numFmtId="1" fontId="194" fillId="20" borderId="0" xfId="0" applyNumberFormat="1" applyFont="1" applyFill="1"/>
    <xf numFmtId="0" fontId="194" fillId="20" borderId="0" xfId="0" applyFont="1" applyFill="1" applyProtection="1">
      <protection hidden="1"/>
    </xf>
    <xf numFmtId="0" fontId="194" fillId="20" borderId="0" xfId="0" applyFont="1" applyFill="1" applyAlignment="1" applyProtection="1">
      <alignment horizontal="center"/>
      <protection hidden="1"/>
    </xf>
    <xf numFmtId="14" fontId="0" fillId="20" borderId="0" xfId="0" applyNumberFormat="1" applyFill="1" applyProtection="1">
      <protection hidden="1"/>
    </xf>
    <xf numFmtId="0" fontId="200" fillId="36" borderId="4" xfId="0" applyFont="1" applyFill="1" applyBorder="1" applyAlignment="1" applyProtection="1">
      <alignment horizontal="center" vertical="center"/>
    </xf>
    <xf numFmtId="0" fontId="200" fillId="36" borderId="4" xfId="0" applyFont="1" applyFill="1" applyBorder="1" applyAlignment="1" applyProtection="1">
      <alignment horizontal="right" vertical="center"/>
      <protection hidden="1"/>
    </xf>
    <xf numFmtId="14" fontId="194" fillId="20" borderId="29" xfId="0" applyNumberFormat="1" applyFont="1" applyFill="1" applyBorder="1" applyAlignment="1" applyProtection="1">
      <alignment horizontal="left" vertical="center" wrapText="1"/>
      <protection hidden="1"/>
    </xf>
    <xf numFmtId="14" fontId="194" fillId="20" borderId="0" xfId="0" applyNumberFormat="1" applyFont="1" applyFill="1" applyBorder="1" applyAlignment="1" applyProtection="1">
      <alignment horizontal="left" vertical="center" wrapText="1"/>
      <protection hidden="1"/>
    </xf>
    <xf numFmtId="0" fontId="194" fillId="20" borderId="0" xfId="0" applyFont="1" applyFill="1"/>
    <xf numFmtId="165" fontId="113" fillId="13" borderId="110" xfId="0" applyNumberFormat="1" applyFont="1" applyFill="1" applyBorder="1" applyAlignment="1" applyProtection="1">
      <alignment horizontal="center" vertical="center"/>
      <protection locked="0"/>
    </xf>
    <xf numFmtId="165" fontId="113" fillId="13" borderId="104" xfId="0" applyNumberFormat="1" applyFont="1" applyFill="1" applyBorder="1" applyAlignment="1" applyProtection="1">
      <alignment horizontal="center" vertical="center"/>
      <protection locked="0"/>
    </xf>
    <xf numFmtId="165" fontId="113" fillId="13" borderId="104" xfId="0" applyNumberFormat="1" applyFont="1" applyFill="1" applyBorder="1" applyAlignment="1" applyProtection="1">
      <alignment horizontal="center" vertical="center" wrapText="1"/>
      <protection locked="0"/>
    </xf>
    <xf numFmtId="0" fontId="114" fillId="13" borderId="104" xfId="0" applyFont="1" applyFill="1" applyBorder="1" applyAlignment="1" applyProtection="1">
      <alignment horizontal="center" vertical="center"/>
      <protection locked="0"/>
    </xf>
    <xf numFmtId="165" fontId="114" fillId="13" borderId="104" xfId="0" applyNumberFormat="1" applyFont="1" applyFill="1" applyBorder="1" applyAlignment="1" applyProtection="1">
      <alignment horizontal="center" vertical="center"/>
      <protection locked="0"/>
    </xf>
    <xf numFmtId="0" fontId="114" fillId="13" borderId="104" xfId="0" applyFont="1" applyFill="1" applyBorder="1" applyAlignment="1" applyProtection="1">
      <alignment horizontal="center" vertical="center" wrapText="1"/>
      <protection locked="0"/>
    </xf>
    <xf numFmtId="165" fontId="114" fillId="13" borderId="104" xfId="0" applyNumberFormat="1" applyFont="1" applyFill="1" applyBorder="1" applyAlignment="1" applyProtection="1">
      <alignment horizontal="center" vertical="center" wrapText="1"/>
      <protection locked="0"/>
    </xf>
    <xf numFmtId="1" fontId="114" fillId="13" borderId="104" xfId="0" applyNumberFormat="1" applyFont="1" applyFill="1" applyBorder="1" applyAlignment="1" applyProtection="1">
      <alignment horizontal="center" vertical="center" wrapText="1"/>
      <protection locked="0"/>
    </xf>
    <xf numFmtId="165" fontId="114" fillId="13" borderId="108" xfId="0" applyNumberFormat="1" applyFont="1" applyFill="1" applyBorder="1" applyAlignment="1" applyProtection="1">
      <alignment horizontal="center" vertical="center" wrapText="1"/>
      <protection locked="0"/>
    </xf>
    <xf numFmtId="0" fontId="112" fillId="20" borderId="0" xfId="0" applyFont="1" applyFill="1" applyAlignment="1">
      <alignment horizontal="right" vertical="center"/>
    </xf>
    <xf numFmtId="0" fontId="0" fillId="20" borderId="12" xfId="0" applyFont="1" applyFill="1" applyBorder="1" applyAlignment="1">
      <alignment horizontal="center" vertical="center"/>
    </xf>
    <xf numFmtId="0" fontId="74" fillId="0" borderId="12" xfId="0" applyFont="1" applyFill="1" applyBorder="1" applyAlignment="1" applyProtection="1">
      <alignment horizontal="center" vertical="center" wrapText="1"/>
      <protection hidden="1"/>
    </xf>
    <xf numFmtId="0" fontId="0" fillId="50" borderId="0" xfId="0" applyFill="1"/>
    <xf numFmtId="0" fontId="194" fillId="20" borderId="29" xfId="0" applyNumberFormat="1" applyFont="1" applyFill="1" applyBorder="1" applyAlignment="1" applyProtection="1">
      <alignment horizontal="left" vertical="center"/>
      <protection hidden="1"/>
    </xf>
    <xf numFmtId="0" fontId="194" fillId="20" borderId="0" xfId="0" applyNumberFormat="1" applyFont="1" applyFill="1" applyBorder="1" applyAlignment="1" applyProtection="1">
      <alignment horizontal="left" vertical="center"/>
      <protection hidden="1"/>
    </xf>
    <xf numFmtId="0" fontId="194" fillId="20" borderId="0" xfId="0" applyNumberFormat="1" applyFont="1" applyFill="1" applyBorder="1" applyAlignment="1" applyProtection="1">
      <alignment horizontal="left" vertical="center" wrapText="1"/>
      <protection hidden="1"/>
    </xf>
    <xf numFmtId="3" fontId="7" fillId="5" borderId="8" xfId="0" applyNumberFormat="1" applyFont="1" applyFill="1" applyBorder="1" applyAlignment="1" applyProtection="1">
      <alignment horizontal="right" vertical="center"/>
    </xf>
    <xf numFmtId="3" fontId="7" fillId="5" borderId="4" xfId="0" applyNumberFormat="1" applyFont="1" applyFill="1" applyBorder="1" applyAlignment="1" applyProtection="1">
      <alignment horizontal="right" vertical="center"/>
    </xf>
    <xf numFmtId="0" fontId="0" fillId="49" borderId="100" xfId="0" applyFill="1" applyBorder="1" applyAlignment="1" applyProtection="1">
      <alignment horizontal="center"/>
      <protection locked="0"/>
    </xf>
    <xf numFmtId="0" fontId="0" fillId="49" borderId="108" xfId="0" applyFill="1" applyBorder="1" applyAlignment="1" applyProtection="1">
      <alignment horizontal="center"/>
      <protection locked="0"/>
    </xf>
    <xf numFmtId="0" fontId="108" fillId="2" borderId="0" xfId="10" applyFont="1" applyFill="1" applyAlignment="1" applyProtection="1">
      <alignment horizontal="left" wrapText="1"/>
      <protection locked="0" hidden="1"/>
    </xf>
    <xf numFmtId="0" fontId="132" fillId="2" borderId="0" xfId="0" applyFont="1" applyFill="1" applyAlignment="1" applyProtection="1">
      <alignment horizontal="center"/>
      <protection hidden="1"/>
    </xf>
    <xf numFmtId="0" fontId="97" fillId="2" borderId="0" xfId="0" applyFont="1" applyFill="1" applyAlignment="1" applyProtection="1">
      <alignment horizontal="left" wrapText="1"/>
      <protection hidden="1"/>
    </xf>
    <xf numFmtId="0" fontId="161" fillId="2" borderId="0" xfId="10" applyFont="1" applyFill="1" applyAlignment="1" applyProtection="1">
      <alignment horizontal="left" wrapText="1"/>
      <protection locked="0" hidden="1"/>
    </xf>
    <xf numFmtId="0" fontId="0" fillId="21" borderId="9" xfId="0" applyFill="1" applyBorder="1" applyAlignment="1" applyProtection="1">
      <alignment horizontal="left" vertical="center" wrapText="1"/>
      <protection hidden="1"/>
    </xf>
    <xf numFmtId="0" fontId="0" fillId="21" borderId="10" xfId="0" applyFill="1" applyBorder="1" applyAlignment="1" applyProtection="1">
      <alignment horizontal="left" vertical="center" wrapText="1"/>
      <protection hidden="1"/>
    </xf>
    <xf numFmtId="0" fontId="0" fillId="21" borderId="3" xfId="0" applyFill="1" applyBorder="1" applyAlignment="1" applyProtection="1">
      <alignment horizontal="left" vertical="center" wrapText="1"/>
      <protection hidden="1"/>
    </xf>
    <xf numFmtId="0" fontId="0" fillId="21" borderId="2" xfId="0" applyFill="1" applyBorder="1" applyAlignment="1" applyProtection="1">
      <alignment horizontal="left" vertical="center" wrapText="1"/>
      <protection hidden="1"/>
    </xf>
    <xf numFmtId="0" fontId="109" fillId="2" borderId="0" xfId="10" applyFont="1" applyFill="1" applyBorder="1" applyAlignment="1" applyProtection="1">
      <alignment horizontal="right" vertical="top"/>
      <protection locked="0" hidden="1"/>
    </xf>
    <xf numFmtId="0" fontId="110" fillId="20" borderId="0" xfId="0" applyFont="1" applyFill="1" applyAlignment="1" applyProtection="1">
      <alignment horizontal="center"/>
      <protection hidden="1"/>
    </xf>
    <xf numFmtId="0" fontId="110" fillId="20" borderId="0" xfId="0" applyFont="1" applyFill="1" applyBorder="1" applyAlignment="1" applyProtection="1">
      <alignment horizontal="center"/>
      <protection hidden="1"/>
    </xf>
    <xf numFmtId="0" fontId="110" fillId="20" borderId="6" xfId="0" applyFont="1" applyFill="1" applyBorder="1" applyAlignment="1" applyProtection="1">
      <alignment horizontal="center"/>
      <protection hidden="1"/>
    </xf>
    <xf numFmtId="0" fontId="61" fillId="20" borderId="0" xfId="0" applyFont="1" applyFill="1" applyAlignment="1" applyProtection="1">
      <alignment horizontal="center" vertical="top" wrapText="1"/>
      <protection hidden="1"/>
    </xf>
    <xf numFmtId="0" fontId="110" fillId="20" borderId="6" xfId="0" applyFont="1" applyFill="1" applyBorder="1" applyAlignment="1" applyProtection="1">
      <alignment horizontal="center" vertical="top" wrapText="1"/>
      <protection hidden="1"/>
    </xf>
    <xf numFmtId="0" fontId="110" fillId="20" borderId="0" xfId="0" applyFont="1" applyFill="1" applyAlignment="1" applyProtection="1">
      <alignment horizontal="center" vertical="top" wrapText="1"/>
      <protection hidden="1"/>
    </xf>
    <xf numFmtId="0" fontId="144" fillId="0" borderId="1" xfId="0" applyFont="1" applyBorder="1" applyAlignment="1" applyProtection="1">
      <alignment horizontal="center" vertical="center"/>
      <protection hidden="1"/>
    </xf>
    <xf numFmtId="0" fontId="0" fillId="21" borderId="10" xfId="0" applyFill="1" applyBorder="1" applyAlignment="1" applyProtection="1">
      <alignment horizontal="left" vertical="center"/>
      <protection hidden="1"/>
    </xf>
    <xf numFmtId="0" fontId="0" fillId="21" borderId="3" xfId="0" applyFill="1" applyBorder="1" applyAlignment="1" applyProtection="1">
      <alignment horizontal="left" vertical="center"/>
      <protection hidden="1"/>
    </xf>
    <xf numFmtId="0" fontId="0" fillId="21" borderId="2" xfId="0" applyFill="1" applyBorder="1" applyAlignment="1" applyProtection="1">
      <alignment horizontal="left" vertical="center"/>
      <protection hidden="1"/>
    </xf>
    <xf numFmtId="0" fontId="0" fillId="21" borderId="8" xfId="0" applyFill="1" applyBorder="1" applyAlignment="1" applyProtection="1">
      <alignment horizontal="left" vertical="center"/>
      <protection hidden="1"/>
    </xf>
    <xf numFmtId="0" fontId="0" fillId="21" borderId="7" xfId="0" applyFill="1" applyBorder="1" applyAlignment="1" applyProtection="1">
      <alignment horizontal="left" vertical="center"/>
      <protection hidden="1"/>
    </xf>
    <xf numFmtId="0" fontId="112" fillId="20" borderId="0" xfId="0" applyFont="1" applyFill="1" applyAlignment="1" applyProtection="1">
      <alignment horizontal="center" vertical="center" wrapText="1"/>
      <protection hidden="1"/>
    </xf>
    <xf numFmtId="0" fontId="30" fillId="20" borderId="0" xfId="0" applyFont="1" applyFill="1" applyAlignment="1" applyProtection="1">
      <alignment horizontal="center" vertical="center" wrapText="1"/>
      <protection hidden="1"/>
    </xf>
    <xf numFmtId="0" fontId="0" fillId="20" borderId="0" xfId="0" applyFont="1" applyFill="1" applyAlignment="1" applyProtection="1">
      <alignment horizontal="center" wrapText="1"/>
      <protection hidden="1"/>
    </xf>
    <xf numFmtId="0" fontId="144" fillId="0" borderId="0" xfId="0" applyFont="1" applyBorder="1" applyAlignment="1" applyProtection="1">
      <alignment horizontal="center" vertical="center" wrapText="1"/>
      <protection hidden="1"/>
    </xf>
    <xf numFmtId="0" fontId="144" fillId="0" borderId="6" xfId="0" applyFont="1" applyBorder="1" applyAlignment="1" applyProtection="1">
      <alignment horizontal="center" vertical="center" wrapText="1"/>
      <protection hidden="1"/>
    </xf>
    <xf numFmtId="0" fontId="144" fillId="0" borderId="1" xfId="0" applyFont="1" applyBorder="1" applyAlignment="1" applyProtection="1">
      <alignment horizontal="center" vertical="center" wrapText="1"/>
      <protection hidden="1"/>
    </xf>
    <xf numFmtId="0" fontId="144" fillId="0" borderId="2" xfId="0" applyFont="1" applyBorder="1" applyAlignment="1" applyProtection="1">
      <alignment horizontal="center" vertical="center" wrapText="1"/>
      <protection hidden="1"/>
    </xf>
    <xf numFmtId="0" fontId="133" fillId="20" borderId="13" xfId="0" applyFont="1" applyFill="1" applyBorder="1" applyAlignment="1" applyProtection="1">
      <alignment horizontal="center"/>
      <protection hidden="1"/>
    </xf>
    <xf numFmtId="0" fontId="133" fillId="20" borderId="10" xfId="0" applyFont="1" applyFill="1" applyBorder="1" applyAlignment="1" applyProtection="1">
      <alignment horizontal="center"/>
      <protection hidden="1"/>
    </xf>
    <xf numFmtId="0" fontId="112" fillId="20" borderId="0" xfId="0" applyFont="1" applyFill="1" applyBorder="1" applyAlignment="1" applyProtection="1">
      <alignment horizontal="center" vertical="top"/>
      <protection hidden="1"/>
    </xf>
    <xf numFmtId="0" fontId="112" fillId="20" borderId="6" xfId="0" applyFont="1" applyFill="1" applyBorder="1" applyAlignment="1" applyProtection="1">
      <alignment horizontal="center" vertical="top"/>
      <protection hidden="1"/>
    </xf>
    <xf numFmtId="0" fontId="112" fillId="20" borderId="0" xfId="0" applyFont="1" applyFill="1" applyBorder="1" applyAlignment="1" applyProtection="1">
      <alignment horizontal="center" vertical="top" wrapText="1"/>
      <protection hidden="1"/>
    </xf>
    <xf numFmtId="0" fontId="0" fillId="21" borderId="29" xfId="0" applyFill="1" applyBorder="1" applyAlignment="1" applyProtection="1">
      <alignment horizontal="left" vertical="center"/>
      <protection hidden="1"/>
    </xf>
    <xf numFmtId="0" fontId="0" fillId="21" borderId="6" xfId="0" applyFill="1" applyBorder="1" applyAlignment="1" applyProtection="1">
      <alignment horizontal="left" vertical="center"/>
      <protection hidden="1"/>
    </xf>
    <xf numFmtId="0" fontId="0" fillId="21" borderId="9" xfId="0" applyFill="1" applyBorder="1" applyAlignment="1" applyProtection="1">
      <alignment horizontal="left" vertical="center"/>
      <protection hidden="1"/>
    </xf>
    <xf numFmtId="0" fontId="201" fillId="20" borderId="0" xfId="0" applyFont="1" applyFill="1" applyAlignment="1" applyProtection="1">
      <alignment horizontal="center" vertical="center" wrapText="1"/>
      <protection hidden="1"/>
    </xf>
    <xf numFmtId="0" fontId="202" fillId="0" borderId="1" xfId="0" applyFont="1" applyBorder="1" applyAlignment="1">
      <alignment horizontal="left" vertical="center" wrapText="1" indent="2"/>
    </xf>
    <xf numFmtId="0" fontId="106" fillId="21" borderId="0" xfId="0" applyFont="1" applyFill="1" applyAlignment="1" applyProtection="1">
      <alignment horizontal="center" vertical="center" wrapText="1"/>
      <protection hidden="1"/>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30" fillId="36" borderId="4" xfId="0" applyFont="1" applyFill="1" applyBorder="1" applyAlignment="1" applyProtection="1">
      <alignment horizontal="center" vertical="center"/>
    </xf>
    <xf numFmtId="0" fontId="202" fillId="0" borderId="1" xfId="0" applyFont="1" applyBorder="1" applyAlignment="1">
      <alignment horizontal="left" vertical="center" indent="2"/>
    </xf>
    <xf numFmtId="0" fontId="7" fillId="0" borderId="1" xfId="0" applyFont="1" applyBorder="1" applyAlignment="1">
      <alignment horizontal="left"/>
    </xf>
    <xf numFmtId="0" fontId="7" fillId="2" borderId="1" xfId="0" applyFont="1" applyFill="1" applyBorder="1" applyAlignment="1">
      <alignment horizontal="left"/>
    </xf>
    <xf numFmtId="0" fontId="112" fillId="36" borderId="4" xfId="0" applyFont="1" applyFill="1" applyBorder="1" applyAlignment="1">
      <alignment horizontal="center" vertical="center"/>
    </xf>
    <xf numFmtId="0" fontId="62" fillId="36" borderId="8" xfId="0" applyFont="1" applyFill="1" applyBorder="1" applyAlignment="1">
      <alignment horizontal="center" vertical="center" wrapText="1"/>
    </xf>
    <xf numFmtId="0" fontId="62" fillId="36" borderId="7" xfId="0" applyFont="1" applyFill="1" applyBorder="1" applyAlignment="1">
      <alignment horizontal="center" vertical="center" wrapText="1"/>
    </xf>
    <xf numFmtId="49" fontId="31" fillId="21" borderId="104" xfId="0" applyNumberFormat="1" applyFont="1" applyFill="1" applyBorder="1" applyAlignment="1">
      <alignment horizontal="left" vertical="center" wrapText="1"/>
    </xf>
    <xf numFmtId="49" fontId="31" fillId="21" borderId="108" xfId="0" applyNumberFormat="1" applyFont="1" applyFill="1" applyBorder="1" applyAlignment="1">
      <alignment horizontal="left" vertical="center" wrapText="1"/>
    </xf>
    <xf numFmtId="0" fontId="87" fillId="21" borderId="11" xfId="0" applyFont="1" applyFill="1" applyBorder="1" applyAlignment="1" applyProtection="1">
      <alignment horizontal="left" vertical="center" wrapText="1"/>
      <protection hidden="1"/>
    </xf>
    <xf numFmtId="0" fontId="87" fillId="21" borderId="28" xfId="0" applyFont="1" applyFill="1" applyBorder="1" applyAlignment="1" applyProtection="1">
      <alignment horizontal="left" vertical="center" wrapText="1"/>
      <protection hidden="1"/>
    </xf>
    <xf numFmtId="0" fontId="87" fillId="21" borderId="110" xfId="0" applyFont="1" applyFill="1" applyBorder="1" applyAlignment="1" applyProtection="1">
      <alignment horizontal="left" vertical="center" wrapText="1"/>
      <protection hidden="1"/>
    </xf>
    <xf numFmtId="0" fontId="87" fillId="21" borderId="11" xfId="0" applyNumberFormat="1" applyFont="1" applyFill="1" applyBorder="1" applyAlignment="1">
      <alignment horizontal="left" vertical="center" wrapText="1"/>
    </xf>
    <xf numFmtId="0" fontId="87" fillId="21" borderId="28" xfId="0" applyNumberFormat="1" applyFont="1" applyFill="1" applyBorder="1" applyAlignment="1">
      <alignment horizontal="left" vertical="center" wrapText="1"/>
    </xf>
    <xf numFmtId="0" fontId="87" fillId="21" borderId="110" xfId="0" applyNumberFormat="1" applyFont="1" applyFill="1" applyBorder="1" applyAlignment="1">
      <alignment horizontal="left" vertical="center" wrapText="1"/>
    </xf>
    <xf numFmtId="0" fontId="30" fillId="36" borderId="4" xfId="0" applyFont="1" applyFill="1" applyBorder="1" applyAlignment="1" applyProtection="1">
      <alignment horizontal="center" vertical="center" wrapText="1"/>
    </xf>
    <xf numFmtId="0" fontId="12" fillId="20" borderId="29" xfId="0" applyFont="1" applyFill="1" applyBorder="1" applyAlignment="1" applyProtection="1">
      <alignment horizontal="center" vertical="center" wrapText="1"/>
      <protection hidden="1"/>
    </xf>
    <xf numFmtId="0" fontId="12" fillId="20" borderId="0" xfId="0" applyFont="1" applyFill="1" applyBorder="1" applyAlignment="1" applyProtection="1">
      <alignment horizontal="center" vertical="center" wrapText="1"/>
      <protection hidden="1"/>
    </xf>
    <xf numFmtId="0" fontId="12" fillId="20" borderId="0" xfId="0" applyFont="1" applyFill="1" applyAlignment="1" applyProtection="1">
      <alignment horizontal="center" wrapText="1"/>
      <protection hidden="1"/>
    </xf>
    <xf numFmtId="0" fontId="112" fillId="21" borderId="8" xfId="0" applyFont="1" applyFill="1" applyBorder="1" applyAlignment="1">
      <alignment horizontal="center" vertical="center"/>
    </xf>
    <xf numFmtId="0" fontId="112" fillId="21" borderId="12" xfId="0" applyFont="1" applyFill="1" applyBorder="1" applyAlignment="1">
      <alignment horizontal="center" vertical="center"/>
    </xf>
    <xf numFmtId="0" fontId="112" fillId="21" borderId="7" xfId="0" applyFont="1" applyFill="1" applyBorder="1" applyAlignment="1">
      <alignment horizontal="center" vertical="center"/>
    </xf>
    <xf numFmtId="0" fontId="112" fillId="36" borderId="11" xfId="0" applyFont="1" applyFill="1" applyBorder="1" applyAlignment="1">
      <alignment horizontal="center" vertical="center" wrapText="1"/>
    </xf>
    <xf numFmtId="0" fontId="112" fillId="36" borderId="5" xfId="0" applyFont="1" applyFill="1" applyBorder="1" applyAlignment="1">
      <alignment horizontal="center" vertical="center" wrapText="1"/>
    </xf>
    <xf numFmtId="0" fontId="112" fillId="36" borderId="4" xfId="0" applyFont="1" applyFill="1" applyBorder="1" applyAlignment="1">
      <alignment horizontal="center" vertical="center" wrapText="1"/>
    </xf>
    <xf numFmtId="0" fontId="112" fillId="36" borderId="8" xfId="0" applyFont="1" applyFill="1" applyBorder="1" applyAlignment="1">
      <alignment horizontal="center" vertical="center"/>
    </xf>
    <xf numFmtId="0" fontId="112" fillId="36" borderId="12" xfId="0" applyFont="1" applyFill="1" applyBorder="1" applyAlignment="1">
      <alignment horizontal="center" vertical="center"/>
    </xf>
    <xf numFmtId="0" fontId="112" fillId="36" borderId="7" xfId="0" applyFont="1" applyFill="1" applyBorder="1" applyAlignment="1">
      <alignment horizontal="center" vertical="center"/>
    </xf>
    <xf numFmtId="0" fontId="188" fillId="20" borderId="29" xfId="0" applyFont="1" applyFill="1" applyBorder="1" applyAlignment="1">
      <alignment vertical="center" wrapText="1"/>
    </xf>
    <xf numFmtId="0" fontId="188" fillId="20" borderId="0" xfId="0" applyFont="1" applyFill="1" applyAlignment="1">
      <alignment vertical="center" wrapText="1"/>
    </xf>
    <xf numFmtId="0" fontId="202" fillId="2" borderId="1" xfId="0" applyFont="1" applyFill="1" applyBorder="1" applyAlignment="1">
      <alignment horizontal="left" vertical="center" wrapText="1" indent="2"/>
    </xf>
    <xf numFmtId="0" fontId="0" fillId="20" borderId="1" xfId="0" applyFont="1" applyFill="1" applyBorder="1" applyAlignment="1" applyProtection="1">
      <alignment horizontal="center"/>
      <protection hidden="1"/>
    </xf>
    <xf numFmtId="0" fontId="202" fillId="0" borderId="1" xfId="0" applyFont="1" applyBorder="1" applyAlignment="1" applyProtection="1">
      <alignment horizontal="left" vertical="center" wrapText="1" indent="2"/>
    </xf>
    <xf numFmtId="0" fontId="0" fillId="21" borderId="8" xfId="0" applyFill="1" applyBorder="1" applyAlignment="1">
      <alignment horizontal="center" vertical="center"/>
    </xf>
    <xf numFmtId="0" fontId="0" fillId="21" borderId="7" xfId="0" applyFill="1" applyBorder="1" applyAlignment="1">
      <alignment horizontal="center" vertical="center"/>
    </xf>
    <xf numFmtId="0" fontId="30" fillId="20" borderId="0" xfId="0" applyFont="1" applyFill="1" applyAlignment="1" applyProtection="1">
      <alignment horizontal="left"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12" fillId="20" borderId="0" xfId="0" applyFont="1" applyFill="1" applyAlignment="1" applyProtection="1">
      <alignment horizontal="center"/>
      <protection hidden="1"/>
    </xf>
    <xf numFmtId="0" fontId="12" fillId="20" borderId="29" xfId="0" applyFont="1" applyFill="1" applyBorder="1" applyAlignment="1">
      <alignment horizontal="center" vertical="center" wrapText="1"/>
    </xf>
    <xf numFmtId="0" fontId="12" fillId="20" borderId="0" xfId="0" applyFont="1" applyFill="1" applyAlignment="1">
      <alignment horizontal="center" vertical="center" wrapText="1"/>
    </xf>
    <xf numFmtId="0" fontId="86" fillId="20" borderId="0" xfId="0" applyFont="1" applyFill="1" applyAlignment="1">
      <alignment horizontal="center"/>
    </xf>
    <xf numFmtId="0" fontId="112" fillId="21" borderId="8" xfId="0" applyFont="1" applyFill="1" applyBorder="1" applyAlignment="1">
      <alignment horizontal="center"/>
    </xf>
    <xf numFmtId="0" fontId="112" fillId="21" borderId="12" xfId="0" applyFont="1" applyFill="1" applyBorder="1" applyAlignment="1">
      <alignment horizontal="center"/>
    </xf>
    <xf numFmtId="0" fontId="112" fillId="21" borderId="7" xfId="0" applyFont="1" applyFill="1" applyBorder="1" applyAlignment="1">
      <alignment horizontal="center"/>
    </xf>
    <xf numFmtId="0" fontId="82" fillId="21" borderId="0" xfId="0" applyFont="1" applyFill="1" applyAlignment="1">
      <alignment horizontal="center"/>
    </xf>
    <xf numFmtId="0" fontId="112" fillId="21" borderId="4" xfId="0" applyFont="1" applyFill="1" applyBorder="1" applyAlignment="1">
      <alignment horizontal="center" vertical="center"/>
    </xf>
    <xf numFmtId="0" fontId="167" fillId="20" borderId="0" xfId="0" applyFont="1" applyFill="1" applyAlignment="1" applyProtection="1">
      <alignment horizontal="center" vertical="center" wrapText="1"/>
      <protection hidden="1"/>
    </xf>
    <xf numFmtId="0" fontId="129" fillId="20" borderId="0" xfId="0" applyFont="1" applyFill="1" applyAlignment="1" applyProtection="1">
      <alignment horizontal="center"/>
      <protection hidden="1"/>
    </xf>
    <xf numFmtId="0" fontId="84" fillId="20" borderId="0" xfId="0" applyFont="1" applyFill="1" applyAlignment="1">
      <alignment horizontal="left" vertical="center" wrapText="1"/>
    </xf>
    <xf numFmtId="0" fontId="84" fillId="20" borderId="13" xfId="0" applyFont="1" applyFill="1" applyBorder="1" applyAlignment="1" applyProtection="1">
      <alignment horizontal="center" vertical="center" wrapText="1"/>
      <protection hidden="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0" fontId="65" fillId="36" borderId="11" xfId="0" applyFont="1" applyFill="1" applyBorder="1" applyAlignment="1" applyProtection="1">
      <alignment horizontal="center" vertical="center" wrapText="1"/>
    </xf>
    <xf numFmtId="0" fontId="65" fillId="36" borderId="5" xfId="0" applyFont="1" applyFill="1" applyBorder="1" applyAlignment="1" applyProtection="1">
      <alignment horizontal="center" vertical="center" wrapText="1"/>
    </xf>
    <xf numFmtId="0" fontId="12" fillId="20" borderId="13" xfId="0" applyFont="1" applyFill="1" applyBorder="1" applyAlignment="1" applyProtection="1">
      <alignment horizontal="center" vertical="top" wrapText="1"/>
      <protection hidden="1"/>
    </xf>
    <xf numFmtId="0" fontId="12" fillId="20" borderId="0" xfId="0" applyFont="1" applyFill="1" applyBorder="1" applyAlignment="1" applyProtection="1">
      <alignment horizontal="center" vertical="top" wrapText="1"/>
      <protection hidden="1"/>
    </xf>
    <xf numFmtId="0" fontId="31" fillId="36" borderId="4" xfId="0" applyFont="1" applyFill="1" applyBorder="1" applyAlignment="1" applyProtection="1">
      <alignment horizontal="center" vertical="top" wrapText="1"/>
    </xf>
    <xf numFmtId="0" fontId="121" fillId="20" borderId="6" xfId="0" applyFont="1" applyFill="1" applyBorder="1" applyAlignment="1" applyProtection="1">
      <alignment horizontal="center" vertical="center"/>
      <protection hidden="1"/>
    </xf>
    <xf numFmtId="0" fontId="67" fillId="21" borderId="104" xfId="0" applyFont="1" applyFill="1" applyBorder="1" applyAlignment="1" applyProtection="1">
      <alignment horizontal="left" vertical="center" wrapText="1"/>
      <protection hidden="1"/>
    </xf>
    <xf numFmtId="0" fontId="67" fillId="21" borderId="108" xfId="0" applyFont="1" applyFill="1" applyBorder="1" applyAlignment="1" applyProtection="1">
      <alignment horizontal="left" vertical="center" wrapText="1"/>
      <protection hidden="1"/>
    </xf>
    <xf numFmtId="0" fontId="7" fillId="0" borderId="1" xfId="0" applyFont="1" applyBorder="1" applyAlignment="1">
      <alignment horizontal="center" vertical="center" wrapText="1"/>
    </xf>
    <xf numFmtId="0" fontId="123" fillId="0" borderId="0" xfId="0" applyFont="1" applyAlignment="1">
      <alignment horizontal="center"/>
    </xf>
    <xf numFmtId="0" fontId="202" fillId="0" borderId="2" xfId="0" applyFont="1" applyBorder="1" applyAlignment="1">
      <alignment horizontal="left" vertical="center" indent="2"/>
    </xf>
    <xf numFmtId="0" fontId="202" fillId="0" borderId="5" xfId="0" applyFont="1" applyBorder="1" applyAlignment="1">
      <alignment horizontal="left" vertical="center" indent="2"/>
    </xf>
    <xf numFmtId="0" fontId="202" fillId="0" borderId="3" xfId="0" applyFont="1" applyBorder="1" applyAlignment="1">
      <alignment horizontal="left" vertical="center" indent="2"/>
    </xf>
    <xf numFmtId="0" fontId="0" fillId="21" borderId="104" xfId="0" applyFill="1" applyBorder="1" applyAlignment="1" applyProtection="1">
      <alignment horizontal="left" vertical="center" wrapText="1"/>
      <protection hidden="1"/>
    </xf>
    <xf numFmtId="0" fontId="12" fillId="21" borderId="104" xfId="0" applyFont="1" applyFill="1" applyBorder="1" applyAlignment="1" applyProtection="1">
      <alignment horizontal="left" vertical="center" wrapText="1"/>
      <protection hidden="1"/>
    </xf>
    <xf numFmtId="0" fontId="12" fillId="21" borderId="108" xfId="0" applyFont="1" applyFill="1" applyBorder="1" applyAlignment="1" applyProtection="1">
      <alignment horizontal="left" vertical="center" wrapText="1"/>
      <protection hidden="1"/>
    </xf>
    <xf numFmtId="0" fontId="0" fillId="21" borderId="100" xfId="0" applyFill="1" applyBorder="1" applyAlignment="1">
      <alignment horizontal="left" vertical="center" wrapText="1"/>
    </xf>
    <xf numFmtId="0" fontId="0" fillId="21" borderId="104" xfId="0" applyFill="1" applyBorder="1" applyAlignment="1">
      <alignment horizontal="left" vertical="center" wrapText="1"/>
    </xf>
    <xf numFmtId="0" fontId="0" fillId="21" borderId="108" xfId="0" applyFill="1" applyBorder="1" applyAlignment="1">
      <alignment horizontal="left" vertical="center" wrapText="1"/>
    </xf>
    <xf numFmtId="0" fontId="185" fillId="21" borderId="11" xfId="0" applyFont="1" applyFill="1" applyBorder="1" applyAlignment="1">
      <alignment horizontal="center" vertical="center" wrapText="1"/>
    </xf>
    <xf numFmtId="0" fontId="202" fillId="0" borderId="1" xfId="0" applyFont="1" applyFill="1" applyBorder="1" applyAlignment="1">
      <alignment horizontal="left" vertical="center" indent="2"/>
    </xf>
    <xf numFmtId="0" fontId="119" fillId="21" borderId="3" xfId="0" applyFont="1" applyFill="1" applyBorder="1" applyAlignment="1">
      <alignment horizontal="center" vertical="center" wrapText="1"/>
    </xf>
    <xf numFmtId="0" fontId="119" fillId="21" borderId="1" xfId="0" applyFont="1" applyFill="1" applyBorder="1" applyAlignment="1">
      <alignment horizontal="center" vertical="center" wrapText="1"/>
    </xf>
    <xf numFmtId="0" fontId="119" fillId="21" borderId="2" xfId="0" applyFont="1" applyFill="1" applyBorder="1" applyAlignment="1">
      <alignment horizontal="center" vertical="center" wrapText="1"/>
    </xf>
    <xf numFmtId="0" fontId="0" fillId="21" borderId="104" xfId="0" applyFont="1" applyFill="1" applyBorder="1" applyAlignment="1">
      <alignment horizontal="right" vertical="center"/>
    </xf>
    <xf numFmtId="0" fontId="0" fillId="21" borderId="100" xfId="0" applyFont="1" applyFill="1" applyBorder="1" applyAlignment="1">
      <alignment horizontal="right" vertical="center" wrapText="1"/>
    </xf>
    <xf numFmtId="0" fontId="0" fillId="21" borderId="108" xfId="0" applyFont="1" applyFill="1" applyBorder="1" applyAlignment="1">
      <alignment horizontal="right" vertical="center" wrapText="1"/>
    </xf>
    <xf numFmtId="0" fontId="0" fillId="21" borderId="11" xfId="0"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166" fillId="20" borderId="13" xfId="0" applyNumberFormat="1" applyFont="1" applyFill="1" applyBorder="1" applyAlignment="1">
      <alignment horizontal="center" vertical="top" wrapText="1"/>
    </xf>
    <xf numFmtId="0" fontId="166" fillId="20" borderId="0" xfId="0" applyNumberFormat="1" applyFont="1" applyFill="1" applyAlignment="1">
      <alignment horizontal="center" vertical="top" wrapText="1"/>
    </xf>
    <xf numFmtId="49" fontId="31" fillId="21" borderId="97" xfId="0" applyNumberFormat="1" applyFont="1" applyFill="1" applyBorder="1" applyAlignment="1">
      <alignment vertical="center" wrapText="1"/>
    </xf>
    <xf numFmtId="49" fontId="31" fillId="21" borderId="98" xfId="0" applyNumberFormat="1" applyFont="1" applyFill="1" applyBorder="1" applyAlignment="1">
      <alignment vertical="center" wrapText="1"/>
    </xf>
    <xf numFmtId="49" fontId="31" fillId="21" borderId="99" xfId="0" applyNumberFormat="1" applyFont="1" applyFill="1" applyBorder="1" applyAlignment="1">
      <alignment vertical="center" wrapText="1"/>
    </xf>
    <xf numFmtId="49" fontId="31" fillId="21" borderId="101" xfId="0" applyNumberFormat="1" applyFont="1" applyFill="1" applyBorder="1" applyAlignment="1">
      <alignment vertical="center" wrapText="1"/>
    </xf>
    <xf numFmtId="49" fontId="31" fillId="21" borderId="102" xfId="0" applyNumberFormat="1" applyFont="1" applyFill="1" applyBorder="1" applyAlignment="1">
      <alignment vertical="center" wrapText="1"/>
    </xf>
    <xf numFmtId="49" fontId="31" fillId="21" borderId="103" xfId="0" applyNumberFormat="1" applyFont="1" applyFill="1" applyBorder="1" applyAlignment="1">
      <alignment vertical="center" wrapText="1"/>
    </xf>
    <xf numFmtId="0" fontId="7" fillId="0" borderId="1" xfId="0" applyFont="1" applyBorder="1" applyAlignment="1">
      <alignment horizontal="center" vertical="top" wrapText="1"/>
    </xf>
    <xf numFmtId="2" fontId="87" fillId="0" borderId="0" xfId="0" applyNumberFormat="1" applyFont="1" applyBorder="1" applyAlignment="1">
      <alignment horizontal="center" vertical="top" wrapText="1"/>
    </xf>
    <xf numFmtId="0" fontId="123" fillId="0" borderId="1" xfId="0" applyFont="1" applyBorder="1" applyAlignment="1">
      <alignment horizontal="center"/>
    </xf>
    <xf numFmtId="0" fontId="194" fillId="20" borderId="13" xfId="0" applyFont="1" applyFill="1" applyBorder="1" applyAlignment="1">
      <alignment horizontal="left" vertical="top" wrapText="1"/>
    </xf>
    <xf numFmtId="0" fontId="7" fillId="36" borderId="8"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7" xfId="0" applyFont="1" applyFill="1" applyBorder="1" applyAlignment="1">
      <alignment horizontal="center" vertical="center" wrapText="1"/>
    </xf>
    <xf numFmtId="0" fontId="133" fillId="0" borderId="11" xfId="0" applyFont="1" applyFill="1" applyBorder="1" applyAlignment="1" applyProtection="1">
      <alignment horizontal="center" vertical="center" wrapText="1"/>
      <protection hidden="1"/>
    </xf>
    <xf numFmtId="0" fontId="133" fillId="0" borderId="28" xfId="0" applyFont="1" applyFill="1" applyBorder="1" applyAlignment="1" applyProtection="1">
      <alignment horizontal="center" vertical="center" wrapText="1"/>
      <protection hidden="1"/>
    </xf>
    <xf numFmtId="0" fontId="133" fillId="0" borderId="5" xfId="0" applyFont="1" applyFill="1" applyBorder="1" applyAlignment="1" applyProtection="1">
      <alignment horizontal="center" vertical="center" wrapText="1"/>
      <protection hidden="1"/>
    </xf>
    <xf numFmtId="0" fontId="199" fillId="20" borderId="0" xfId="0" applyFont="1" applyFill="1" applyAlignment="1">
      <alignment horizontal="center" vertical="center" wrapText="1"/>
    </xf>
    <xf numFmtId="0" fontId="143" fillId="20" borderId="0" xfId="0" applyFont="1" applyFill="1" applyAlignment="1">
      <alignment horizontal="center"/>
    </xf>
    <xf numFmtId="0" fontId="110" fillId="20" borderId="0" xfId="0" applyFont="1" applyFill="1" applyBorder="1" applyAlignment="1">
      <alignment horizontal="center" vertical="center"/>
    </xf>
    <xf numFmtId="0" fontId="29" fillId="21" borderId="100" xfId="0" applyFont="1" applyFill="1" applyBorder="1" applyAlignment="1">
      <alignment horizontal="right" vertical="center" wrapText="1"/>
    </xf>
    <xf numFmtId="0" fontId="29" fillId="21" borderId="104" xfId="0" applyFont="1" applyFill="1" applyBorder="1" applyAlignment="1">
      <alignment horizontal="right" vertical="center" wrapText="1"/>
    </xf>
    <xf numFmtId="0" fontId="29" fillId="21" borderId="108" xfId="0" applyFont="1" applyFill="1" applyBorder="1" applyAlignment="1">
      <alignment horizontal="right" vertical="center" wrapText="1"/>
    </xf>
    <xf numFmtId="0" fontId="12" fillId="21" borderId="109" xfId="0" applyFont="1" applyFill="1" applyBorder="1" applyAlignment="1" applyProtection="1">
      <alignment horizontal="left" vertical="center" wrapText="1"/>
      <protection hidden="1"/>
    </xf>
    <xf numFmtId="0" fontId="119" fillId="21" borderId="28" xfId="0" applyFont="1" applyFill="1" applyBorder="1" applyAlignment="1">
      <alignment horizontal="center" vertical="center" wrapText="1"/>
    </xf>
    <xf numFmtId="0" fontId="110" fillId="20" borderId="0" xfId="0" applyFont="1" applyFill="1" applyAlignment="1">
      <alignment horizontal="center" vertical="center"/>
    </xf>
    <xf numFmtId="0" fontId="110" fillId="20" borderId="6" xfId="0" applyFont="1" applyFill="1" applyBorder="1" applyAlignment="1">
      <alignment horizontal="center" vertical="center"/>
    </xf>
    <xf numFmtId="0" fontId="87" fillId="20" borderId="29" xfId="0" applyFont="1" applyFill="1" applyBorder="1" applyAlignment="1" applyProtection="1">
      <alignment horizontal="center" wrapText="1"/>
      <protection hidden="1"/>
    </xf>
    <xf numFmtId="0" fontId="87" fillId="20" borderId="0" xfId="0" applyFont="1" applyFill="1" applyBorder="1" applyAlignment="1" applyProtection="1">
      <alignment horizontal="center" wrapText="1"/>
      <protection hidden="1"/>
    </xf>
    <xf numFmtId="0" fontId="12" fillId="20" borderId="13" xfId="0" applyFont="1" applyFill="1" applyBorder="1" applyAlignment="1">
      <alignment horizontal="center" wrapText="1"/>
    </xf>
    <xf numFmtId="0" fontId="7" fillId="0" borderId="0" xfId="0" applyFont="1" applyBorder="1" applyAlignment="1">
      <alignment horizontal="left" vertical="top" wrapText="1"/>
    </xf>
    <xf numFmtId="0" fontId="0" fillId="0" borderId="0" xfId="0" applyAlignment="1" applyProtection="1">
      <alignment horizontal="center"/>
      <protection hidden="1"/>
    </xf>
    <xf numFmtId="0" fontId="109" fillId="2" borderId="0" xfId="10" applyFont="1" applyFill="1" applyBorder="1" applyAlignment="1" applyProtection="1">
      <alignment horizontal="left" vertical="center"/>
      <protection locked="0" hidden="1"/>
    </xf>
    <xf numFmtId="0" fontId="94" fillId="20" borderId="0" xfId="0" applyFont="1" applyFill="1" applyAlignment="1" applyProtection="1">
      <alignment horizontal="center"/>
      <protection hidden="1"/>
    </xf>
    <xf numFmtId="0" fontId="31" fillId="36" borderId="11"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11" xfId="0"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31" fillId="36" borderId="10"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9" fillId="36" borderId="4" xfId="0" applyNumberFormat="1" applyFont="1" applyFill="1" applyBorder="1" applyAlignment="1" applyProtection="1">
      <alignment horizontal="center" vertical="center"/>
      <protection locked="0" hidden="1"/>
    </xf>
    <xf numFmtId="3" fontId="29" fillId="36" borderId="4" xfId="0" applyNumberFormat="1"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133"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0" fontId="7" fillId="0" borderId="0" xfId="0" applyFont="1" applyAlignment="1" applyProtection="1">
      <alignment horizontal="center" wrapText="1"/>
      <protection locked="0" hidden="1"/>
    </xf>
    <xf numFmtId="0" fontId="52" fillId="20" borderId="0" xfId="0" applyFont="1" applyFill="1" applyAlignment="1" applyProtection="1">
      <alignment horizontal="center" vertical="center" wrapText="1"/>
      <protection hidden="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09"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0" fillId="20" borderId="22" xfId="0" applyFont="1" applyFill="1" applyBorder="1" applyAlignment="1" applyProtection="1">
      <alignment horizontal="left" vertical="top" wrapText="1"/>
      <protection hidden="1"/>
    </xf>
    <xf numFmtId="0" fontId="0" fillId="20" borderId="95" xfId="0" applyFont="1" applyFill="1" applyBorder="1" applyAlignment="1" applyProtection="1">
      <alignment horizontal="left" vertical="top" wrapText="1"/>
      <protection hidden="1"/>
    </xf>
    <xf numFmtId="0" fontId="0" fillId="20" borderId="20" xfId="0" applyFont="1" applyFill="1" applyBorder="1" applyAlignment="1" applyProtection="1">
      <alignment horizontal="left" vertical="top" wrapText="1"/>
      <protection hidden="1"/>
    </xf>
    <xf numFmtId="0" fontId="35" fillId="21" borderId="105" xfId="11" applyFont="1" applyFill="1" applyBorder="1" applyAlignment="1" applyProtection="1">
      <alignment horizontal="right" vertical="center"/>
      <protection hidden="1"/>
    </xf>
    <xf numFmtId="0" fontId="35" fillId="21" borderId="106" xfId="11" applyFont="1" applyFill="1" applyBorder="1" applyAlignment="1" applyProtection="1">
      <alignment horizontal="right" vertical="center"/>
      <protection hidden="1"/>
    </xf>
    <xf numFmtId="0" fontId="35" fillId="21" borderId="107" xfId="11" applyFont="1" applyFill="1" applyBorder="1" applyAlignment="1" applyProtection="1">
      <alignment horizontal="right" vertic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109" fillId="2" borderId="0" xfId="10" applyFont="1" applyFill="1" applyBorder="1" applyAlignment="1" applyProtection="1">
      <alignment horizontal="center" vertical="center"/>
      <protection hidden="1"/>
    </xf>
    <xf numFmtId="0" fontId="35" fillId="21" borderId="101" xfId="11" applyFont="1" applyFill="1" applyBorder="1" applyAlignment="1" applyProtection="1">
      <alignment horizontal="right" vertical="center" wrapText="1"/>
      <protection hidden="1"/>
    </xf>
    <xf numFmtId="0" fontId="35" fillId="21" borderId="102" xfId="11" applyFont="1" applyFill="1" applyBorder="1" applyAlignment="1" applyProtection="1">
      <alignment horizontal="right" vertical="center" wrapText="1"/>
      <protection hidden="1"/>
    </xf>
    <xf numFmtId="0" fontId="35" fillId="21" borderId="103" xfId="11" applyFont="1" applyFill="1" applyBorder="1" applyAlignment="1" applyProtection="1">
      <alignment horizontal="right" vertical="center" wrapText="1"/>
      <protection hidden="1"/>
    </xf>
    <xf numFmtId="0" fontId="183" fillId="21" borderId="9" xfId="0" applyFont="1" applyFill="1" applyBorder="1" applyAlignment="1" applyProtection="1">
      <alignment horizontal="center" vertical="center"/>
      <protection hidden="1"/>
    </xf>
    <xf numFmtId="0" fontId="183" fillId="21" borderId="10" xfId="0" applyFont="1" applyFill="1" applyBorder="1" applyAlignment="1" applyProtection="1">
      <alignment horizontal="center" vertical="center"/>
      <protection hidden="1"/>
    </xf>
    <xf numFmtId="0" fontId="87" fillId="20" borderId="3" xfId="0" applyFont="1" applyFill="1" applyBorder="1" applyAlignment="1" applyProtection="1">
      <alignment horizontal="center" vertical="center"/>
      <protection hidden="1"/>
    </xf>
    <xf numFmtId="0" fontId="87" fillId="20" borderId="2" xfId="0" applyFont="1" applyFill="1" applyBorder="1" applyAlignment="1" applyProtection="1">
      <alignment horizontal="center" vertical="center"/>
      <protection hidden="1"/>
    </xf>
    <xf numFmtId="0" fontId="83" fillId="2" borderId="0" xfId="10" applyFill="1" applyBorder="1" applyAlignment="1" applyProtection="1">
      <alignment horizontal="center" vertical="center"/>
      <protection hidden="1"/>
    </xf>
    <xf numFmtId="0" fontId="182" fillId="20" borderId="29" xfId="0" applyFont="1" applyFill="1" applyBorder="1" applyAlignment="1" applyProtection="1">
      <alignment horizontal="left" wrapText="1" indent="1"/>
      <protection hidden="1"/>
    </xf>
    <xf numFmtId="0" fontId="182" fillId="20" borderId="0" xfId="0" applyFont="1" applyFill="1" applyAlignment="1" applyProtection="1">
      <alignment horizontal="left" wrapText="1" indent="1"/>
      <protection hidden="1"/>
    </xf>
    <xf numFmtId="0" fontId="160" fillId="20" borderId="0" xfId="0" applyFont="1" applyFill="1" applyBorder="1" applyAlignment="1" applyProtection="1">
      <alignment horizontal="left" vertical="center" wrapText="1" indent="1"/>
      <protection hidden="1"/>
    </xf>
    <xf numFmtId="0" fontId="176" fillId="5" borderId="4" xfId="11" applyFont="1" applyFill="1" applyBorder="1" applyAlignment="1" applyProtection="1">
      <alignment horizontal="center" vertical="center" wrapText="1"/>
      <protection hidden="1"/>
    </xf>
    <xf numFmtId="0" fontId="30" fillId="21" borderId="4" xfId="11" applyFont="1" applyFill="1" applyBorder="1" applyAlignment="1" applyProtection="1">
      <alignment horizontal="left" vertical="center" wrapText="1"/>
      <protection hidden="1"/>
    </xf>
    <xf numFmtId="0" fontId="35" fillId="21" borderId="4" xfId="11" applyFont="1" applyFill="1" applyBorder="1" applyAlignment="1" applyProtection="1">
      <alignment horizontal="right" vertical="center" wrapText="1"/>
      <protection hidden="1"/>
    </xf>
    <xf numFmtId="9" fontId="35" fillId="21" borderId="4" xfId="11" applyNumberFormat="1" applyFont="1" applyFill="1" applyBorder="1" applyAlignment="1" applyProtection="1">
      <alignment horizontal="center" vertical="center"/>
      <protection hidden="1"/>
    </xf>
    <xf numFmtId="0" fontId="186" fillId="20" borderId="0" xfId="0" applyFont="1" applyFill="1" applyAlignment="1" applyProtection="1">
      <alignment horizontal="center" wrapText="1"/>
      <protection hidden="1"/>
    </xf>
    <xf numFmtId="9" fontId="35" fillId="21" borderId="4" xfId="11" applyNumberFormat="1" applyFont="1" applyFill="1" applyBorder="1" applyAlignment="1" applyProtection="1">
      <alignment horizontal="right" vertical="center" wrapText="1"/>
      <protection hidden="1"/>
    </xf>
    <xf numFmtId="0" fontId="35" fillId="21" borderId="131" xfId="11" applyFont="1" applyFill="1" applyBorder="1" applyAlignment="1" applyProtection="1">
      <alignment horizontal="right" vertical="center" wrapText="1"/>
      <protection hidden="1"/>
    </xf>
    <xf numFmtId="0" fontId="35" fillId="21" borderId="115" xfId="11" applyFont="1" applyFill="1" applyBorder="1" applyAlignment="1" applyProtection="1">
      <alignment horizontal="right" vertical="center" wrapText="1"/>
      <protection hidden="1"/>
    </xf>
    <xf numFmtId="0" fontId="35" fillId="21" borderId="132" xfId="11" applyFont="1" applyFill="1" applyBorder="1" applyAlignment="1" applyProtection="1">
      <alignment horizontal="right" vertical="center" wrapText="1"/>
      <protection hidden="1"/>
    </xf>
    <xf numFmtId="0" fontId="35" fillId="21" borderId="105" xfId="11" applyFont="1" applyFill="1" applyBorder="1" applyAlignment="1" applyProtection="1">
      <alignment horizontal="right" vertical="center" wrapText="1"/>
      <protection hidden="1"/>
    </xf>
    <xf numFmtId="0" fontId="35" fillId="21" borderId="106" xfId="11" applyFont="1" applyFill="1" applyBorder="1" applyAlignment="1" applyProtection="1">
      <alignment horizontal="right" vertical="center" wrapText="1"/>
      <protection hidden="1"/>
    </xf>
    <xf numFmtId="0" fontId="35" fillId="21" borderId="107" xfId="11" applyFont="1" applyFill="1" applyBorder="1" applyAlignment="1" applyProtection="1">
      <alignment horizontal="right" vertical="center" wrapText="1"/>
      <protection hidden="1"/>
    </xf>
    <xf numFmtId="0" fontId="178" fillId="5" borderId="8" xfId="11" applyFont="1" applyFill="1" applyBorder="1" applyAlignment="1" applyProtection="1">
      <alignment horizontal="center" vertical="center" wrapText="1"/>
      <protection hidden="1"/>
    </xf>
    <xf numFmtId="0" fontId="178" fillId="5" borderId="12" xfId="11" applyFont="1" applyFill="1" applyBorder="1" applyAlignment="1" applyProtection="1">
      <alignment horizontal="center" vertical="center" wrapText="1"/>
      <protection hidden="1"/>
    </xf>
    <xf numFmtId="0" fontId="178" fillId="5" borderId="7" xfId="11" applyFont="1" applyFill="1" applyBorder="1" applyAlignment="1" applyProtection="1">
      <alignment horizontal="center" vertical="center" wrapText="1"/>
      <protection hidden="1"/>
    </xf>
    <xf numFmtId="0" fontId="35" fillId="21" borderId="97" xfId="11" applyFont="1" applyFill="1" applyBorder="1" applyAlignment="1" applyProtection="1">
      <alignment horizontal="center" vertical="center" wrapText="1"/>
      <protection hidden="1"/>
    </xf>
    <xf numFmtId="0" fontId="35" fillId="21" borderId="98" xfId="11" applyFont="1" applyFill="1" applyBorder="1" applyAlignment="1" applyProtection="1">
      <alignment horizontal="center" vertical="center" wrapText="1"/>
      <protection hidden="1"/>
    </xf>
    <xf numFmtId="0" fontId="35" fillId="21" borderId="99" xfId="11" applyFont="1" applyFill="1" applyBorder="1" applyAlignment="1" applyProtection="1">
      <alignment horizontal="center" vertical="center" wrapText="1"/>
      <protection hidden="1"/>
    </xf>
    <xf numFmtId="0" fontId="35" fillId="21" borderId="101" xfId="11" applyFont="1" applyFill="1" applyBorder="1" applyAlignment="1" applyProtection="1">
      <alignment horizontal="center" vertical="center" wrapText="1"/>
      <protection hidden="1"/>
    </xf>
    <xf numFmtId="0" fontId="35" fillId="21" borderId="102" xfId="11" applyFont="1" applyFill="1" applyBorder="1" applyAlignment="1" applyProtection="1">
      <alignment horizontal="center" vertical="center" wrapText="1"/>
      <protection hidden="1"/>
    </xf>
    <xf numFmtId="0" fontId="35" fillId="21" borderId="103" xfId="11" applyFont="1" applyFill="1" applyBorder="1" applyAlignment="1" applyProtection="1">
      <alignment horizontal="center" vertical="center" wrapText="1"/>
      <protection hidden="1"/>
    </xf>
    <xf numFmtId="0" fontId="35" fillId="21" borderId="105" xfId="11" applyFont="1" applyFill="1" applyBorder="1" applyAlignment="1" applyProtection="1">
      <alignment horizontal="center" vertical="center" wrapText="1"/>
      <protection hidden="1"/>
    </xf>
    <xf numFmtId="0" fontId="35" fillId="21" borderId="106" xfId="11" applyFont="1" applyFill="1" applyBorder="1" applyAlignment="1" applyProtection="1">
      <alignment horizontal="center" vertical="center" wrapText="1"/>
      <protection hidden="1"/>
    </xf>
    <xf numFmtId="0" fontId="35" fillId="21" borderId="107" xfId="11" applyFont="1" applyFill="1" applyBorder="1" applyAlignment="1" applyProtection="1">
      <alignment horizontal="center" vertical="center" wrapText="1"/>
      <protection hidden="1"/>
    </xf>
    <xf numFmtId="0" fontId="35" fillId="21" borderId="101" xfId="11" applyFont="1" applyFill="1" applyBorder="1" applyAlignment="1" applyProtection="1">
      <alignment horizontal="right" vertical="center"/>
      <protection hidden="1"/>
    </xf>
    <xf numFmtId="0" fontId="35" fillId="21" borderId="102" xfId="11" applyFont="1" applyFill="1" applyBorder="1" applyAlignment="1" applyProtection="1">
      <alignment horizontal="right" vertical="center"/>
      <protection hidden="1"/>
    </xf>
    <xf numFmtId="0" fontId="35" fillId="21" borderId="103" xfId="11" applyFont="1" applyFill="1" applyBorder="1" applyAlignment="1" applyProtection="1">
      <alignment horizontal="right" vertical="center"/>
      <protection hidden="1"/>
    </xf>
    <xf numFmtId="0" fontId="87" fillId="20" borderId="29" xfId="0" applyFont="1" applyFill="1" applyBorder="1" applyAlignment="1" applyProtection="1">
      <alignment horizontal="right" vertical="top" wrapText="1" indent="1"/>
      <protection hidden="1"/>
    </xf>
    <xf numFmtId="0" fontId="87" fillId="20" borderId="0" xfId="0" applyFont="1" applyFill="1" applyAlignment="1" applyProtection="1">
      <alignment horizontal="right" vertical="top" wrapText="1" indent="1"/>
      <protection hidden="1"/>
    </xf>
    <xf numFmtId="0" fontId="140" fillId="2" borderId="139" xfId="0" applyFont="1" applyFill="1" applyBorder="1" applyAlignment="1" applyProtection="1">
      <alignment horizontal="left" vertical="center" indent="12"/>
      <protection hidden="1"/>
    </xf>
    <xf numFmtId="0" fontId="140" fillId="2" borderId="140" xfId="0" applyFont="1" applyFill="1" applyBorder="1" applyAlignment="1" applyProtection="1">
      <alignment horizontal="left" vertical="center" indent="12"/>
      <protection hidden="1"/>
    </xf>
    <xf numFmtId="0" fontId="140" fillId="2" borderId="141" xfId="0" applyFont="1" applyFill="1" applyBorder="1" applyAlignment="1" applyProtection="1">
      <alignment horizontal="left" vertical="center" indent="12"/>
      <protection hidden="1"/>
    </xf>
    <xf numFmtId="0" fontId="140" fillId="2" borderId="136" xfId="0" applyFont="1" applyFill="1" applyBorder="1" applyAlignment="1" applyProtection="1">
      <alignment horizontal="left" vertical="center" indent="13"/>
      <protection hidden="1"/>
    </xf>
    <xf numFmtId="0" fontId="140" fillId="2" borderId="137" xfId="0" applyFont="1" applyFill="1" applyBorder="1" applyAlignment="1" applyProtection="1">
      <alignment horizontal="left" vertical="center" indent="13"/>
      <protection hidden="1"/>
    </xf>
    <xf numFmtId="0" fontId="140" fillId="2" borderId="138" xfId="0" applyFont="1" applyFill="1" applyBorder="1" applyAlignment="1" applyProtection="1">
      <alignment horizontal="left" vertical="center" indent="13"/>
      <protection hidden="1"/>
    </xf>
    <xf numFmtId="0" fontId="140" fillId="2" borderId="136" xfId="0" applyFont="1" applyFill="1" applyBorder="1" applyAlignment="1" applyProtection="1">
      <alignment horizontal="left" vertical="center" indent="14"/>
      <protection hidden="1"/>
    </xf>
    <xf numFmtId="0" fontId="140" fillId="2" borderId="137" xfId="0" applyFont="1" applyFill="1" applyBorder="1" applyAlignment="1" applyProtection="1">
      <alignment horizontal="left" vertical="center" indent="14"/>
      <protection hidden="1"/>
    </xf>
    <xf numFmtId="0" fontId="140" fillId="2" borderId="138" xfId="0" applyFont="1" applyFill="1" applyBorder="1" applyAlignment="1" applyProtection="1">
      <alignment horizontal="left" vertical="center" indent="14"/>
      <protection hidden="1"/>
    </xf>
    <xf numFmtId="0" fontId="140" fillId="2" borderId="136" xfId="0" applyFont="1" applyFill="1" applyBorder="1" applyAlignment="1" applyProtection="1">
      <alignment horizontal="left" vertical="center" indent="15"/>
      <protection hidden="1"/>
    </xf>
    <xf numFmtId="0" fontId="140" fillId="2" borderId="137" xfId="0" applyFont="1" applyFill="1" applyBorder="1" applyAlignment="1" applyProtection="1">
      <alignment horizontal="left" vertical="center" indent="15"/>
      <protection hidden="1"/>
    </xf>
    <xf numFmtId="0" fontId="140" fillId="2" borderId="138" xfId="0" applyFont="1" applyFill="1" applyBorder="1" applyAlignment="1" applyProtection="1">
      <alignment horizontal="left" vertical="center" indent="15"/>
      <protection hidden="1"/>
    </xf>
    <xf numFmtId="0" fontId="140" fillId="2" borderId="136" xfId="0" applyFont="1" applyFill="1" applyBorder="1" applyAlignment="1" applyProtection="1">
      <alignment horizontal="left" vertical="center" indent="16"/>
      <protection hidden="1"/>
    </xf>
    <xf numFmtId="0" fontId="140" fillId="2" borderId="137" xfId="0" applyFont="1" applyFill="1" applyBorder="1" applyAlignment="1" applyProtection="1">
      <alignment horizontal="left" vertical="center" indent="16"/>
      <protection hidden="1"/>
    </xf>
    <xf numFmtId="0" fontId="140" fillId="2" borderId="138" xfId="0" applyFont="1" applyFill="1" applyBorder="1" applyAlignment="1" applyProtection="1">
      <alignment horizontal="left" vertical="center" indent="16"/>
      <protection hidden="1"/>
    </xf>
    <xf numFmtId="0" fontId="140" fillId="2" borderId="136" xfId="0" applyFont="1" applyFill="1" applyBorder="1" applyAlignment="1" applyProtection="1">
      <alignment horizontal="left" vertical="center" indent="17"/>
      <protection hidden="1"/>
    </xf>
    <xf numFmtId="0" fontId="140" fillId="2" borderId="137" xfId="0" applyFont="1" applyFill="1" applyBorder="1" applyAlignment="1" applyProtection="1">
      <alignment horizontal="left" vertical="center" indent="17"/>
      <protection hidden="1"/>
    </xf>
    <xf numFmtId="0" fontId="140" fillId="2" borderId="138" xfId="0" applyFont="1" applyFill="1" applyBorder="1" applyAlignment="1" applyProtection="1">
      <alignment horizontal="left" vertical="center" indent="17"/>
      <protection hidden="1"/>
    </xf>
    <xf numFmtId="0" fontId="140" fillId="2" borderId="136" xfId="0" applyFont="1" applyFill="1" applyBorder="1" applyAlignment="1" applyProtection="1">
      <alignment horizontal="left" vertical="center" indent="18"/>
      <protection hidden="1"/>
    </xf>
    <xf numFmtId="0" fontId="140" fillId="2" borderId="137" xfId="0" applyFont="1" applyFill="1" applyBorder="1" applyAlignment="1" applyProtection="1">
      <alignment horizontal="left" vertical="center" indent="18"/>
      <protection hidden="1"/>
    </xf>
    <xf numFmtId="0" fontId="140" fillId="2" borderId="138" xfId="0" applyFont="1" applyFill="1" applyBorder="1" applyAlignment="1" applyProtection="1">
      <alignment horizontal="left" vertical="center" indent="18"/>
      <protection hidden="1"/>
    </xf>
    <xf numFmtId="0" fontId="140" fillId="2" borderId="136" xfId="0" applyFont="1" applyFill="1" applyBorder="1" applyAlignment="1" applyProtection="1">
      <alignment horizontal="left" vertical="center" indent="19"/>
      <protection hidden="1"/>
    </xf>
    <xf numFmtId="0" fontId="140" fillId="2" borderId="137" xfId="0" applyFont="1" applyFill="1" applyBorder="1" applyAlignment="1" applyProtection="1">
      <alignment horizontal="left" vertical="center" indent="19"/>
      <protection hidden="1"/>
    </xf>
    <xf numFmtId="0" fontId="140" fillId="2" borderId="138" xfId="0" applyFont="1" applyFill="1" applyBorder="1" applyAlignment="1" applyProtection="1">
      <alignment horizontal="left" vertical="center" indent="19"/>
      <protection hidden="1"/>
    </xf>
    <xf numFmtId="0" fontId="140" fillId="2" borderId="136" xfId="0" applyFont="1" applyFill="1" applyBorder="1" applyAlignment="1" applyProtection="1">
      <alignment horizontal="left" vertical="center" indent="20"/>
      <protection hidden="1"/>
    </xf>
    <xf numFmtId="0" fontId="140" fillId="2" borderId="137" xfId="0" applyFont="1" applyFill="1" applyBorder="1" applyAlignment="1" applyProtection="1">
      <alignment horizontal="left" vertical="center" indent="20"/>
      <protection hidden="1"/>
    </xf>
    <xf numFmtId="0" fontId="140" fillId="2" borderId="138" xfId="0" applyFont="1" applyFill="1" applyBorder="1" applyAlignment="1" applyProtection="1">
      <alignment horizontal="left" vertical="center" indent="20"/>
      <protection hidden="1"/>
    </xf>
    <xf numFmtId="0" fontId="65" fillId="20" borderId="0" xfId="0" applyFont="1" applyFill="1" applyAlignment="1" applyProtection="1">
      <alignment horizontal="center" vertical="center"/>
      <protection hidden="1"/>
    </xf>
    <xf numFmtId="4" fontId="174" fillId="5" borderId="10" xfId="11" applyNumberFormat="1" applyFont="1" applyFill="1" applyBorder="1" applyAlignment="1" applyProtection="1">
      <alignment horizontal="center" vertical="center" wrapText="1"/>
      <protection hidden="1"/>
    </xf>
    <xf numFmtId="4" fontId="174" fillId="5" borderId="2" xfId="11" applyNumberFormat="1" applyFont="1" applyFill="1" applyBorder="1" applyAlignment="1" applyProtection="1">
      <alignment horizontal="center" vertical="center" wrapText="1"/>
      <protection hidden="1"/>
    </xf>
    <xf numFmtId="0" fontId="174" fillId="5" borderId="4" xfId="11" applyFont="1" applyFill="1" applyBorder="1" applyAlignment="1" applyProtection="1">
      <alignment horizontal="center" vertical="center"/>
      <protection hidden="1"/>
    </xf>
    <xf numFmtId="0" fontId="174" fillId="5" borderId="8" xfId="11" applyFont="1" applyFill="1" applyBorder="1" applyAlignment="1" applyProtection="1">
      <alignment horizontal="center" vertical="center"/>
      <protection hidden="1"/>
    </xf>
    <xf numFmtId="0" fontId="174" fillId="5" borderId="12" xfId="11" applyFont="1" applyFill="1" applyBorder="1" applyAlignment="1" applyProtection="1">
      <alignment horizontal="center" vertical="center"/>
      <protection hidden="1"/>
    </xf>
    <xf numFmtId="0" fontId="174" fillId="5" borderId="7" xfId="11" applyFont="1" applyFill="1" applyBorder="1" applyAlignment="1" applyProtection="1">
      <alignment horizontal="center" vertical="center"/>
      <protection hidden="1"/>
    </xf>
    <xf numFmtId="0" fontId="174" fillId="5" borderId="11" xfId="11" applyFont="1" applyFill="1" applyBorder="1" applyAlignment="1" applyProtection="1">
      <alignment horizontal="center" vertical="center" wrapText="1"/>
      <protection hidden="1"/>
    </xf>
    <xf numFmtId="0" fontId="174" fillId="5" borderId="5" xfId="11" applyFont="1" applyFill="1" applyBorder="1" applyAlignment="1" applyProtection="1">
      <alignment horizontal="center" vertical="center" wrapText="1"/>
      <protection hidden="1"/>
    </xf>
    <xf numFmtId="0" fontId="174" fillId="5" borderId="4" xfId="11" applyFont="1" applyFill="1" applyBorder="1" applyAlignment="1" applyProtection="1">
      <alignment horizontal="center" vertical="center" wrapText="1"/>
      <protection hidden="1"/>
    </xf>
    <xf numFmtId="0" fontId="35" fillId="21" borderId="101" xfId="11" applyFont="1" applyFill="1" applyBorder="1" applyAlignment="1" applyProtection="1">
      <alignment horizontal="left" vertical="center" wrapText="1" indent="2"/>
      <protection hidden="1"/>
    </xf>
    <xf numFmtId="0" fontId="35" fillId="21" borderId="102" xfId="11" applyFont="1" applyFill="1" applyBorder="1" applyAlignment="1" applyProtection="1">
      <alignment horizontal="left" vertical="center" wrapText="1" indent="2"/>
      <protection hidden="1"/>
    </xf>
    <xf numFmtId="0" fontId="35" fillId="21" borderId="103" xfId="11" applyFont="1" applyFill="1" applyBorder="1" applyAlignment="1" applyProtection="1">
      <alignment horizontal="left" vertical="center" wrapText="1" indent="2"/>
      <protection hidden="1"/>
    </xf>
    <xf numFmtId="0" fontId="35" fillId="21" borderId="97" xfId="11" applyFont="1" applyFill="1" applyBorder="1" applyAlignment="1" applyProtection="1">
      <alignment horizontal="right" vertical="center" wrapText="1"/>
      <protection hidden="1"/>
    </xf>
    <xf numFmtId="0" fontId="35" fillId="21" borderId="98" xfId="11" applyFont="1" applyFill="1" applyBorder="1" applyAlignment="1" applyProtection="1">
      <alignment horizontal="right" vertical="center" wrapText="1"/>
      <protection hidden="1"/>
    </xf>
    <xf numFmtId="0" fontId="35" fillId="21" borderId="99" xfId="11" applyFont="1" applyFill="1" applyBorder="1" applyAlignment="1" applyProtection="1">
      <alignment horizontal="right" vertical="center" wrapText="1"/>
      <protection hidden="1"/>
    </xf>
    <xf numFmtId="0" fontId="35" fillId="21" borderId="97" xfId="11" applyFont="1" applyFill="1" applyBorder="1" applyAlignment="1" applyProtection="1">
      <alignment horizontal="right" vertical="center"/>
      <protection hidden="1"/>
    </xf>
    <xf numFmtId="0" fontId="35" fillId="21" borderId="98" xfId="11" applyFont="1" applyFill="1" applyBorder="1" applyAlignment="1" applyProtection="1">
      <alignment horizontal="right" vertical="center"/>
      <protection hidden="1"/>
    </xf>
    <xf numFmtId="0" fontId="35" fillId="21" borderId="99" xfId="11" applyFont="1" applyFill="1" applyBorder="1" applyAlignment="1" applyProtection="1">
      <alignment horizontal="right" vertical="center"/>
      <protection hidden="1"/>
    </xf>
    <xf numFmtId="0" fontId="31" fillId="20" borderId="13" xfId="0" quotePrefix="1" applyFont="1" applyFill="1" applyBorder="1" applyAlignment="1" applyProtection="1">
      <alignment horizontal="left"/>
      <protection hidden="1"/>
    </xf>
    <xf numFmtId="0" fontId="35" fillId="21" borderId="97" xfId="11" applyFont="1" applyFill="1" applyBorder="1" applyAlignment="1" applyProtection="1">
      <alignment vertical="center" wrapText="1"/>
      <protection hidden="1"/>
    </xf>
    <xf numFmtId="0" fontId="35" fillId="21" borderId="98" xfId="11" applyFont="1" applyFill="1" applyBorder="1" applyAlignment="1" applyProtection="1">
      <alignment vertical="center" wrapText="1"/>
      <protection hidden="1"/>
    </xf>
    <xf numFmtId="0" fontId="35" fillId="21" borderId="99" xfId="11" applyFont="1" applyFill="1" applyBorder="1" applyAlignment="1" applyProtection="1">
      <alignment vertical="center" wrapText="1"/>
      <protection hidden="1"/>
    </xf>
    <xf numFmtId="4" fontId="35" fillId="21" borderId="101" xfId="11" applyNumberFormat="1" applyFont="1" applyFill="1" applyBorder="1" applyAlignment="1" applyProtection="1">
      <alignment horizontal="right" vertical="center"/>
      <protection hidden="1"/>
    </xf>
    <xf numFmtId="4" fontId="35" fillId="21" borderId="103" xfId="11" applyNumberFormat="1" applyFont="1" applyFill="1" applyBorder="1" applyAlignment="1" applyProtection="1">
      <alignment horizontal="right" vertical="center"/>
      <protection hidden="1"/>
    </xf>
    <xf numFmtId="4" fontId="35" fillId="21" borderId="105" xfId="11" applyNumberFormat="1" applyFont="1" applyFill="1" applyBorder="1" applyAlignment="1" applyProtection="1">
      <alignment horizontal="right" vertical="center"/>
      <protection hidden="1"/>
    </xf>
    <xf numFmtId="4" fontId="35" fillId="21" borderId="107" xfId="11" applyNumberFormat="1" applyFont="1" applyFill="1" applyBorder="1" applyAlignment="1" applyProtection="1">
      <alignment horizontal="right" vertical="center"/>
      <protection hidden="1"/>
    </xf>
    <xf numFmtId="2" fontId="186" fillId="20" borderId="13" xfId="0" applyNumberFormat="1" applyFont="1" applyFill="1" applyBorder="1" applyAlignment="1" applyProtection="1">
      <alignment horizontal="right" vertical="center"/>
      <protection hidden="1"/>
    </xf>
    <xf numFmtId="4" fontId="35" fillId="21" borderId="9" xfId="11" applyNumberFormat="1" applyFont="1" applyFill="1" applyBorder="1" applyAlignment="1" applyProtection="1">
      <alignment horizontal="right" vertical="center"/>
      <protection hidden="1"/>
    </xf>
    <xf numFmtId="4" fontId="35" fillId="21" borderId="13" xfId="11" applyNumberFormat="1" applyFont="1" applyFill="1" applyBorder="1" applyAlignment="1" applyProtection="1">
      <alignment horizontal="right" vertical="center"/>
      <protection hidden="1"/>
    </xf>
    <xf numFmtId="4" fontId="35" fillId="21" borderId="97" xfId="11" applyNumberFormat="1" applyFont="1" applyFill="1" applyBorder="1" applyAlignment="1" applyProtection="1">
      <alignment horizontal="right" vertical="center"/>
      <protection hidden="1"/>
    </xf>
    <xf numFmtId="4" fontId="35" fillId="21" borderId="99" xfId="11" applyNumberFormat="1" applyFont="1" applyFill="1" applyBorder="1" applyAlignment="1" applyProtection="1">
      <alignment horizontal="right" vertical="center"/>
      <protection hidden="1"/>
    </xf>
    <xf numFmtId="0" fontId="35" fillId="21" borderId="101" xfId="11" applyFont="1" applyFill="1" applyBorder="1" applyAlignment="1" applyProtection="1">
      <alignment horizontal="left" vertical="center" wrapText="1" indent="1"/>
      <protection hidden="1"/>
    </xf>
    <xf numFmtId="0" fontId="35" fillId="21" borderId="102" xfId="11" applyFont="1" applyFill="1" applyBorder="1" applyAlignment="1" applyProtection="1">
      <alignment horizontal="left" vertical="center" wrapText="1" indent="1"/>
      <protection hidden="1"/>
    </xf>
    <xf numFmtId="0" fontId="35" fillId="21" borderId="103" xfId="11" applyFont="1" applyFill="1" applyBorder="1" applyAlignment="1" applyProtection="1">
      <alignment horizontal="left" vertical="center" wrapText="1" indent="1"/>
      <protection hidden="1"/>
    </xf>
    <xf numFmtId="0" fontId="35" fillId="21" borderId="134" xfId="11" applyFont="1" applyFill="1" applyBorder="1" applyAlignment="1" applyProtection="1">
      <alignment horizontal="right" vertical="center" wrapText="1"/>
      <protection hidden="1"/>
    </xf>
    <xf numFmtId="0" fontId="35" fillId="21" borderId="116" xfId="11" applyFont="1" applyFill="1" applyBorder="1" applyAlignment="1" applyProtection="1">
      <alignment horizontal="right" vertical="center" wrapText="1"/>
      <protection hidden="1"/>
    </xf>
    <xf numFmtId="0" fontId="35" fillId="21" borderId="105" xfId="11" applyFont="1" applyFill="1" applyBorder="1" applyAlignment="1" applyProtection="1">
      <alignment horizontal="left" vertical="center" wrapText="1" indent="1"/>
      <protection hidden="1"/>
    </xf>
    <xf numFmtId="0" fontId="35" fillId="21" borderId="106" xfId="11" applyFont="1" applyFill="1" applyBorder="1" applyAlignment="1" applyProtection="1">
      <alignment horizontal="left" vertical="center" wrapText="1" indent="1"/>
      <protection hidden="1"/>
    </xf>
    <xf numFmtId="0" fontId="35" fillId="21" borderId="107" xfId="11" applyFont="1" applyFill="1" applyBorder="1" applyAlignment="1" applyProtection="1">
      <alignment horizontal="left" vertical="center" wrapText="1" indent="1"/>
      <protection hidden="1"/>
    </xf>
    <xf numFmtId="0" fontId="30" fillId="20" borderId="0" xfId="0" applyFont="1" applyFill="1" applyBorder="1" applyAlignment="1" applyProtection="1">
      <alignment horizontal="center"/>
      <protection hidden="1"/>
    </xf>
    <xf numFmtId="0" fontId="30" fillId="20" borderId="0" xfId="0" applyFont="1" applyFill="1" applyAlignment="1" applyProtection="1">
      <alignment horizontal="center"/>
      <protection hidden="1"/>
    </xf>
    <xf numFmtId="0" fontId="87" fillId="20" borderId="29" xfId="0" applyFont="1" applyFill="1" applyBorder="1" applyAlignment="1" applyProtection="1">
      <alignment horizontal="center" vertical="center" wrapText="1"/>
      <protection hidden="1"/>
    </xf>
    <xf numFmtId="0" fontId="87" fillId="20" borderId="0" xfId="0" applyFont="1" applyFill="1" applyAlignment="1" applyProtection="1">
      <alignment horizontal="center" vertical="center" wrapText="1"/>
      <protection hidden="1"/>
    </xf>
    <xf numFmtId="0" fontId="183" fillId="13" borderId="8" xfId="0" applyFont="1" applyFill="1" applyBorder="1" applyAlignment="1" applyProtection="1">
      <alignment horizontal="center" vertical="center"/>
      <protection hidden="1"/>
    </xf>
    <xf numFmtId="0" fontId="183" fillId="13" borderId="7" xfId="0" applyFont="1" applyFill="1" applyBorder="1" applyAlignment="1" applyProtection="1">
      <alignment horizontal="center" vertical="center"/>
      <protection hidden="1"/>
    </xf>
    <xf numFmtId="2" fontId="186" fillId="20" borderId="9" xfId="0" applyNumberFormat="1" applyFont="1" applyFill="1" applyBorder="1" applyAlignment="1" applyProtection="1">
      <alignment horizontal="center" vertical="center"/>
      <protection hidden="1"/>
    </xf>
    <xf numFmtId="2" fontId="186" fillId="20" borderId="10" xfId="0" applyNumberFormat="1" applyFont="1" applyFill="1" applyBorder="1" applyAlignment="1" applyProtection="1">
      <alignment horizontal="center" vertical="center"/>
      <protection hidden="1"/>
    </xf>
    <xf numFmtId="4" fontId="35" fillId="21" borderId="98" xfId="11" applyNumberFormat="1" applyFont="1" applyFill="1" applyBorder="1" applyAlignment="1" applyProtection="1">
      <alignment horizontal="right" vertical="center"/>
      <protection hidden="1"/>
    </xf>
    <xf numFmtId="4" fontId="35" fillId="13" borderId="101" xfId="11" applyNumberFormat="1" applyFont="1" applyFill="1" applyBorder="1" applyAlignment="1" applyProtection="1">
      <alignment horizontal="right" vertical="center"/>
      <protection locked="0" hidden="1"/>
    </xf>
    <xf numFmtId="4" fontId="35" fillId="13" borderId="103" xfId="11" applyNumberFormat="1" applyFont="1" applyFill="1" applyBorder="1" applyAlignment="1" applyProtection="1">
      <alignment horizontal="right" vertical="center"/>
      <protection locked="0" hidden="1"/>
    </xf>
    <xf numFmtId="4" fontId="35" fillId="21" borderId="106" xfId="11" applyNumberFormat="1" applyFont="1" applyFill="1" applyBorder="1" applyAlignment="1" applyProtection="1">
      <alignment horizontal="right" vertical="center"/>
      <protection hidden="1"/>
    </xf>
    <xf numFmtId="4" fontId="186" fillId="20" borderId="13" xfId="0" applyNumberFormat="1" applyFont="1" applyFill="1" applyBorder="1" applyAlignment="1" applyProtection="1">
      <alignment horizontal="right" vertical="center"/>
      <protection hidden="1"/>
    </xf>
    <xf numFmtId="0" fontId="186" fillId="20" borderId="13" xfId="0" applyFont="1" applyFill="1" applyBorder="1" applyAlignment="1" applyProtection="1">
      <alignment horizontal="right" vertical="center" wrapText="1"/>
      <protection hidden="1"/>
    </xf>
    <xf numFmtId="0" fontId="35" fillId="5" borderId="8" xfId="11" applyFont="1" applyFill="1" applyBorder="1" applyAlignment="1" applyProtection="1">
      <alignment horizontal="center" vertical="center" wrapText="1"/>
      <protection hidden="1"/>
    </xf>
    <xf numFmtId="0" fontId="35" fillId="5" borderId="7" xfId="11"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protection hidden="1"/>
    </xf>
    <xf numFmtId="3" fontId="180" fillId="13" borderId="0" xfId="11" applyNumberFormat="1" applyFont="1" applyFill="1" applyBorder="1" applyAlignment="1" applyProtection="1">
      <alignment horizontal="left" vertical="center" wrapText="1"/>
      <protection locked="0" hidden="1"/>
    </xf>
    <xf numFmtId="0" fontId="27" fillId="0" borderId="0" xfId="0" applyFont="1" applyFill="1" applyAlignment="1" applyProtection="1">
      <alignment horizontal="center"/>
      <protection hidden="1"/>
    </xf>
    <xf numFmtId="0" fontId="27" fillId="0" borderId="13" xfId="0" applyFont="1" applyFill="1" applyBorder="1" applyAlignment="1" applyProtection="1">
      <alignment horizontal="center"/>
      <protection hidden="1"/>
    </xf>
    <xf numFmtId="0" fontId="66" fillId="0" borderId="4" xfId="0" applyFont="1" applyFill="1" applyBorder="1" applyAlignment="1" applyProtection="1">
      <alignment horizontal="left" vertical="center" wrapText="1"/>
      <protection hidden="1"/>
    </xf>
    <xf numFmtId="0" fontId="66" fillId="0" borderId="4" xfId="0" applyNumberFormat="1" applyFont="1" applyFill="1" applyBorder="1" applyAlignment="1" applyProtection="1">
      <alignment horizontal="center" vertical="center"/>
      <protection hidden="1"/>
    </xf>
    <xf numFmtId="4" fontId="66" fillId="0" borderId="4" xfId="0" applyNumberFormat="1" applyFont="1" applyFill="1" applyBorder="1" applyAlignment="1" applyProtection="1">
      <alignment horizontal="center" vertical="center"/>
      <protection hidden="1"/>
    </xf>
    <xf numFmtId="0" fontId="66" fillId="0" borderId="4" xfId="0" applyFont="1" applyFill="1" applyBorder="1" applyAlignment="1" applyProtection="1">
      <alignment vertical="center" wrapText="1"/>
      <protection hidden="1"/>
    </xf>
    <xf numFmtId="0" fontId="66" fillId="0" borderId="4" xfId="0" applyFont="1" applyFill="1" applyBorder="1" applyAlignment="1" applyProtection="1">
      <alignment horizontal="center" vertical="center"/>
      <protection hidden="1"/>
    </xf>
    <xf numFmtId="172" fontId="66" fillId="0" borderId="4" xfId="0" applyNumberFormat="1" applyFont="1" applyFill="1" applyBorder="1" applyAlignment="1" applyProtection="1">
      <alignment horizontal="center" vertical="center" wrapText="1"/>
      <protection hidden="1"/>
    </xf>
    <xf numFmtId="4" fontId="66" fillId="0" borderId="4" xfId="0" applyNumberFormat="1" applyFont="1" applyFill="1" applyBorder="1" applyAlignment="1" applyProtection="1">
      <alignment horizontal="center" vertical="center" wrapText="1"/>
      <protection hidden="1"/>
    </xf>
    <xf numFmtId="0" fontId="27" fillId="0" borderId="8" xfId="0" applyFont="1" applyFill="1" applyBorder="1" applyAlignment="1" applyProtection="1">
      <alignment vertical="center" wrapText="1"/>
      <protection hidden="1"/>
    </xf>
    <xf numFmtId="0" fontId="27" fillId="0" borderId="12" xfId="0" applyFont="1" applyFill="1" applyBorder="1" applyAlignment="1" applyProtection="1">
      <alignment vertical="center" wrapText="1"/>
      <protection hidden="1"/>
    </xf>
    <xf numFmtId="0" fontId="27" fillId="0" borderId="7" xfId="0" applyFont="1" applyFill="1" applyBorder="1" applyAlignment="1" applyProtection="1">
      <alignment vertical="center" wrapText="1"/>
      <protection hidden="1"/>
    </xf>
    <xf numFmtId="0" fontId="27" fillId="0" borderId="8" xfId="0" applyFont="1" applyFill="1" applyBorder="1" applyAlignment="1" applyProtection="1">
      <alignment horizontal="center" vertical="center" wrapText="1"/>
      <protection hidden="1"/>
    </xf>
    <xf numFmtId="0" fontId="27" fillId="0" borderId="12"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protection hidden="1"/>
    </xf>
    <xf numFmtId="4" fontId="27" fillId="0" borderId="8" xfId="0" applyNumberFormat="1" applyFont="1" applyFill="1" applyBorder="1" applyAlignment="1" applyProtection="1">
      <alignment horizontal="center" vertical="center" wrapText="1"/>
      <protection hidden="1"/>
    </xf>
    <xf numFmtId="4" fontId="27" fillId="0" borderId="12" xfId="0" applyNumberFormat="1" applyFont="1" applyFill="1" applyBorder="1" applyAlignment="1" applyProtection="1">
      <alignment horizontal="center" vertical="center" wrapText="1"/>
      <protection hidden="1"/>
    </xf>
    <xf numFmtId="4" fontId="27" fillId="0" borderId="7"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70" fillId="0" borderId="4" xfId="0" applyFont="1" applyFill="1" applyBorder="1" applyAlignment="1" applyProtection="1">
      <alignment horizontal="center" vertical="center" wrapText="1"/>
      <protection hidden="1"/>
    </xf>
    <xf numFmtId="0" fontId="170" fillId="0" borderId="8" xfId="0" applyFont="1" applyFill="1" applyBorder="1" applyAlignment="1" applyProtection="1">
      <alignment horizontal="center"/>
      <protection hidden="1"/>
    </xf>
    <xf numFmtId="0" fontId="170" fillId="0" borderId="7" xfId="0" applyFont="1" applyFill="1" applyBorder="1" applyAlignment="1" applyProtection="1">
      <alignment horizontal="center"/>
      <protection hidden="1"/>
    </xf>
    <xf numFmtId="0" fontId="170" fillId="0" borderId="4" xfId="0" applyFont="1" applyFill="1" applyBorder="1" applyAlignment="1" applyProtection="1">
      <alignment horizontal="center" vertical="center"/>
      <protection hidden="1"/>
    </xf>
    <xf numFmtId="0" fontId="170" fillId="0" borderId="9" xfId="0" applyFont="1" applyFill="1" applyBorder="1" applyAlignment="1" applyProtection="1">
      <alignment horizontal="center" vertical="center" wrapText="1"/>
      <protection hidden="1"/>
    </xf>
    <xf numFmtId="0" fontId="170" fillId="0" borderId="13" xfId="0" applyFont="1" applyFill="1" applyBorder="1" applyAlignment="1" applyProtection="1">
      <alignment horizontal="center" vertical="center" wrapText="1"/>
      <protection hidden="1"/>
    </xf>
    <xf numFmtId="0" fontId="170" fillId="0" borderId="10" xfId="0" applyFont="1" applyFill="1" applyBorder="1" applyAlignment="1" applyProtection="1">
      <alignment horizontal="center" vertical="center" wrapText="1"/>
      <protection hidden="1"/>
    </xf>
    <xf numFmtId="0" fontId="170" fillId="0" borderId="3" xfId="0" applyFont="1" applyFill="1" applyBorder="1" applyAlignment="1" applyProtection="1">
      <alignment horizontal="center" vertical="center" wrapText="1"/>
      <protection hidden="1"/>
    </xf>
    <xf numFmtId="0" fontId="170" fillId="0" borderId="1" xfId="0" applyFont="1" applyFill="1" applyBorder="1" applyAlignment="1" applyProtection="1">
      <alignment horizontal="center" vertical="center" wrapText="1"/>
      <protection hidden="1"/>
    </xf>
    <xf numFmtId="0" fontId="170" fillId="0" borderId="2" xfId="0" applyFont="1" applyFill="1" applyBorder="1" applyAlignment="1" applyProtection="1">
      <alignment horizontal="center" vertical="center" wrapText="1"/>
      <protection hidden="1"/>
    </xf>
    <xf numFmtId="0" fontId="170" fillId="0" borderId="9" xfId="0" applyFont="1" applyFill="1" applyBorder="1" applyAlignment="1" applyProtection="1">
      <alignment horizontal="center" vertical="center"/>
      <protection hidden="1"/>
    </xf>
    <xf numFmtId="0" fontId="170" fillId="0" borderId="13" xfId="0" applyFont="1" applyFill="1" applyBorder="1" applyAlignment="1" applyProtection="1">
      <alignment horizontal="center" vertical="center"/>
      <protection hidden="1"/>
    </xf>
    <xf numFmtId="0" fontId="170" fillId="0" borderId="10" xfId="0" applyFont="1" applyFill="1" applyBorder="1" applyAlignment="1" applyProtection="1">
      <alignment horizontal="center" vertical="center"/>
      <protection hidden="1"/>
    </xf>
    <xf numFmtId="0" fontId="170" fillId="0" borderId="3" xfId="0" applyFont="1" applyFill="1" applyBorder="1" applyAlignment="1" applyProtection="1">
      <alignment horizontal="center" vertical="center"/>
      <protection hidden="1"/>
    </xf>
    <xf numFmtId="0" fontId="170" fillId="0" borderId="1" xfId="0" applyFont="1" applyFill="1" applyBorder="1" applyAlignment="1" applyProtection="1">
      <alignment horizontal="center" vertical="center"/>
      <protection hidden="1"/>
    </xf>
    <xf numFmtId="0" fontId="170" fillId="0" borderId="2" xfId="0" applyFont="1" applyFill="1" applyBorder="1" applyAlignment="1" applyProtection="1">
      <alignment horizontal="center" vertical="center"/>
      <protection hidden="1"/>
    </xf>
    <xf numFmtId="0" fontId="66" fillId="0" borderId="7" xfId="0" applyFont="1" applyFill="1" applyBorder="1" applyAlignment="1" applyProtection="1">
      <alignment horizontal="center" vertical="center"/>
      <protection hidden="1"/>
    </xf>
    <xf numFmtId="4" fontId="172" fillId="0" borderId="4" xfId="0" applyNumberFormat="1" applyFont="1" applyFill="1" applyBorder="1" applyAlignment="1" applyProtection="1">
      <alignment horizontal="center" vertical="center"/>
      <protection hidden="1"/>
    </xf>
    <xf numFmtId="174" fontId="172" fillId="0" borderId="4" xfId="0" applyNumberFormat="1" applyFont="1" applyFill="1" applyBorder="1" applyAlignment="1" applyProtection="1">
      <alignment horizontal="center" vertical="center"/>
      <protection hidden="1"/>
    </xf>
    <xf numFmtId="175" fontId="172" fillId="0" borderId="4" xfId="0" applyNumberFormat="1" applyFont="1" applyFill="1" applyBorder="1" applyAlignment="1" applyProtection="1">
      <alignment horizontal="center" vertical="center"/>
      <protection hidden="1"/>
    </xf>
    <xf numFmtId="0" fontId="172" fillId="0" borderId="4" xfId="0" applyFont="1" applyFill="1" applyBorder="1" applyAlignment="1" applyProtection="1">
      <alignment horizontal="left" vertical="center" wrapText="1"/>
      <protection hidden="1"/>
    </xf>
    <xf numFmtId="0" fontId="172" fillId="0" borderId="4" xfId="0" applyFont="1" applyFill="1" applyBorder="1" applyAlignment="1" applyProtection="1">
      <alignment horizontal="center" vertical="center" wrapText="1"/>
      <protection hidden="1"/>
    </xf>
    <xf numFmtId="0" fontId="172" fillId="0" borderId="4" xfId="0" applyFont="1" applyFill="1" applyBorder="1" applyAlignment="1" applyProtection="1">
      <alignment horizontal="center" vertical="center"/>
      <protection hidden="1"/>
    </xf>
    <xf numFmtId="0" fontId="172" fillId="0" borderId="29" xfId="0" applyFont="1" applyFill="1" applyBorder="1" applyAlignment="1" applyProtection="1">
      <alignment vertical="center" wrapText="1"/>
      <protection hidden="1"/>
    </xf>
    <xf numFmtId="0" fontId="172" fillId="0" borderId="0" xfId="0" applyFont="1" applyFill="1" applyBorder="1" applyAlignment="1" applyProtection="1">
      <alignment vertical="center" wrapText="1"/>
      <protection hidden="1"/>
    </xf>
    <xf numFmtId="0" fontId="172" fillId="0" borderId="6" xfId="0" applyFont="1" applyFill="1" applyBorder="1" applyAlignment="1" applyProtection="1">
      <alignment vertical="center" wrapText="1"/>
      <protection hidden="1"/>
    </xf>
    <xf numFmtId="0" fontId="27" fillId="0" borderId="8"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7"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wrapText="1"/>
      <protection hidden="1"/>
    </xf>
    <xf numFmtId="0" fontId="170" fillId="44" borderId="4" xfId="0" applyFont="1" applyFill="1" applyBorder="1" applyAlignment="1" applyProtection="1">
      <alignment horizontal="center" vertical="center" wrapText="1"/>
      <protection hidden="1"/>
    </xf>
    <xf numFmtId="0" fontId="172" fillId="0" borderId="4" xfId="0" applyFont="1" applyFill="1" applyBorder="1" applyAlignment="1" applyProtection="1">
      <alignment horizontal="left" vertical="center"/>
      <protection hidden="1"/>
    </xf>
    <xf numFmtId="0" fontId="172" fillId="0" borderId="4" xfId="0" applyFont="1" applyFill="1" applyBorder="1" applyAlignment="1" applyProtection="1">
      <alignment vertical="center" wrapText="1"/>
      <protection hidden="1"/>
    </xf>
    <xf numFmtId="0" fontId="172" fillId="0" borderId="4" xfId="0" applyFont="1" applyFill="1" applyBorder="1" applyAlignment="1" applyProtection="1">
      <alignment horizontal="left" vertical="center" wrapText="1" indent="1"/>
      <protection hidden="1"/>
    </xf>
    <xf numFmtId="0" fontId="170" fillId="44" borderId="8" xfId="0" applyFont="1" applyFill="1" applyBorder="1" applyAlignment="1" applyProtection="1">
      <alignment horizontal="center" vertical="center" wrapText="1"/>
      <protection hidden="1"/>
    </xf>
    <xf numFmtId="0" fontId="170" fillId="44" borderId="12" xfId="0" applyFont="1" applyFill="1" applyBorder="1" applyAlignment="1" applyProtection="1">
      <alignment horizontal="center" vertical="center" wrapText="1"/>
      <protection hidden="1"/>
    </xf>
    <xf numFmtId="0" fontId="170" fillId="44" borderId="7" xfId="0" applyFont="1" applyFill="1" applyBorder="1" applyAlignment="1" applyProtection="1">
      <alignment horizontal="center" vertical="center" wrapText="1"/>
      <protection hidden="1"/>
    </xf>
    <xf numFmtId="0" fontId="66" fillId="0" borderId="4" xfId="0" applyNumberFormat="1" applyFont="1" applyFill="1" applyBorder="1" applyAlignment="1" applyProtection="1">
      <alignment horizontal="center" vertical="center" wrapText="1"/>
      <protection hidden="1"/>
    </xf>
    <xf numFmtId="0" fontId="66" fillId="0" borderId="4" xfId="0" applyFont="1" applyFill="1" applyBorder="1" applyAlignment="1" applyProtection="1">
      <alignment horizontal="center" vertical="center" wrapText="1"/>
      <protection hidden="1"/>
    </xf>
    <xf numFmtId="0" fontId="172" fillId="0" borderId="8" xfId="0" applyNumberFormat="1" applyFont="1" applyFill="1" applyBorder="1" applyAlignment="1" applyProtection="1">
      <alignment horizontal="center" vertical="center"/>
      <protection hidden="1"/>
    </xf>
    <xf numFmtId="0" fontId="172" fillId="0" borderId="12" xfId="0" applyNumberFormat="1" applyFont="1" applyFill="1" applyBorder="1" applyAlignment="1" applyProtection="1">
      <alignment horizontal="center" vertical="center"/>
      <protection hidden="1"/>
    </xf>
    <xf numFmtId="0" fontId="172" fillId="0" borderId="7" xfId="0" applyNumberFormat="1" applyFont="1" applyFill="1" applyBorder="1" applyAlignment="1" applyProtection="1">
      <alignment horizontal="center" vertical="center"/>
      <protection hidden="1"/>
    </xf>
    <xf numFmtId="0" fontId="172" fillId="0" borderId="8" xfId="0" applyNumberFormat="1" applyFont="1" applyFill="1" applyBorder="1" applyAlignment="1" applyProtection="1">
      <alignment horizontal="center" vertical="center" wrapText="1"/>
      <protection hidden="1"/>
    </xf>
    <xf numFmtId="0" fontId="172" fillId="0" borderId="12" xfId="0" applyNumberFormat="1" applyFont="1" applyFill="1" applyBorder="1" applyAlignment="1" applyProtection="1">
      <alignment horizontal="center" vertical="center" wrapText="1"/>
      <protection hidden="1"/>
    </xf>
    <xf numFmtId="0" fontId="172" fillId="0" borderId="7" xfId="0" applyNumberFormat="1" applyFont="1" applyFill="1" applyBorder="1" applyAlignment="1" applyProtection="1">
      <alignment horizontal="center" vertical="center" wrapText="1"/>
      <protection hidden="1"/>
    </xf>
    <xf numFmtId="0" fontId="172" fillId="0" borderId="9" xfId="0" applyFont="1" applyFill="1" applyBorder="1" applyAlignment="1" applyProtection="1">
      <alignment horizontal="left" vertical="center" wrapText="1"/>
      <protection hidden="1"/>
    </xf>
    <xf numFmtId="0" fontId="172" fillId="0" borderId="10" xfId="0" applyFont="1" applyFill="1" applyBorder="1" applyAlignment="1" applyProtection="1">
      <alignment horizontal="left" vertical="center" wrapText="1"/>
      <protection hidden="1"/>
    </xf>
    <xf numFmtId="0" fontId="172" fillId="0" borderId="29" xfId="0" applyFont="1" applyFill="1" applyBorder="1" applyAlignment="1" applyProtection="1">
      <alignment horizontal="left" vertical="center" wrapText="1"/>
      <protection hidden="1"/>
    </xf>
    <xf numFmtId="0" fontId="172" fillId="0" borderId="6" xfId="0" applyFont="1" applyFill="1" applyBorder="1" applyAlignment="1" applyProtection="1">
      <alignment horizontal="left" vertical="center" wrapText="1"/>
      <protection hidden="1"/>
    </xf>
    <xf numFmtId="0" fontId="172" fillId="0" borderId="8" xfId="0" applyFont="1" applyFill="1" applyBorder="1" applyAlignment="1" applyProtection="1">
      <alignment horizontal="left" vertical="center"/>
      <protection hidden="1"/>
    </xf>
    <xf numFmtId="0" fontId="172" fillId="0" borderId="12" xfId="0" applyFont="1" applyFill="1" applyBorder="1" applyAlignment="1" applyProtection="1">
      <alignment horizontal="left" vertical="center"/>
      <protection hidden="1"/>
    </xf>
    <xf numFmtId="0" fontId="172" fillId="0" borderId="7" xfId="0" applyFont="1" applyFill="1" applyBorder="1" applyAlignment="1" applyProtection="1">
      <alignment horizontal="left" vertical="center"/>
      <protection hidden="1"/>
    </xf>
    <xf numFmtId="0" fontId="172" fillId="0" borderId="4" xfId="0" applyNumberFormat="1" applyFont="1" applyFill="1" applyBorder="1" applyAlignment="1" applyProtection="1">
      <alignment horizontal="center" vertical="center"/>
      <protection hidden="1"/>
    </xf>
    <xf numFmtId="0" fontId="172" fillId="0" borderId="8" xfId="0" applyFont="1" applyFill="1" applyBorder="1" applyAlignment="1" applyProtection="1">
      <alignment horizontal="left" vertical="center" wrapText="1"/>
      <protection hidden="1"/>
    </xf>
    <xf numFmtId="0" fontId="172" fillId="0" borderId="12" xfId="0" applyFont="1" applyFill="1" applyBorder="1" applyAlignment="1" applyProtection="1">
      <alignment horizontal="left" vertical="center" wrapText="1"/>
      <protection hidden="1"/>
    </xf>
    <xf numFmtId="0" fontId="172" fillId="0" borderId="7" xfId="0" applyFont="1" applyFill="1" applyBorder="1" applyAlignment="1" applyProtection="1">
      <alignment horizontal="left" vertical="center" wrapText="1"/>
      <protection hidden="1"/>
    </xf>
    <xf numFmtId="0" fontId="172" fillId="0" borderId="3" xfId="0" applyFont="1" applyFill="1" applyBorder="1" applyAlignment="1" applyProtection="1">
      <alignment horizontal="left" vertical="center" wrapText="1"/>
      <protection hidden="1"/>
    </xf>
    <xf numFmtId="0" fontId="172" fillId="0" borderId="2" xfId="0" applyFont="1" applyFill="1" applyBorder="1" applyAlignment="1" applyProtection="1">
      <alignment horizontal="left" vertical="center" wrapText="1"/>
      <protection hidden="1"/>
    </xf>
    <xf numFmtId="0" fontId="66" fillId="0" borderId="8" xfId="0" applyNumberFormat="1" applyFont="1" applyFill="1" applyBorder="1" applyAlignment="1" applyProtection="1">
      <alignment horizontal="center" vertical="center" wrapText="1"/>
      <protection hidden="1"/>
    </xf>
    <xf numFmtId="0" fontId="66" fillId="0" borderId="12" xfId="0" applyNumberFormat="1" applyFont="1" applyFill="1" applyBorder="1" applyAlignment="1" applyProtection="1">
      <alignment horizontal="center" vertical="center" wrapText="1"/>
      <protection hidden="1"/>
    </xf>
    <xf numFmtId="0" fontId="66" fillId="0" borderId="7" xfId="0" applyNumberFormat="1" applyFont="1" applyFill="1" applyBorder="1" applyAlignment="1" applyProtection="1">
      <alignment horizontal="center" vertical="center" wrapText="1"/>
      <protection hidden="1"/>
    </xf>
    <xf numFmtId="0" fontId="66" fillId="0" borderId="4" xfId="0" applyFont="1" applyFill="1" applyBorder="1" applyAlignment="1" applyProtection="1">
      <alignment horizontal="left" vertical="center"/>
      <protection hidden="1"/>
    </xf>
    <xf numFmtId="0" fontId="172" fillId="0" borderId="4" xfId="0" applyFont="1" applyFill="1" applyBorder="1" applyAlignment="1" applyProtection="1">
      <alignment horizontal="left" vertical="center" indent="1"/>
      <protection hidden="1"/>
    </xf>
    <xf numFmtId="0" fontId="66" fillId="0" borderId="8" xfId="0" applyNumberFormat="1" applyFont="1" applyFill="1" applyBorder="1" applyAlignment="1" applyProtection="1">
      <alignment horizontal="center" vertical="center"/>
      <protection hidden="1"/>
    </xf>
    <xf numFmtId="0" fontId="66" fillId="0" borderId="12" xfId="0" applyNumberFormat="1" applyFont="1" applyFill="1" applyBorder="1" applyAlignment="1" applyProtection="1">
      <alignment horizontal="center" vertical="center"/>
      <protection hidden="1"/>
    </xf>
    <xf numFmtId="0" fontId="66" fillId="0" borderId="7" xfId="0" applyNumberFormat="1" applyFont="1" applyFill="1" applyBorder="1" applyAlignment="1" applyProtection="1">
      <alignment horizontal="center" vertical="center"/>
      <protection hidden="1"/>
    </xf>
    <xf numFmtId="0" fontId="66" fillId="0" borderId="4" xfId="0" applyFont="1" applyFill="1" applyBorder="1" applyAlignment="1" applyProtection="1">
      <alignment horizontal="left" vertical="center" wrapText="1" indent="1"/>
      <protection hidden="1"/>
    </xf>
    <xf numFmtId="0" fontId="170" fillId="44" borderId="0" xfId="0" applyFont="1" applyFill="1" applyBorder="1" applyAlignment="1" applyProtection="1">
      <alignment horizontal="center" vertical="center" wrapText="1"/>
      <protection hidden="1"/>
    </xf>
    <xf numFmtId="0" fontId="66" fillId="44" borderId="0" xfId="0" applyFont="1" applyFill="1" applyBorder="1" applyAlignment="1" applyProtection="1">
      <alignment horizontal="right" vertical="center" wrapText="1"/>
      <protection hidden="1"/>
    </xf>
    <xf numFmtId="0" fontId="171" fillId="44" borderId="1" xfId="0"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35" fillId="0" borderId="8" xfId="0" applyFont="1" applyFill="1" applyBorder="1" applyAlignment="1" applyProtection="1">
      <alignment horizontal="left" vertical="center" wrapText="1"/>
      <protection locked="0" hidden="1"/>
    </xf>
    <xf numFmtId="0" fontId="35" fillId="0" borderId="12" xfId="0" applyFont="1" applyFill="1" applyBorder="1" applyAlignment="1" applyProtection="1">
      <alignment horizontal="left" vertical="center" wrapText="1"/>
      <protection locked="0" hidden="1"/>
    </xf>
    <xf numFmtId="0" fontId="35" fillId="0" borderId="7" xfId="0" applyFont="1" applyFill="1" applyBorder="1" applyAlignment="1" applyProtection="1">
      <alignment horizontal="left" vertical="center" wrapText="1"/>
      <protection locked="0" hidden="1"/>
    </xf>
    <xf numFmtId="0" fontId="105" fillId="0" borderId="0" xfId="0" applyFont="1" applyBorder="1" applyAlignment="1" applyProtection="1">
      <alignment horizontal="center" vertical="center"/>
      <protection hidden="1"/>
    </xf>
    <xf numFmtId="0" fontId="104" fillId="5" borderId="12" xfId="0" applyFont="1" applyFill="1" applyBorder="1" applyAlignment="1" applyProtection="1">
      <alignment horizontal="left" vertical="center" wrapText="1" indent="1"/>
      <protection hidden="1"/>
    </xf>
    <xf numFmtId="0" fontId="104"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5"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0"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1" fillId="11" borderId="8" xfId="0" applyFont="1" applyFill="1" applyBorder="1" applyAlignment="1" applyProtection="1">
      <alignment horizontal="center" vertical="center" wrapText="1"/>
      <protection hidden="1"/>
    </xf>
    <xf numFmtId="0" fontId="101" fillId="11" borderId="12" xfId="0" applyFont="1" applyFill="1" applyBorder="1" applyAlignment="1" applyProtection="1">
      <alignment horizontal="center" vertical="center" wrapText="1"/>
      <protection hidden="1"/>
    </xf>
    <xf numFmtId="0" fontId="101"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4" fillId="31" borderId="0" xfId="0" applyFont="1" applyFill="1" applyAlignment="1" applyProtection="1">
      <alignment horizontal="left" wrapText="1"/>
      <protection hidden="1"/>
    </xf>
    <xf numFmtId="0" fontId="0" fillId="6" borderId="4" xfId="0" applyFill="1" applyBorder="1" applyAlignment="1">
      <alignment horizontal="center"/>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0" fontId="33" fillId="27" borderId="0" xfId="0" applyFont="1" applyFill="1" applyBorder="1" applyAlignment="1" applyProtection="1">
      <alignment horizontal="left" vertical="center" wrapText="1"/>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0" borderId="66" xfId="0" applyFont="1" applyBorder="1" applyAlignment="1" applyProtection="1">
      <alignment horizontal="center" vertical="center"/>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49" fontId="48" fillId="5" borderId="18" xfId="0" applyNumberFormat="1" applyFont="1" applyFill="1" applyBorder="1" applyAlignment="1" applyProtection="1">
      <alignment horizontal="center" vertical="center" wrapText="1"/>
      <protection hidden="1"/>
    </xf>
    <xf numFmtId="49" fontId="48" fillId="5" borderId="19" xfId="0" applyNumberFormat="1" applyFont="1" applyFill="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34" fillId="6" borderId="0" xfId="0" applyFont="1" applyFill="1" applyAlignment="1" applyProtection="1">
      <alignment horizontal="left" vertical="center"/>
      <protection hidden="1"/>
    </xf>
    <xf numFmtId="0" fontId="48" fillId="0" borderId="62" xfId="0" applyFont="1" applyBorder="1" applyAlignment="1" applyProtection="1">
      <alignment horizontal="center" vertical="center"/>
      <protection hidden="1"/>
    </xf>
    <xf numFmtId="0" fontId="48" fillId="0" borderId="73"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8" fillId="0" borderId="7"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33" fillId="26" borderId="0" xfId="0" applyFont="1" applyFill="1" applyBorder="1" applyAlignment="1" applyProtection="1">
      <alignment horizontal="left" vertical="top"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3" fillId="0" borderId="4" xfId="0" applyNumberFormat="1" applyFont="1" applyBorder="1" applyAlignment="1" applyProtection="1">
      <alignment horizontal="right" vertical="center" wrapText="1" indent="11"/>
      <protection hidden="1"/>
    </xf>
    <xf numFmtId="2" fontId="43" fillId="0" borderId="4" xfId="0" applyNumberFormat="1" applyFont="1" applyBorder="1" applyAlignment="1" applyProtection="1">
      <alignment horizontal="right" vertical="center" wrapText="1" indent="15"/>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8" fillId="0" borderId="4" xfId="0" applyNumberFormat="1" applyFont="1" applyBorder="1" applyAlignment="1" applyProtection="1">
      <alignment horizontal="right" vertical="center" wrapText="1" indent="15"/>
      <protection hidden="1"/>
    </xf>
    <xf numFmtId="2" fontId="43" fillId="28"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2"/>
      <protection hidden="1"/>
    </xf>
    <xf numFmtId="2" fontId="43" fillId="6"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3"/>
      <protection hidden="1"/>
    </xf>
    <xf numFmtId="2" fontId="26" fillId="0" borderId="4" xfId="0" applyNumberFormat="1" applyFont="1" applyBorder="1" applyAlignment="1" applyProtection="1">
      <alignment horizontal="right" vertical="center" wrapText="1" indent="7"/>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8" fillId="0" borderId="8" xfId="0" applyFont="1" applyBorder="1" applyAlignment="1" applyProtection="1">
      <alignment horizontal="center"/>
      <protection hidden="1"/>
    </xf>
    <xf numFmtId="0" fontId="28" fillId="0" borderId="12" xfId="0" applyFont="1" applyBorder="1" applyAlignment="1" applyProtection="1">
      <alignment horizontal="center"/>
      <protection hidden="1"/>
    </xf>
    <xf numFmtId="0" fontId="28" fillId="0" borderId="7" xfId="0" applyFont="1" applyBorder="1" applyAlignment="1" applyProtection="1">
      <alignment horizontal="center"/>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66" fillId="0" borderId="4" xfId="0" applyFont="1" applyBorder="1" applyAlignment="1">
      <alignment horizontal="center" vertical="top" wrapText="1"/>
    </xf>
    <xf numFmtId="0" fontId="66" fillId="0" borderId="4" xfId="0" applyFont="1" applyBorder="1" applyAlignment="1">
      <alignment horizontal="center" vertical="top"/>
    </xf>
    <xf numFmtId="0" fontId="66" fillId="0" borderId="4" xfId="0" applyFont="1" applyBorder="1" applyAlignment="1">
      <alignment vertical="top" wrapText="1"/>
    </xf>
    <xf numFmtId="0" fontId="14" fillId="0" borderId="1" xfId="0" applyFont="1" applyBorder="1" applyAlignment="1">
      <alignment horizontal="left" vertical="center"/>
    </xf>
    <xf numFmtId="0" fontId="26" fillId="0" borderId="8"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7" xfId="0" applyNumberFormat="1" applyFont="1" applyBorder="1" applyAlignment="1">
      <alignment horizontal="left" vertical="center" wrapText="1"/>
    </xf>
    <xf numFmtId="0" fontId="26" fillId="0" borderId="8"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center" vertical="center"/>
    </xf>
    <xf numFmtId="0" fontId="28" fillId="0" borderId="12" xfId="0" applyFont="1" applyBorder="1" applyAlignment="1">
      <alignment horizontal="center" vertical="center"/>
    </xf>
    <xf numFmtId="0" fontId="28" fillId="0" borderId="7" xfId="0" applyFont="1" applyBorder="1" applyAlignment="1">
      <alignment horizontal="center" vertical="center"/>
    </xf>
    <xf numFmtId="49" fontId="28" fillId="0" borderId="8"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7" xfId="0" applyNumberFormat="1" applyFont="1" applyBorder="1" applyAlignment="1">
      <alignment horizontal="left" vertical="center" wrapText="1"/>
    </xf>
    <xf numFmtId="0" fontId="28" fillId="0" borderId="9" xfId="0" applyFont="1" applyBorder="1" applyAlignment="1">
      <alignment horizontal="left" vertical="center" wrapText="1"/>
    </xf>
    <xf numFmtId="0" fontId="28" fillId="0" borderId="13" xfId="0" applyFont="1" applyBorder="1" applyAlignment="1">
      <alignment horizontal="left" vertical="center" wrapText="1"/>
    </xf>
    <xf numFmtId="0" fontId="28" fillId="0" borderId="10" xfId="0" applyFont="1" applyBorder="1" applyAlignment="1">
      <alignment horizontal="left" vertical="center" wrapText="1"/>
    </xf>
    <xf numFmtId="0" fontId="28" fillId="0" borderId="9" xfId="0" applyFont="1" applyBorder="1" applyAlignment="1">
      <alignment horizontal="left" vertical="center"/>
    </xf>
    <xf numFmtId="0" fontId="28" fillId="0" borderId="13" xfId="0" applyFont="1" applyBorder="1" applyAlignment="1">
      <alignment horizontal="left" vertical="center"/>
    </xf>
    <xf numFmtId="0" fontId="28" fillId="0" borderId="10" xfId="0" applyFont="1" applyBorder="1" applyAlignment="1">
      <alignment horizontal="left" vertical="center"/>
    </xf>
    <xf numFmtId="0" fontId="26" fillId="0" borderId="3" xfId="0" applyFont="1" applyBorder="1" applyAlignment="1">
      <alignment horizontal="lef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26" fillId="0" borderId="13" xfId="0" applyFont="1" applyBorder="1" applyAlignment="1">
      <alignment horizontal="left" vertical="center" wrapText="1"/>
    </xf>
    <xf numFmtId="0" fontId="26" fillId="0" borderId="10" xfId="0" applyFont="1" applyBorder="1" applyAlignment="1">
      <alignment horizontal="left" vertical="center" wrapText="1"/>
    </xf>
    <xf numFmtId="49" fontId="26" fillId="0" borderId="8"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center"/>
    </xf>
  </cellXfs>
  <cellStyles count="12">
    <cellStyle name="Normal 2" xfId="3"/>
    <cellStyle name="Гиперссылка" xfId="10" builtinId="8"/>
    <cellStyle name="Обычный" xfId="0" builtinId="0"/>
    <cellStyle name="Обычный 2" xfId="2"/>
    <cellStyle name="Обычный 2 2" xfId="6"/>
    <cellStyle name="Обычный 3" xfId="5"/>
    <cellStyle name="Обычный 4" xfId="11"/>
    <cellStyle name="Обычный 5" xfId="4"/>
    <cellStyle name="Процентный" xfId="1" builtinId="5"/>
    <cellStyle name="Процентный 2" xfId="7"/>
    <cellStyle name="Финансовый" xfId="8" builtinId="3"/>
    <cellStyle name="Финансовый 2" xfId="9"/>
  </cellStyles>
  <dxfs count="223">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ill>
        <patternFill>
          <bgColor rgb="FF92D050"/>
        </patternFill>
      </fill>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strike val="0"/>
        <color rgb="FFFF0000"/>
      </font>
      <border>
        <right/>
      </border>
    </dxf>
    <dxf>
      <font>
        <strike/>
        <color theme="0" tint="-4.9989318521683403E-2"/>
      </font>
    </dxf>
    <dxf>
      <font>
        <color theme="0" tint="-4.9989318521683403E-2"/>
      </font>
    </dxf>
    <dxf>
      <font>
        <color rgb="FFD0EBB3"/>
      </font>
    </dxf>
    <dxf>
      <font>
        <b/>
        <i val="0"/>
        <color auto="1"/>
      </font>
      <fill>
        <patternFill patternType="solid">
          <fgColor rgb="FFFF9933"/>
          <bgColor rgb="FFFF993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D9D9D9"/>
        </patternFill>
      </fill>
    </dxf>
    <dxf>
      <font>
        <b/>
        <i val="0"/>
        <color rgb="FFFF0000"/>
      </font>
      <fill>
        <patternFill>
          <bgColor rgb="FFD9D9D9"/>
        </patternFill>
      </fill>
    </dxf>
    <dxf>
      <font>
        <color rgb="FFFF0000"/>
      </font>
    </dxf>
    <dxf>
      <font>
        <color auto="1"/>
      </font>
      <fill>
        <patternFill>
          <bgColor rgb="FFCCFF9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C0F094"/>
      </font>
    </dxf>
    <dxf>
      <fill>
        <patternFill patternType="solid">
          <bgColor theme="0"/>
        </patternFill>
      </fill>
    </dxf>
    <dxf>
      <font>
        <color rgb="FFEAEAEA"/>
      </font>
      <fill>
        <patternFill>
          <bgColor rgb="FFEAEAEA"/>
        </patternFill>
      </fill>
    </dxf>
    <dxf>
      <font>
        <color rgb="FFEAEAEA"/>
      </font>
      <fill>
        <patternFill>
          <bgColor rgb="FFEAEAEA"/>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D2E6F0"/>
        </patternFill>
      </fill>
    </dxf>
    <dxf>
      <fill>
        <patternFill>
          <bgColor rgb="FFFF0000"/>
        </patternFill>
      </fill>
    </dxf>
    <dxf>
      <font>
        <b/>
        <i val="0"/>
      </font>
      <numFmt numFmtId="15" formatCode="0.00E+00"/>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ill>
        <patternFill>
          <bgColor rgb="FFD9D9D9"/>
        </patternFill>
      </fill>
    </dxf>
    <dxf>
      <fill>
        <patternFill>
          <bgColor rgb="FFCCFF99"/>
        </patternFill>
      </fill>
    </dxf>
    <dxf>
      <font>
        <b val="0"/>
        <i/>
        <color theme="9" tint="-0.24994659260841701"/>
      </font>
    </dxf>
    <dxf>
      <fill>
        <patternFill>
          <bgColor rgb="FFD9D9D9"/>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
      <font>
        <u val="none"/>
        <color theme="0" tint="-0.34998626667073579"/>
      </font>
      <fill>
        <patternFill patternType="solid">
          <fgColor theme="0"/>
          <bgColor theme="0" tint="-0.14996795556505021"/>
        </patternFill>
      </fill>
      <border>
        <left style="thin">
          <color auto="1"/>
        </left>
        <right style="thin">
          <color auto="1"/>
        </right>
        <top style="thin">
          <color auto="1"/>
        </top>
        <bottom style="thin">
          <color auto="1"/>
        </bottom>
      </border>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val="0"/>
        <i val="0"/>
      </font>
      <border>
        <left style="thin">
          <color auto="1"/>
        </left>
        <right style="thin">
          <color auto="1"/>
        </right>
        <top style="thin">
          <color auto="1"/>
        </top>
        <bottom style="thin">
          <color auto="1"/>
        </bottom>
      </border>
    </dxf>
    <dxf>
      <fill>
        <patternFill>
          <bgColor theme="0" tint="-0.14996795556505021"/>
        </patternFill>
      </fill>
    </dxf>
    <dxf>
      <font>
        <color theme="0"/>
      </font>
    </dxf>
    <dxf>
      <font>
        <color theme="0"/>
      </font>
    </dxf>
    <dxf>
      <fill>
        <patternFill>
          <bgColor theme="0" tint="-0.14996795556505021"/>
        </patternFill>
      </fill>
    </dxf>
    <dxf>
      <fill>
        <patternFill>
          <bgColor rgb="FFFF0000"/>
        </patternFill>
      </fill>
    </dxf>
    <dxf>
      <fill>
        <patternFill>
          <bgColor rgb="FFFF0000"/>
        </patternFill>
      </fill>
    </dxf>
  </dxfs>
  <tableStyles count="0" defaultTableStyle="TableStyleMedium2" defaultPivotStyle="PivotStyleLight16"/>
  <colors>
    <mruColors>
      <color rgb="FFD0EBB3"/>
      <color rgb="FFCCFF99"/>
      <color rgb="FF5F5F5F"/>
      <color rgb="FFD9D9D9"/>
      <color rgb="FF006400"/>
      <color rgb="FFEAEAEA"/>
      <color rgb="FFD2E6F0"/>
      <color rgb="FFFFFFFF"/>
      <color rgb="FFC9C9C9"/>
      <color rgb="FFD2D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b="0">
                <a:solidFill>
                  <a:schemeClr val="tx1"/>
                </a:solidFill>
              </a:rPr>
              <a:t>Теплоэнергия</a:t>
            </a:r>
            <a:r>
              <a:rPr lang="ru-RU" sz="2000" b="0" baseline="0">
                <a:solidFill>
                  <a:schemeClr val="tx1"/>
                </a:solidFill>
              </a:rPr>
              <a:t> на нужды отопления и вентиляции</a:t>
            </a:r>
            <a:endParaRPr lang="ru-RU" sz="2000" b="0">
              <a:solidFill>
                <a:schemeClr val="tx1"/>
              </a:solidFill>
            </a:endParaRPr>
          </a:p>
        </c:rich>
      </c:tx>
      <c:layout>
        <c:manualLayout>
          <c:xMode val="edge"/>
          <c:yMode val="edge"/>
          <c:x val="0.27430762587580337"/>
          <c:y val="3.1521231078991876E-3"/>
        </c:manualLayout>
      </c:layout>
      <c:overlay val="0"/>
      <c:spPr>
        <a:solidFill>
          <a:schemeClr val="bg1"/>
        </a:solidFill>
        <a:ln>
          <a:noFill/>
        </a:ln>
        <a:effectLst/>
      </c:spPr>
    </c:title>
    <c:autoTitleDeleted val="0"/>
    <c:plotArea>
      <c:layout>
        <c:manualLayout>
          <c:layoutTarget val="inner"/>
          <c:xMode val="edge"/>
          <c:yMode val="edge"/>
          <c:x val="3.5539651468844885E-2"/>
          <c:y val="4.8689572424895695E-2"/>
          <c:w val="0.82435912306049663"/>
          <c:h val="0.78891422467396854"/>
        </c:manualLayout>
      </c:layout>
      <c:barChart>
        <c:barDir val="col"/>
        <c:grouping val="clustered"/>
        <c:varyColors val="0"/>
        <c:ser>
          <c:idx val="0"/>
          <c:order val="0"/>
          <c:tx>
            <c:v>Аналогичные МКД</c:v>
          </c:tx>
          <c:spPr>
            <a:pattFill prst="ltHorz">
              <a:fgClr>
                <a:srgbClr val="FFE8D1"/>
              </a:fgClr>
              <a:bgClr>
                <a:srgbClr val="FFCC99"/>
              </a:bgClr>
            </a:pattFill>
            <a:ln w="19050">
              <a:gradFill>
                <a:gsLst>
                  <a:gs pos="70000">
                    <a:schemeClr val="accent1">
                      <a:lumMod val="5000"/>
                      <a:lumOff val="95000"/>
                    </a:schemeClr>
                  </a:gs>
                  <a:gs pos="90000">
                    <a:srgbClr val="FFCC99"/>
                  </a:gs>
                  <a:gs pos="100000">
                    <a:schemeClr val="bg1">
                      <a:lumMod val="85000"/>
                    </a:schemeClr>
                  </a:gs>
                  <a:gs pos="99000">
                    <a:srgbClr val="FFCC99"/>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'кривые-экспресс'!$B$5:$B$104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ap="sq" cmpd="sng">
              <a:solidFill>
                <a:srgbClr val="00B0F0"/>
              </a:soli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'кривые-экспресс'!$U$5:$U$104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4514496"/>
        <c:axId val="844515056"/>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'кривые-экспресс'!$N$5:$N$104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'кривые-экспресс'!$Q$5:$Q$104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4514496"/>
        <c:axId val="844515056"/>
      </c:lineChart>
      <c:catAx>
        <c:axId val="8445144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501238709831535"/>
              <c:y val="0.84450652572537932"/>
            </c:manualLayout>
          </c:layout>
          <c:overlay val="0"/>
          <c:spPr>
            <a:noFill/>
            <a:ln w="25400">
              <a:noFill/>
            </a:ln>
          </c:spPr>
        </c:title>
        <c:numFmt formatCode="0%" sourceLinked="1"/>
        <c:majorTickMark val="none"/>
        <c:minorTickMark val="none"/>
        <c:tickLblPos val="low"/>
        <c:spPr>
          <a:ln w="6350">
            <a:noFill/>
          </a:ln>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4515056"/>
        <c:crosses val="autoZero"/>
        <c:auto val="1"/>
        <c:lblAlgn val="ctr"/>
        <c:lblOffset val="500"/>
        <c:tickLblSkip val="5"/>
        <c:noMultiLvlLbl val="0"/>
      </c:catAx>
      <c:valAx>
        <c:axId val="844515056"/>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r>
                  <a:rPr lang="ru-RU" i="1">
                    <a:solidFill>
                      <a:schemeClr val="tx1"/>
                    </a:solidFill>
                  </a:rPr>
                  <a:t>/˚</a:t>
                </a:r>
                <a:r>
                  <a:rPr lang="en-US" i="1">
                    <a:solidFill>
                      <a:schemeClr val="tx1"/>
                    </a:solidFill>
                  </a:rPr>
                  <a:t>C-</a:t>
                </a:r>
                <a:r>
                  <a:rPr lang="ru-RU" i="1">
                    <a:solidFill>
                      <a:schemeClr val="tx1"/>
                    </a:solidFill>
                  </a:rPr>
                  <a:t>сут</a:t>
                </a:r>
              </a:p>
              <a:p>
                <a:pPr>
                  <a:defRPr sz="1000" b="0" i="1" u="none" strike="noStrike" kern="1200" baseline="0">
                    <a:solidFill>
                      <a:schemeClr val="tx1"/>
                    </a:solidFill>
                    <a:latin typeface="+mn-lt"/>
                    <a:ea typeface="+mn-ea"/>
                    <a:cs typeface="+mn-cs"/>
                  </a:defRPr>
                </a:pPr>
                <a:endParaRPr lang="ru-RU" i="1">
                  <a:solidFill>
                    <a:schemeClr val="tx1"/>
                  </a:solidFill>
                </a:endParaRPr>
              </a:p>
            </c:rich>
          </c:tx>
          <c:layout>
            <c:manualLayout>
              <c:xMode val="edge"/>
              <c:yMode val="edge"/>
              <c:x val="3.3340377562736452E-2"/>
              <c:y val="3.2203645777154663E-2"/>
            </c:manualLayout>
          </c:layout>
          <c:overlay val="0"/>
          <c:spPr>
            <a:solidFill>
              <a:schemeClr val="bg1"/>
            </a:solidFill>
            <a:ln>
              <a:noFill/>
            </a:ln>
            <a:effectLst/>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4514496"/>
        <c:crosses val="autoZero"/>
        <c:crossBetween val="between"/>
      </c:valAx>
      <c:spPr>
        <a:noFill/>
        <a:ln w="25400">
          <a:noFill/>
        </a:ln>
      </c:spPr>
    </c:plotArea>
    <c:legend>
      <c:legendPos val="b"/>
      <c:layout>
        <c:manualLayout>
          <c:xMode val="edge"/>
          <c:yMode val="edge"/>
          <c:x val="0.86222768780134451"/>
          <c:y val="0.22316039262215509"/>
          <c:w val="0.1363317871846762"/>
          <c:h val="0.59712688311221285"/>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b="0">
                <a:solidFill>
                  <a:schemeClr val="tx1"/>
                </a:solidFill>
              </a:rPr>
              <a:t>Теплоэнергия</a:t>
            </a:r>
            <a:r>
              <a:rPr lang="ru-RU" sz="2000" b="0" baseline="0">
                <a:solidFill>
                  <a:schemeClr val="tx1"/>
                </a:solidFill>
              </a:rPr>
              <a:t> на нужды отопления и вентиляции</a:t>
            </a:r>
            <a:endParaRPr lang="ru-RU" sz="2000" b="0">
              <a:solidFill>
                <a:schemeClr val="tx1"/>
              </a:solidFill>
            </a:endParaRPr>
          </a:p>
        </c:rich>
      </c:tx>
      <c:layout>
        <c:manualLayout>
          <c:xMode val="edge"/>
          <c:yMode val="edge"/>
          <c:x val="0.27430762888618726"/>
          <c:y val="3.1519632637332382E-3"/>
        </c:manualLayout>
      </c:layout>
      <c:overlay val="0"/>
      <c:spPr>
        <a:solidFill>
          <a:schemeClr val="bg1"/>
        </a:solidFill>
        <a:ln>
          <a:noFill/>
        </a:ln>
        <a:effectLst/>
      </c:spPr>
    </c:title>
    <c:autoTitleDeleted val="0"/>
    <c:plotArea>
      <c:layout>
        <c:manualLayout>
          <c:layoutTarget val="inner"/>
          <c:xMode val="edge"/>
          <c:yMode val="edge"/>
          <c:x val="3.5539651468844885E-2"/>
          <c:y val="4.8689572424895695E-2"/>
          <c:w val="0.82435912306049663"/>
          <c:h val="0.78891422467396854"/>
        </c:manualLayout>
      </c:layout>
      <c:barChart>
        <c:barDir val="col"/>
        <c:grouping val="clustered"/>
        <c:varyColors val="0"/>
        <c:ser>
          <c:idx val="0"/>
          <c:order val="0"/>
          <c:tx>
            <c:v>Аналогичные МКД</c:v>
          </c:tx>
          <c:spPr>
            <a:pattFill prst="ltHorz">
              <a:fgClr>
                <a:srgbClr val="FFE8D1"/>
              </a:fgClr>
              <a:bgClr>
                <a:srgbClr val="FFCC99"/>
              </a:bgClr>
            </a:pattFill>
            <a:ln w="19050">
              <a:gradFill>
                <a:gsLst>
                  <a:gs pos="70000">
                    <a:schemeClr val="accent1">
                      <a:lumMod val="5000"/>
                      <a:lumOff val="95000"/>
                    </a:schemeClr>
                  </a:gs>
                  <a:gs pos="90000">
                    <a:srgbClr val="FFCC99"/>
                  </a:gs>
                  <a:gs pos="100000">
                    <a:schemeClr val="bg1">
                      <a:lumMod val="85000"/>
                    </a:schemeClr>
                  </a:gs>
                  <a:gs pos="99000">
                    <a:srgbClr val="FFCC99"/>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'кривые-экспресс'!$B$5:$B$104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ap="sq" cmpd="sng">
              <a:solidFill>
                <a:srgbClr val="00B0F0"/>
              </a:soli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'кривые-экспресс'!$U$5:$U$104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557808"/>
        <c:axId val="846558368"/>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'кривые-экспресс'!$N$5:$N$104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'кривые-экспресс'!$Q$5:$Q$104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6557808"/>
        <c:axId val="846558368"/>
      </c:lineChart>
      <c:catAx>
        <c:axId val="846557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501239344572234"/>
              <c:y val="0.84450665588149831"/>
            </c:manualLayout>
          </c:layout>
          <c:overlay val="0"/>
          <c:spPr>
            <a:noFill/>
            <a:ln>
              <a:noFill/>
            </a:ln>
            <a:effectLst/>
          </c:spPr>
        </c:title>
        <c:numFmt formatCode="0%"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6558368"/>
        <c:crosses val="autoZero"/>
        <c:auto val="1"/>
        <c:lblAlgn val="ctr"/>
        <c:lblOffset val="500"/>
        <c:tickLblSkip val="5"/>
        <c:noMultiLvlLbl val="0"/>
      </c:catAx>
      <c:valAx>
        <c:axId val="846558368"/>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r>
                  <a:rPr lang="ru-RU" i="1">
                    <a:solidFill>
                      <a:schemeClr val="tx1"/>
                    </a:solidFill>
                  </a:rPr>
                  <a:t>/˚</a:t>
                </a:r>
                <a:r>
                  <a:rPr lang="en-US" i="1">
                    <a:solidFill>
                      <a:schemeClr val="tx1"/>
                    </a:solidFill>
                  </a:rPr>
                  <a:t>C-</a:t>
                </a:r>
                <a:r>
                  <a:rPr lang="ru-RU" i="1">
                    <a:solidFill>
                      <a:schemeClr val="tx1"/>
                    </a:solidFill>
                  </a:rPr>
                  <a:t>сут</a:t>
                </a:r>
              </a:p>
              <a:p>
                <a:pPr>
                  <a:defRPr sz="1000" b="0" i="1" u="none" strike="noStrike" kern="1200" baseline="0">
                    <a:solidFill>
                      <a:schemeClr val="tx1"/>
                    </a:solidFill>
                    <a:latin typeface="+mn-lt"/>
                    <a:ea typeface="+mn-ea"/>
                    <a:cs typeface="+mn-cs"/>
                  </a:defRPr>
                </a:pPr>
                <a:endParaRPr lang="ru-RU" i="1">
                  <a:solidFill>
                    <a:schemeClr val="tx1"/>
                  </a:solidFill>
                </a:endParaRPr>
              </a:p>
            </c:rich>
          </c:tx>
          <c:layout>
            <c:manualLayout>
              <c:xMode val="edge"/>
              <c:yMode val="edge"/>
              <c:x val="3.3340349842176285E-2"/>
              <c:y val="3.2203797559581512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57808"/>
        <c:crosses val="autoZero"/>
        <c:crossBetween val="between"/>
      </c:valAx>
      <c:spPr>
        <a:noFill/>
        <a:ln>
          <a:noFill/>
        </a:ln>
        <a:effectLst/>
      </c:spPr>
    </c:plotArea>
    <c:legend>
      <c:legendPos val="b"/>
      <c:layout>
        <c:manualLayout>
          <c:xMode val="edge"/>
          <c:yMode val="edge"/>
          <c:x val="0.86222766677851881"/>
          <c:y val="0.22316051285713395"/>
          <c:w val="0.13633180099780801"/>
          <c:h val="0.5971269022269406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Теплоэнергия</a:t>
            </a:r>
            <a:r>
              <a:rPr lang="ru-RU" sz="2000" baseline="0">
                <a:solidFill>
                  <a:schemeClr val="tx1"/>
                </a:solidFill>
              </a:rPr>
              <a:t> на нужды ГВС</a:t>
            </a:r>
            <a:endParaRPr lang="ru-RU" sz="2000">
              <a:solidFill>
                <a:schemeClr val="tx1"/>
              </a:solidFill>
            </a:endParaRPr>
          </a:p>
        </c:rich>
      </c:tx>
      <c:layout>
        <c:manualLayout>
          <c:xMode val="edge"/>
          <c:yMode val="edge"/>
          <c:x val="0.35721590917229584"/>
          <c:y val="3.0879333800552526E-3"/>
        </c:manualLayout>
      </c:layout>
      <c:overlay val="0"/>
      <c:spPr>
        <a:noFill/>
        <a:ln>
          <a:noFill/>
        </a:ln>
        <a:effectLst/>
      </c:spPr>
    </c:title>
    <c:autoTitleDeleted val="0"/>
    <c:plotArea>
      <c:layout>
        <c:manualLayout>
          <c:layoutTarget val="inner"/>
          <c:xMode val="edge"/>
          <c:yMode val="edge"/>
          <c:x val="3.3082224276733185E-2"/>
          <c:y val="3.2041884816754025E-2"/>
          <c:w val="0.8275816133612327"/>
          <c:h val="0.80940330626210988"/>
        </c:manualLayout>
      </c:layout>
      <c:barChart>
        <c:barDir val="col"/>
        <c:grouping val="clustered"/>
        <c:varyColors val="0"/>
        <c:ser>
          <c:idx val="0"/>
          <c:order val="0"/>
          <c:tx>
            <c:v>Аналогичные МКД</c:v>
          </c:tx>
          <c:spPr>
            <a:pattFill prst="ltHorz">
              <a:fgClr>
                <a:srgbClr val="E1EFFF"/>
              </a:fgClr>
              <a:bgClr>
                <a:srgbClr val="AFD5FF"/>
              </a:bgClr>
            </a:pattFill>
            <a:ln w="19050">
              <a:gradFill flip="none" rotWithShape="1">
                <a:gsLst>
                  <a:gs pos="80000">
                    <a:schemeClr val="bg1"/>
                  </a:gs>
                  <a:gs pos="95000">
                    <a:srgbClr val="AFD5FF"/>
                  </a:gs>
                  <a:gs pos="100000">
                    <a:srgbClr val="AFD5FF"/>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'кривые-экспресс'!$C$5:$C$104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mpd="sng">
              <a:solidFill>
                <a:srgbClr val="00B0F0"/>
              </a:solidFill>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'кривые-экспресс'!$V$5:$V$104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562848"/>
        <c:axId val="846563408"/>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'кривые-экспресс'!$O$5:$O$104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'кривые-экспресс'!$R$5:$R$104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6562848"/>
        <c:axId val="846563408"/>
      </c:lineChart>
      <c:catAx>
        <c:axId val="846562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616136095135082"/>
              <c:y val="0.83579041101537943"/>
            </c:manualLayout>
          </c:layout>
          <c:overlay val="0"/>
          <c:spPr>
            <a:noFill/>
            <a:ln>
              <a:noFill/>
            </a:ln>
            <a:effectLst/>
          </c:sp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63408"/>
        <c:crosses val="autoZero"/>
        <c:auto val="1"/>
        <c:lblAlgn val="ctr"/>
        <c:lblOffset val="500"/>
        <c:tickLblSkip val="5"/>
        <c:noMultiLvlLbl val="0"/>
      </c:catAx>
      <c:valAx>
        <c:axId val="846563408"/>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p>
            </c:rich>
          </c:tx>
          <c:layout>
            <c:manualLayout>
              <c:xMode val="edge"/>
              <c:yMode val="edge"/>
              <c:x val="3.1329612189216628E-2"/>
              <c:y val="3.185323824050789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62848"/>
        <c:crosses val="autoZero"/>
        <c:crossBetween val="between"/>
      </c:valAx>
      <c:spPr>
        <a:noFill/>
        <a:ln>
          <a:noFill/>
        </a:ln>
        <a:effectLst/>
      </c:spPr>
    </c:plotArea>
    <c:legend>
      <c:legendPos val="b"/>
      <c:layout>
        <c:manualLayout>
          <c:xMode val="edge"/>
          <c:yMode val="edge"/>
          <c:x val="0.86739520813700965"/>
          <c:y val="0.21727699220843474"/>
          <c:w val="0.13031105363148959"/>
          <c:h val="0.523037143917217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Совокупный расход</a:t>
            </a:r>
            <a:r>
              <a:rPr lang="ru-RU" sz="2000" baseline="0">
                <a:solidFill>
                  <a:schemeClr val="tx1"/>
                </a:solidFill>
              </a:rPr>
              <a:t> энергоресурсов</a:t>
            </a:r>
            <a:endParaRPr lang="ru-RU" sz="2000">
              <a:solidFill>
                <a:schemeClr val="tx1"/>
              </a:solidFill>
            </a:endParaRPr>
          </a:p>
        </c:rich>
      </c:tx>
      <c:layout>
        <c:manualLayout>
          <c:xMode val="edge"/>
          <c:yMode val="edge"/>
          <c:x val="0.31212126950612734"/>
          <c:y val="3.3086859161681336E-3"/>
        </c:manualLayout>
      </c:layout>
      <c:overlay val="0"/>
      <c:spPr>
        <a:solidFill>
          <a:schemeClr val="bg1"/>
        </a:solidFill>
        <a:ln>
          <a:noFill/>
        </a:ln>
        <a:effectLst/>
      </c:spPr>
    </c:title>
    <c:autoTitleDeleted val="0"/>
    <c:plotArea>
      <c:layout>
        <c:manualLayout>
          <c:layoutTarget val="inner"/>
          <c:xMode val="edge"/>
          <c:yMode val="edge"/>
          <c:x val="3.3168114447085902E-2"/>
          <c:y val="3.8434509655024637E-2"/>
          <c:w val="0.77946636426841753"/>
          <c:h val="0.8018478996066486"/>
        </c:manualLayout>
      </c:layout>
      <c:barChart>
        <c:barDir val="col"/>
        <c:grouping val="clustered"/>
        <c:varyColors val="0"/>
        <c:ser>
          <c:idx val="0"/>
          <c:order val="2"/>
          <c:tx>
            <c:v>A++</c:v>
          </c:tx>
          <c:spPr>
            <a:pattFill prst="ltHorz">
              <a:fgClr>
                <a:schemeClr val="bg1"/>
              </a:fgClr>
              <a:bgClr>
                <a:srgbClr val="9EE85A"/>
              </a:bgClr>
            </a:pattFill>
            <a:ln w="19050">
              <a:gradFill flip="none" rotWithShape="1">
                <a:gsLst>
                  <a:gs pos="30000">
                    <a:schemeClr val="accent1">
                      <a:lumMod val="5000"/>
                      <a:lumOff val="95000"/>
                    </a:schemeClr>
                  </a:gs>
                  <a:gs pos="75000">
                    <a:srgbClr val="9EE85A"/>
                  </a:gs>
                  <a:gs pos="100000">
                    <a:srgbClr val="9EE85A"/>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'кривые-экспресс'!$E$5:$E$104</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3"/>
          <c:tx>
            <c:v>A+</c:v>
          </c:tx>
          <c:spPr>
            <a:pattFill prst="ltHorz">
              <a:fgClr>
                <a:schemeClr val="bg1"/>
              </a:fgClr>
              <a:bgClr>
                <a:srgbClr val="00CC66"/>
              </a:bgClr>
            </a:pattFill>
            <a:ln w="19050" cap="sq" cmpd="sng">
              <a:gradFill flip="none" rotWithShape="1">
                <a:gsLst>
                  <a:gs pos="30000">
                    <a:schemeClr val="bg1"/>
                  </a:gs>
                  <a:gs pos="100000">
                    <a:srgbClr val="00CC66"/>
                  </a:gs>
                  <a:gs pos="75000">
                    <a:srgbClr val="00CC66"/>
                  </a:gs>
                  <a:gs pos="100000">
                    <a:srgbClr val="00B050"/>
                  </a:gs>
                </a:gsLst>
                <a:lin ang="5400000" scaled="1"/>
                <a:tileRect/>
              </a:gra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'кривые-экспресс'!$F$5:$F$104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5"/>
          <c:order val="4"/>
          <c:tx>
            <c:v>A</c:v>
          </c:tx>
          <c:spPr>
            <a:pattFill prst="ltHorz">
              <a:fgClr>
                <a:schemeClr val="bg1"/>
              </a:fgClr>
              <a:bgClr>
                <a:srgbClr val="CCFF33"/>
              </a:bgClr>
            </a:pattFill>
            <a:ln w="19685">
              <a:gradFill>
                <a:gsLst>
                  <a:gs pos="30000">
                    <a:schemeClr val="bg1"/>
                  </a:gs>
                  <a:gs pos="75000">
                    <a:srgbClr val="CCFF33"/>
                  </a:gs>
                  <a:gs pos="100000">
                    <a:srgbClr val="CCFF33"/>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'кривые-экспресс'!$G$5:$G$104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6"/>
          <c:order val="5"/>
          <c:tx>
            <c:v>B</c:v>
          </c:tx>
          <c:spPr>
            <a:pattFill prst="ltHorz">
              <a:fgClr>
                <a:schemeClr val="bg1"/>
              </a:fgClr>
              <a:bgClr>
                <a:srgbClr val="FFFF00"/>
              </a:bgClr>
            </a:pattFill>
            <a:ln w="19050">
              <a:gradFill flip="none" rotWithShape="1">
                <a:gsLst>
                  <a:gs pos="30000">
                    <a:schemeClr val="bg1"/>
                  </a:gs>
                  <a:gs pos="75000">
                    <a:srgbClr val="FFFF00"/>
                  </a:gs>
                  <a:gs pos="100000">
                    <a:srgbClr val="FFFF00"/>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'кривые-экспресс'!$H$5:$H$104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6"/>
          <c:tx>
            <c:v>C</c:v>
          </c:tx>
          <c:spPr>
            <a:pattFill prst="ltHorz">
              <a:fgClr>
                <a:srgbClr val="FFC081"/>
              </a:fgClr>
              <a:bgClr>
                <a:srgbClr val="FF9933"/>
              </a:bgClr>
            </a:pattFill>
            <a:ln w="19050">
              <a:gradFill flip="none" rotWithShape="1">
                <a:gsLst>
                  <a:gs pos="30000">
                    <a:schemeClr val="bg1">
                      <a:alpha val="93000"/>
                    </a:schemeClr>
                  </a:gs>
                  <a:gs pos="75000">
                    <a:srgbClr val="FF9933"/>
                  </a:gs>
                  <a:gs pos="100000">
                    <a:srgbClr val="FF9933"/>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'кривые-экспресс'!$I$5:$I$104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8"/>
          <c:order val="7"/>
          <c:tx>
            <c:v>D</c:v>
          </c:tx>
          <c:spPr>
            <a:pattFill prst="ltHorz">
              <a:fgClr>
                <a:srgbClr val="FF964B"/>
              </a:fgClr>
              <a:bgClr>
                <a:srgbClr val="FF6600"/>
              </a:bgClr>
            </a:pattFill>
            <a:ln w="19050">
              <a:gradFill flip="none" rotWithShape="1">
                <a:gsLst>
                  <a:gs pos="30000">
                    <a:schemeClr val="bg1"/>
                  </a:gs>
                  <a:gs pos="74000">
                    <a:srgbClr val="FF6600"/>
                  </a:gs>
                  <a:gs pos="100000">
                    <a:srgbClr val="FF6600"/>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'кривые-экспресс'!$J$5:$J$104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9"/>
          <c:order val="8"/>
          <c:tx>
            <c:v>E</c:v>
          </c:tx>
          <c:spPr>
            <a:pattFill prst="ltHorz">
              <a:fgClr>
                <a:srgbClr val="FF6464"/>
              </a:fgClr>
              <a:bgClr>
                <a:srgbClr val="FF0000"/>
              </a:bgClr>
            </a:pattFill>
            <a:ln w="19050">
              <a:gradFill>
                <a:gsLst>
                  <a:gs pos="40000">
                    <a:schemeClr val="bg1"/>
                  </a:gs>
                  <a:gs pos="80000">
                    <a:srgbClr val="FF0000"/>
                  </a:gs>
                  <a:gs pos="100000">
                    <a:srgbClr val="FF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'кривые-экспресс'!$K$5:$K$104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0"/>
          <c:order val="9"/>
          <c:tx>
            <c:v>F</c:v>
          </c:tx>
          <c:spPr>
            <a:pattFill prst="ltHorz">
              <a:fgClr>
                <a:srgbClr val="F03232"/>
              </a:fgClr>
              <a:bgClr>
                <a:srgbClr val="C00000"/>
              </a:bgClr>
            </a:pattFill>
            <a:ln w="19050">
              <a:gradFill>
                <a:gsLst>
                  <a:gs pos="55000">
                    <a:schemeClr val="bg1"/>
                  </a:gs>
                  <a:gs pos="85000">
                    <a:srgbClr val="C00000"/>
                  </a:gs>
                  <a:gs pos="100000">
                    <a:srgbClr val="C0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'кривые-экспресс'!$L$5:$L$104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2"/>
          <c:order val="10"/>
          <c:tx>
            <c:v>G</c:v>
          </c:tx>
          <c:spPr>
            <a:pattFill prst="ltHorz">
              <a:fgClr>
                <a:srgbClr val="FF0000"/>
              </a:fgClr>
              <a:bgClr>
                <a:srgbClr val="9E0000"/>
              </a:bgClr>
            </a:pattFill>
            <a:ln w="19050">
              <a:gradFill>
                <a:gsLst>
                  <a:gs pos="57000">
                    <a:schemeClr val="accent1">
                      <a:lumMod val="5000"/>
                      <a:lumOff val="95000"/>
                    </a:schemeClr>
                  </a:gs>
                  <a:gs pos="100000">
                    <a:srgbClr val="9E0000"/>
                  </a:gs>
                </a:gsLst>
                <a:lin ang="5400000" scaled="1"/>
              </a:gradFill>
            </a:ln>
            <a:effectLst/>
          </c:spPr>
          <c:invertIfNegative val="0"/>
          <c:val>
            <c:numRef>
              <c:f>'кривые-экспресс'!$M$5:$M$105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1"/>
          <c:tx>
            <c:v>Факт</c:v>
          </c:tx>
          <c:spPr>
            <a:solidFill>
              <a:srgbClr val="00B0F0"/>
            </a:solidFill>
            <a:ln>
              <a:no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'кривые-экспресс'!$W$5:$W$104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7247616"/>
        <c:axId val="847248176"/>
      </c:barChart>
      <c:lineChart>
        <c:grouping val="standard"/>
        <c:varyColors val="0"/>
        <c:ser>
          <c:idx val="2"/>
          <c:order val="0"/>
          <c:tx>
            <c:v>Базовое значение для текущих ГСОП</c:v>
          </c:tx>
          <c:spPr>
            <a:ln w="28575" cap="rnd">
              <a:solidFill>
                <a:schemeClr val="accent3"/>
              </a:solidFill>
              <a:round/>
            </a:ln>
            <a:effectLst/>
          </c:spPr>
          <c:marker>
            <c:symbol val="none"/>
          </c:marker>
          <c:val>
            <c:numRef>
              <c:f>'кривые-экспресс'!$P$5:$P$104</c:f>
              <c:numCache>
                <c:formatCode>General</c:formatCode>
                <c:ptCount val="100"/>
                <c:pt idx="0" formatCode="0.000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1"/>
          <c:tx>
            <c:v>А++</c:v>
          </c:tx>
          <c:spPr>
            <a:ln w="28575" cap="rnd">
              <a:solidFill>
                <a:srgbClr val="92D050"/>
              </a:solidFill>
              <a:round/>
            </a:ln>
            <a:effectLst/>
          </c:spPr>
          <c:marker>
            <c:symbol val="none"/>
          </c:marker>
          <c:val>
            <c:numRef>
              <c:f>'кривые-экспресс'!$S$5:$S$104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1"/>
        </c:ser>
        <c:dLbls>
          <c:showLegendKey val="0"/>
          <c:showVal val="0"/>
          <c:showCatName val="0"/>
          <c:showSerName val="0"/>
          <c:showPercent val="0"/>
          <c:showBubbleSize val="0"/>
        </c:dLbls>
        <c:marker val="1"/>
        <c:smooth val="0"/>
        <c:axId val="847247616"/>
        <c:axId val="847248176"/>
      </c:lineChart>
      <c:catAx>
        <c:axId val="847247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a:t>
                </a:r>
                <a:r>
                  <a:rPr lang="ru-RU" baseline="0">
                    <a:solidFill>
                      <a:schemeClr val="tx1"/>
                    </a:solidFill>
                  </a:rPr>
                  <a:t> </a:t>
                </a:r>
                <a:r>
                  <a:rPr lang="ru-RU">
                    <a:solidFill>
                      <a:schemeClr val="tx1"/>
                    </a:solidFill>
                  </a:rPr>
                  <a:t>МКД в России</a:t>
                </a:r>
              </a:p>
            </c:rich>
          </c:tx>
          <c:layout>
            <c:manualLayout>
              <c:xMode val="edge"/>
              <c:yMode val="edge"/>
              <c:x val="0.36746240881784298"/>
              <c:y val="0.84902778416217384"/>
            </c:manualLayout>
          </c:layout>
          <c:overlay val="0"/>
          <c:spPr>
            <a:noFill/>
            <a:ln>
              <a:noFill/>
            </a:ln>
            <a:effectLst/>
          </c:spPr>
        </c:title>
        <c:numFmt formatCode="0%" sourceLinked="0"/>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7248176"/>
        <c:crosses val="autoZero"/>
        <c:auto val="1"/>
        <c:lblAlgn val="ctr"/>
        <c:lblOffset val="500"/>
        <c:tickLblSkip val="5"/>
        <c:tickMarkSkip val="10"/>
        <c:noMultiLvlLbl val="0"/>
      </c:catAx>
      <c:valAx>
        <c:axId val="847248176"/>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endParaRPr lang="ru-RU" i="1">
                  <a:solidFill>
                    <a:schemeClr val="tx1"/>
                  </a:solidFill>
                </a:endParaRPr>
              </a:p>
            </c:rich>
          </c:tx>
          <c:layout>
            <c:manualLayout>
              <c:xMode val="edge"/>
              <c:yMode val="edge"/>
              <c:x val="3.7721672562339888E-2"/>
              <c:y val="2.4467922116219495E-2"/>
            </c:manualLayout>
          </c:layout>
          <c:overlay val="0"/>
          <c:spPr>
            <a:solidFill>
              <a:schemeClr val="bg1"/>
            </a:solid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7247616"/>
        <c:crosses val="autoZero"/>
        <c:crossBetween val="between"/>
      </c:valAx>
      <c:spPr>
        <a:noFill/>
        <a:ln>
          <a:noFill/>
        </a:ln>
        <a:effectLst/>
      </c:spPr>
    </c:plotArea>
    <c:legend>
      <c:legendPos val="b"/>
      <c:layout>
        <c:manualLayout>
          <c:xMode val="edge"/>
          <c:yMode val="edge"/>
          <c:x val="0.80297508572185139"/>
          <c:y val="2.0922328737559864E-2"/>
          <c:w val="0.18995137959387928"/>
          <c:h val="0.979077671262440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a:t>Теплоэнергия на нужды отопления и вентиляции</a:t>
            </a:r>
          </a:p>
        </c:rich>
      </c:tx>
      <c:layout>
        <c:manualLayout>
          <c:xMode val="edge"/>
          <c:yMode val="edge"/>
          <c:x val="0.27430762888618726"/>
          <c:y val="3.1519632637332382E-3"/>
        </c:manualLayout>
      </c:layout>
      <c:overlay val="0"/>
      <c:spPr>
        <a:solidFill>
          <a:schemeClr val="bg1"/>
        </a:solidFill>
        <a:ln>
          <a:noFill/>
        </a:ln>
        <a:effectLst/>
      </c:spPr>
    </c:title>
    <c:autoTitleDeleted val="0"/>
    <c:plotArea>
      <c:layout>
        <c:manualLayout>
          <c:layoutTarget val="inner"/>
          <c:xMode val="edge"/>
          <c:yMode val="edge"/>
          <c:x val="3.5539651468844885E-2"/>
          <c:y val="4.8689572424895695E-2"/>
          <c:w val="0.82435912306049663"/>
          <c:h val="0.78891422467396854"/>
        </c:manualLayout>
      </c:layout>
      <c:barChart>
        <c:barDir val="col"/>
        <c:grouping val="clustered"/>
        <c:varyColors val="0"/>
        <c:ser>
          <c:idx val="0"/>
          <c:order val="0"/>
          <c:tx>
            <c:v>Аналогичные МКД</c:v>
          </c:tx>
          <c:spPr>
            <a:pattFill prst="ltHorz">
              <a:fgClr>
                <a:srgbClr val="FFE8D1"/>
              </a:fgClr>
              <a:bgClr>
                <a:srgbClr val="FFCC99"/>
              </a:bgClr>
            </a:pattFill>
            <a:ln w="19050">
              <a:gradFill>
                <a:gsLst>
                  <a:gs pos="70000">
                    <a:schemeClr val="accent1">
                      <a:lumMod val="5000"/>
                      <a:lumOff val="95000"/>
                    </a:schemeClr>
                  </a:gs>
                  <a:gs pos="90000">
                    <a:srgbClr val="FFCC99"/>
                  </a:gs>
                  <a:gs pos="100000">
                    <a:schemeClr val="bg1">
                      <a:lumMod val="85000"/>
                    </a:schemeClr>
                  </a:gs>
                  <a:gs pos="99000">
                    <a:srgbClr val="FFCC99"/>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кривые!$B$5:$B$104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B0F0"/>
            </a:solidFill>
            <a:ln>
              <a:noFill/>
            </a:ln>
            <a:effectLst/>
          </c:spPr>
          <c:invertIfNegative val="0"/>
          <c:val>
            <c:numRef>
              <c:f>кривые!$U$5:$U$104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7263296"/>
        <c:axId val="847263856"/>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кривые!$N$5:$N$104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кривые!$Q$5:$Q$104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7263296"/>
        <c:axId val="847263856"/>
      </c:lineChart>
      <c:catAx>
        <c:axId val="847263296"/>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ru-RU" sz="1100" b="0" i="0" baseline="0">
                    <a:effectLst/>
                  </a:rPr>
                  <a:t>процентиль аналогичных МКД в России</a:t>
                </a:r>
                <a:endParaRPr lang="ru-RU" sz="1100">
                  <a:effectLst/>
                </a:endParaRPr>
              </a:p>
            </c:rich>
          </c:tx>
          <c:layout>
            <c:manualLayout>
              <c:xMode val="edge"/>
              <c:yMode val="edge"/>
              <c:x val="0.39026493279249275"/>
              <c:y val="0.85375050587101531"/>
            </c:manualLayout>
          </c:layout>
          <c:overlay val="0"/>
          <c:spPr>
            <a:noFill/>
            <a:ln>
              <a:noFill/>
            </a:ln>
            <a:effectLst/>
          </c:spPr>
        </c:title>
        <c:numFmt formatCode="0%"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7263856"/>
        <c:crosses val="autoZero"/>
        <c:auto val="1"/>
        <c:lblAlgn val="ctr"/>
        <c:lblOffset val="500"/>
        <c:tickLblSkip val="5"/>
        <c:noMultiLvlLbl val="0"/>
      </c:catAx>
      <c:valAx>
        <c:axId val="847263856"/>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100" b="0" i="1" u="none" strike="noStrike" kern="1200" baseline="0">
                    <a:solidFill>
                      <a:schemeClr val="tx1"/>
                    </a:solidFill>
                    <a:latin typeface="+mn-lt"/>
                    <a:ea typeface="+mn-ea"/>
                    <a:cs typeface="+mn-cs"/>
                  </a:defRPr>
                </a:pPr>
                <a:r>
                  <a:rPr lang="ru-RU" sz="1100" b="0" i="1" baseline="0">
                    <a:effectLst/>
                  </a:rPr>
                  <a:t>кВтч/м</a:t>
                </a:r>
                <a:r>
                  <a:rPr lang="ru-RU" sz="1100" b="0" i="1" baseline="30000">
                    <a:effectLst/>
                  </a:rPr>
                  <a:t>2</a:t>
                </a:r>
                <a:r>
                  <a:rPr lang="ru-RU" sz="1100" b="0" i="1" baseline="0">
                    <a:effectLst/>
                  </a:rPr>
                  <a:t>/</a:t>
                </a:r>
                <a:r>
                  <a:rPr lang="en-US" sz="1100" b="0" i="1" baseline="0">
                    <a:effectLst/>
                  </a:rPr>
                  <a:t>C˚-</a:t>
                </a:r>
                <a:r>
                  <a:rPr lang="ru-RU" sz="1100" b="0" i="1" baseline="0">
                    <a:effectLst/>
                  </a:rPr>
                  <a:t>сут</a:t>
                </a:r>
                <a:endParaRPr lang="ru-RU" sz="1100">
                  <a:effectLst/>
                </a:endParaRPr>
              </a:p>
            </c:rich>
          </c:tx>
          <c:layout>
            <c:manualLayout>
              <c:xMode val="edge"/>
              <c:yMode val="edge"/>
              <c:x val="3.3340349842176285E-2"/>
              <c:y val="3.2203797559581512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7263296"/>
        <c:crosses val="autoZero"/>
        <c:crossBetween val="between"/>
      </c:valAx>
      <c:spPr>
        <a:noFill/>
        <a:ln>
          <a:noFill/>
        </a:ln>
        <a:effectLst/>
      </c:spPr>
    </c:plotArea>
    <c:legend>
      <c:legendPos val="b"/>
      <c:layout>
        <c:manualLayout>
          <c:xMode val="edge"/>
          <c:yMode val="edge"/>
          <c:x val="0.86222766677851881"/>
          <c:y val="0.22316051285713395"/>
          <c:w val="0.13633180099780801"/>
          <c:h val="0.5971269022269406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a:t>Теплоэнергия на нужды ГВС</a:t>
            </a:r>
          </a:p>
        </c:rich>
      </c:tx>
      <c:layout>
        <c:manualLayout>
          <c:xMode val="edge"/>
          <c:yMode val="edge"/>
          <c:x val="0.35721590917229584"/>
          <c:y val="3.0879333800552526E-3"/>
        </c:manualLayout>
      </c:layout>
      <c:overlay val="0"/>
      <c:spPr>
        <a:solidFill>
          <a:sysClr val="window" lastClr="FFFFFF"/>
        </a:solidFill>
        <a:ln>
          <a:noFill/>
        </a:ln>
        <a:effectLst/>
      </c:spPr>
    </c:title>
    <c:autoTitleDeleted val="0"/>
    <c:plotArea>
      <c:layout>
        <c:manualLayout>
          <c:layoutTarget val="inner"/>
          <c:xMode val="edge"/>
          <c:yMode val="edge"/>
          <c:x val="3.3082224276733185E-2"/>
          <c:y val="4.8680343069532846E-2"/>
          <c:w val="0.8275816133612327"/>
          <c:h val="0.79276463394103514"/>
        </c:manualLayout>
      </c:layout>
      <c:barChart>
        <c:barDir val="col"/>
        <c:grouping val="clustered"/>
        <c:varyColors val="0"/>
        <c:ser>
          <c:idx val="0"/>
          <c:order val="0"/>
          <c:tx>
            <c:v>Аналогичные МКД</c:v>
          </c:tx>
          <c:spPr>
            <a:pattFill prst="ltHorz">
              <a:fgClr>
                <a:srgbClr val="E1EFFF"/>
              </a:fgClr>
              <a:bgClr>
                <a:srgbClr val="AFD5FF"/>
              </a:bgClr>
            </a:pattFill>
            <a:ln w="19050">
              <a:gradFill flip="none" rotWithShape="1">
                <a:gsLst>
                  <a:gs pos="80000">
                    <a:schemeClr val="bg1"/>
                  </a:gs>
                  <a:gs pos="95000">
                    <a:srgbClr val="AFD5FF"/>
                  </a:gs>
                  <a:gs pos="100000">
                    <a:srgbClr val="AFD5FF"/>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кривые!$C$5:$C$104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B0F0"/>
            </a:solidFill>
            <a:ln>
              <a:noFill/>
            </a:ln>
            <a:effectLst/>
          </c:spPr>
          <c:invertIfNegative val="0"/>
          <c:val>
            <c:numRef>
              <c:f>кривые!$V$5:$V$104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7268336"/>
        <c:axId val="847268896"/>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кривые!$O$5:$O$104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кривые!$R$5:$R$104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7268336"/>
        <c:axId val="847268896"/>
      </c:lineChart>
      <c:catAx>
        <c:axId val="847268336"/>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r>
                  <a:rPr lang="ru-RU" sz="1200" b="0" i="0" baseline="0">
                    <a:effectLst/>
                  </a:rPr>
                  <a:t>процентиль аналогичных МКД в России</a:t>
                </a:r>
                <a:endParaRPr lang="ru-RU"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endParaRPr lang="ru-RU" sz="1200"/>
              </a:p>
            </c:rich>
          </c:tx>
          <c:layout>
            <c:manualLayout>
              <c:xMode val="edge"/>
              <c:yMode val="edge"/>
              <c:x val="0.36616136095135082"/>
              <c:y val="0.83579041101537943"/>
            </c:manualLayout>
          </c:layout>
          <c:overlay val="0"/>
          <c:spPr>
            <a:noFill/>
            <a:ln>
              <a:noFill/>
            </a:ln>
            <a:effectLst/>
          </c:sp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7268896"/>
        <c:crosses val="autoZero"/>
        <c:auto val="1"/>
        <c:lblAlgn val="ctr"/>
        <c:lblOffset val="500"/>
        <c:tickLblSkip val="5"/>
        <c:noMultiLvlLbl val="0"/>
      </c:catAx>
      <c:valAx>
        <c:axId val="847268896"/>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200" b="0" i="1" u="none" strike="noStrike" kern="1200" baseline="0">
                    <a:solidFill>
                      <a:schemeClr val="tx1"/>
                    </a:solidFill>
                    <a:latin typeface="+mn-lt"/>
                    <a:ea typeface="+mn-ea"/>
                    <a:cs typeface="+mn-cs"/>
                  </a:defRPr>
                </a:pPr>
                <a:r>
                  <a:rPr lang="ru-RU" sz="1200" b="0" i="1" baseline="0">
                    <a:effectLst/>
                  </a:rPr>
                  <a:t>кВтч/м</a:t>
                </a:r>
                <a:r>
                  <a:rPr lang="ru-RU" sz="1200" b="0" i="1" baseline="30000">
                    <a:effectLst/>
                  </a:rPr>
                  <a:t>2</a:t>
                </a:r>
                <a:endParaRPr lang="ru-RU" sz="1200">
                  <a:effectLst/>
                </a:endParaRPr>
              </a:p>
            </c:rich>
          </c:tx>
          <c:layout>
            <c:manualLayout>
              <c:xMode val="edge"/>
              <c:yMode val="edge"/>
              <c:x val="3.1329612189216628E-2"/>
              <c:y val="3.185323824050789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7268336"/>
        <c:crosses val="autoZero"/>
        <c:crossBetween val="between"/>
      </c:valAx>
      <c:spPr>
        <a:noFill/>
        <a:ln>
          <a:noFill/>
        </a:ln>
        <a:effectLst/>
      </c:spPr>
    </c:plotArea>
    <c:legend>
      <c:legendPos val="b"/>
      <c:layout>
        <c:manualLayout>
          <c:xMode val="edge"/>
          <c:yMode val="edge"/>
          <c:x val="0.86739520813700965"/>
          <c:y val="0.21727699220843474"/>
          <c:w val="0.12319918719559703"/>
          <c:h val="0.6478267306270076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r>
              <a:rPr lang="ru-RU" sz="1800">
                <a:solidFill>
                  <a:schemeClr val="tx1"/>
                </a:solidFill>
              </a:rPr>
              <a:t>Совокупный расход</a:t>
            </a:r>
            <a:r>
              <a:rPr lang="ru-RU" sz="1800" baseline="0">
                <a:solidFill>
                  <a:schemeClr val="tx1"/>
                </a:solidFill>
              </a:rPr>
              <a:t> энергоресурсов</a:t>
            </a:r>
            <a:endParaRPr lang="ru-RU" sz="1800">
              <a:solidFill>
                <a:schemeClr val="tx1"/>
              </a:solidFill>
            </a:endParaRPr>
          </a:p>
        </c:rich>
      </c:tx>
      <c:layout>
        <c:manualLayout>
          <c:xMode val="edge"/>
          <c:yMode val="edge"/>
          <c:x val="0.31212126950612734"/>
          <c:y val="3.3086859161681336E-3"/>
        </c:manualLayout>
      </c:layout>
      <c:overlay val="0"/>
      <c:spPr>
        <a:solidFill>
          <a:schemeClr val="bg1"/>
        </a:solidFill>
        <a:ln>
          <a:noFill/>
        </a:ln>
        <a:effectLst/>
      </c:spPr>
    </c:title>
    <c:autoTitleDeleted val="0"/>
    <c:plotArea>
      <c:layout>
        <c:manualLayout>
          <c:layoutTarget val="inner"/>
          <c:xMode val="edge"/>
          <c:yMode val="edge"/>
          <c:x val="3.3168114447085902E-2"/>
          <c:y val="3.8434509655024637E-2"/>
          <c:w val="0.82700262467191599"/>
          <c:h val="0.8018478996066486"/>
        </c:manualLayout>
      </c:layout>
      <c:barChart>
        <c:barDir val="col"/>
        <c:grouping val="clustered"/>
        <c:varyColors val="0"/>
        <c:ser>
          <c:idx val="0"/>
          <c:order val="2"/>
          <c:tx>
            <c:v>A++</c:v>
          </c:tx>
          <c:spPr>
            <a:pattFill prst="ltHorz">
              <a:fgClr>
                <a:schemeClr val="bg1"/>
              </a:fgClr>
              <a:bgClr>
                <a:srgbClr val="9EE85A"/>
              </a:bgClr>
            </a:pattFill>
            <a:ln w="19050">
              <a:gradFill flip="none" rotWithShape="1">
                <a:gsLst>
                  <a:gs pos="30000">
                    <a:schemeClr val="accent1">
                      <a:lumMod val="5000"/>
                      <a:lumOff val="95000"/>
                    </a:schemeClr>
                  </a:gs>
                  <a:gs pos="75000">
                    <a:srgbClr val="9EE85A"/>
                  </a:gs>
                  <a:gs pos="100000">
                    <a:srgbClr val="9EE85A"/>
                  </a:gs>
                  <a:gs pos="100000">
                    <a:schemeClr val="accent1">
                      <a:lumMod val="30000"/>
                      <a:lumOff val="70000"/>
                    </a:schemeClr>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кривые!$E$5:$E$104</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3"/>
          <c:tx>
            <c:v>A+</c:v>
          </c:tx>
          <c:spPr>
            <a:pattFill prst="ltHorz">
              <a:fgClr>
                <a:schemeClr val="bg1"/>
              </a:fgClr>
              <a:bgClr>
                <a:srgbClr val="00CC66"/>
              </a:bgClr>
            </a:pattFill>
            <a:ln w="19050" cap="sq" cmpd="sng">
              <a:gradFill flip="none" rotWithShape="1">
                <a:gsLst>
                  <a:gs pos="30000">
                    <a:schemeClr val="bg1"/>
                  </a:gs>
                  <a:gs pos="100000">
                    <a:srgbClr val="00CC66"/>
                  </a:gs>
                  <a:gs pos="75000">
                    <a:srgbClr val="00CC66"/>
                  </a:gs>
                  <a:gs pos="100000">
                    <a:srgbClr val="00B050"/>
                  </a:gs>
                </a:gsLst>
                <a:lin ang="5400000" scaled="1"/>
                <a:tileRect/>
              </a:gradFill>
              <a:prstDash val="solid"/>
              <a:miter lim="800000"/>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кривые!$F$5:$F$104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5"/>
          <c:order val="4"/>
          <c:tx>
            <c:v>A</c:v>
          </c:tx>
          <c:spPr>
            <a:pattFill prst="ltHorz">
              <a:fgClr>
                <a:schemeClr val="bg1"/>
              </a:fgClr>
              <a:bgClr>
                <a:srgbClr val="CCFF33"/>
              </a:bgClr>
            </a:pattFill>
            <a:ln w="19685">
              <a:gradFill>
                <a:gsLst>
                  <a:gs pos="30000">
                    <a:schemeClr val="bg1"/>
                  </a:gs>
                  <a:gs pos="75000">
                    <a:srgbClr val="CCFF33"/>
                  </a:gs>
                  <a:gs pos="100000">
                    <a:srgbClr val="CCFF33"/>
                  </a:gs>
                  <a:gs pos="100000">
                    <a:schemeClr val="accent1">
                      <a:lumMod val="30000"/>
                      <a:lumOff val="70000"/>
                    </a:schemeClr>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кривые!$G$5:$G$104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6"/>
          <c:order val="5"/>
          <c:tx>
            <c:v>B</c:v>
          </c:tx>
          <c:spPr>
            <a:pattFill prst="ltHorz">
              <a:fgClr>
                <a:schemeClr val="bg1"/>
              </a:fgClr>
              <a:bgClr>
                <a:srgbClr val="FFFF00"/>
              </a:bgClr>
            </a:pattFill>
            <a:ln w="19050">
              <a:gradFill flip="none" rotWithShape="1">
                <a:gsLst>
                  <a:gs pos="30000">
                    <a:schemeClr val="bg1"/>
                  </a:gs>
                  <a:gs pos="75000">
                    <a:srgbClr val="FFFF00"/>
                  </a:gs>
                  <a:gs pos="100000">
                    <a:srgbClr val="FFFF00"/>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кривые!$H$5:$H$104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6"/>
          <c:tx>
            <c:v>C</c:v>
          </c:tx>
          <c:spPr>
            <a:pattFill prst="ltHorz">
              <a:fgClr>
                <a:srgbClr val="FFC081"/>
              </a:fgClr>
              <a:bgClr>
                <a:srgbClr val="FF9933"/>
              </a:bgClr>
            </a:pattFill>
            <a:ln w="19050">
              <a:gradFill flip="none" rotWithShape="1">
                <a:gsLst>
                  <a:gs pos="30000">
                    <a:schemeClr val="bg1">
                      <a:alpha val="93000"/>
                    </a:schemeClr>
                  </a:gs>
                  <a:gs pos="75000">
                    <a:srgbClr val="FF9933"/>
                  </a:gs>
                  <a:gs pos="100000">
                    <a:srgbClr val="FF9933"/>
                  </a:gs>
                  <a:gs pos="100000">
                    <a:schemeClr val="accent1">
                      <a:lumMod val="30000"/>
                      <a:lumOff val="70000"/>
                    </a:schemeClr>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кривые!$I$5:$I$104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8"/>
          <c:order val="7"/>
          <c:tx>
            <c:v>D</c:v>
          </c:tx>
          <c:spPr>
            <a:pattFill prst="ltHorz">
              <a:fgClr>
                <a:srgbClr val="FF964B"/>
              </a:fgClr>
              <a:bgClr>
                <a:srgbClr val="FF6600"/>
              </a:bgClr>
            </a:pattFill>
            <a:ln w="19050">
              <a:gradFill flip="none" rotWithShape="1">
                <a:gsLst>
                  <a:gs pos="30000">
                    <a:schemeClr val="bg1"/>
                  </a:gs>
                  <a:gs pos="74000">
                    <a:srgbClr val="FF6600"/>
                  </a:gs>
                  <a:gs pos="100000">
                    <a:srgbClr val="FF6600"/>
                  </a:gs>
                  <a:gs pos="100000">
                    <a:schemeClr val="accent1">
                      <a:lumMod val="30000"/>
                      <a:lumOff val="70000"/>
                    </a:schemeClr>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кривые!$J$5:$J$104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9"/>
          <c:order val="8"/>
          <c:tx>
            <c:v>E</c:v>
          </c:tx>
          <c:spPr>
            <a:pattFill prst="ltHorz">
              <a:fgClr>
                <a:srgbClr val="FF6464"/>
              </a:fgClr>
              <a:bgClr>
                <a:srgbClr val="FF0000"/>
              </a:bgClr>
            </a:pattFill>
            <a:ln w="19050">
              <a:gradFill>
                <a:gsLst>
                  <a:gs pos="40000">
                    <a:schemeClr val="bg1"/>
                  </a:gs>
                  <a:gs pos="80000">
                    <a:srgbClr val="FF0000"/>
                  </a:gs>
                  <a:gs pos="100000">
                    <a:srgbClr val="FF0000"/>
                  </a:gs>
                  <a:gs pos="100000">
                    <a:schemeClr val="accent1">
                      <a:lumMod val="30000"/>
                      <a:lumOff val="70000"/>
                    </a:schemeClr>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кривые!$K$5:$K$104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0"/>
          <c:order val="9"/>
          <c:tx>
            <c:v>F</c:v>
          </c:tx>
          <c:spPr>
            <a:pattFill prst="ltHorz">
              <a:fgClr>
                <a:srgbClr val="F03232"/>
              </a:fgClr>
              <a:bgClr>
                <a:srgbClr val="C00000"/>
              </a:bgClr>
            </a:pattFill>
            <a:ln w="19050">
              <a:gradFill>
                <a:gsLst>
                  <a:gs pos="55000">
                    <a:schemeClr val="bg1"/>
                  </a:gs>
                  <a:gs pos="85000">
                    <a:srgbClr val="C00000"/>
                  </a:gs>
                  <a:gs pos="100000">
                    <a:srgbClr val="C00000"/>
                  </a:gs>
                  <a:gs pos="100000">
                    <a:schemeClr val="accent1">
                      <a:lumMod val="30000"/>
                      <a:lumOff val="70000"/>
                    </a:schemeClr>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кривые!$L$5:$L$104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2"/>
          <c:order val="10"/>
          <c:tx>
            <c:v>G</c:v>
          </c:tx>
          <c:spPr>
            <a:pattFill prst="ltHorz">
              <a:fgClr>
                <a:srgbClr val="FF0000"/>
              </a:fgClr>
              <a:bgClr>
                <a:srgbClr val="9E0000"/>
              </a:bgClr>
            </a:pattFill>
            <a:ln w="19050">
              <a:gradFill>
                <a:gsLst>
                  <a:gs pos="35000">
                    <a:schemeClr val="accent1">
                      <a:lumMod val="5000"/>
                      <a:lumOff val="95000"/>
                    </a:schemeClr>
                  </a:gs>
                  <a:gs pos="100000">
                    <a:srgbClr val="9E0000"/>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кривые!$M$5:$M$105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1"/>
          <c:tx>
            <c:v>Факт</c:v>
          </c:tx>
          <c:spPr>
            <a:solidFill>
              <a:srgbClr val="00B0F0"/>
            </a:solidFill>
            <a:ln>
              <a:no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кривые!$W$5:$W$104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8624752"/>
        <c:axId val="848625312"/>
      </c:barChart>
      <c:lineChart>
        <c:grouping val="standard"/>
        <c:varyColors val="0"/>
        <c:ser>
          <c:idx val="2"/>
          <c:order val="0"/>
          <c:tx>
            <c:v>Базовое значение</c:v>
          </c:tx>
          <c:spPr>
            <a:ln w="28575" cap="rnd">
              <a:solidFill>
                <a:schemeClr val="accent3"/>
              </a:solidFill>
              <a:round/>
            </a:ln>
            <a:effectLst/>
          </c:spPr>
          <c:marker>
            <c:symbol val="none"/>
          </c:marker>
          <c:val>
            <c:numRef>
              <c:f>кривые!$P$5:$P$104</c:f>
              <c:numCache>
                <c:formatCode>0.00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1"/>
          <c:tx>
            <c:v>А++</c:v>
          </c:tx>
          <c:spPr>
            <a:ln w="28575" cap="rnd">
              <a:solidFill>
                <a:srgbClr val="92D050"/>
              </a:solidFill>
              <a:round/>
            </a:ln>
            <a:effectLst/>
          </c:spPr>
          <c:marker>
            <c:symbol val="none"/>
          </c:marker>
          <c:val>
            <c:numRef>
              <c:f>кривые!$S$5:$S$104</c:f>
              <c:numCache>
                <c:formatCode>0.00</c:formatCode>
                <c:ptCount val="10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1"/>
        </c:ser>
        <c:dLbls>
          <c:showLegendKey val="0"/>
          <c:showVal val="0"/>
          <c:showCatName val="0"/>
          <c:showSerName val="0"/>
          <c:showPercent val="0"/>
          <c:showBubbleSize val="0"/>
        </c:dLbls>
        <c:marker val="1"/>
        <c:smooth val="0"/>
        <c:axId val="848624752"/>
        <c:axId val="848625312"/>
      </c:lineChart>
      <c:catAx>
        <c:axId val="848624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a:t>
                </a:r>
                <a:r>
                  <a:rPr lang="ru-RU" baseline="0">
                    <a:solidFill>
                      <a:schemeClr val="tx1"/>
                    </a:solidFill>
                  </a:rPr>
                  <a:t> </a:t>
                </a:r>
                <a:r>
                  <a:rPr lang="ru-RU">
                    <a:solidFill>
                      <a:schemeClr val="tx1"/>
                    </a:solidFill>
                  </a:rPr>
                  <a:t>МКД в России</a:t>
                </a:r>
              </a:p>
            </c:rich>
          </c:tx>
          <c:layout>
            <c:manualLayout>
              <c:xMode val="edge"/>
              <c:yMode val="edge"/>
              <c:x val="0.36746240881784298"/>
              <c:y val="0.84902778416217384"/>
            </c:manualLayout>
          </c:layout>
          <c:overlay val="0"/>
          <c:spPr>
            <a:noFill/>
            <a:ln>
              <a:noFill/>
            </a:ln>
            <a:effectLst/>
          </c:spPr>
        </c:title>
        <c:numFmt formatCode="0%" sourceLinked="0"/>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8625312"/>
        <c:crosses val="autoZero"/>
        <c:auto val="1"/>
        <c:lblAlgn val="ctr"/>
        <c:lblOffset val="500"/>
        <c:tickLblSkip val="5"/>
        <c:tickMarkSkip val="10"/>
        <c:noMultiLvlLbl val="0"/>
      </c:catAx>
      <c:valAx>
        <c:axId val="848625312"/>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endParaRPr lang="ru-RU" i="1">
                  <a:solidFill>
                    <a:schemeClr val="tx1"/>
                  </a:solidFill>
                </a:endParaRPr>
              </a:p>
            </c:rich>
          </c:tx>
          <c:layout>
            <c:manualLayout>
              <c:xMode val="edge"/>
              <c:yMode val="edge"/>
              <c:x val="3.7721672562339888E-2"/>
              <c:y val="2.4467922116219495E-2"/>
            </c:manualLayout>
          </c:layout>
          <c:overlay val="0"/>
          <c:spPr>
            <a:solidFill>
              <a:schemeClr val="bg1"/>
            </a:solid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8624752"/>
        <c:crosses val="autoZero"/>
        <c:crossBetween val="between"/>
      </c:valAx>
      <c:spPr>
        <a:noFill/>
        <a:ln>
          <a:noFill/>
        </a:ln>
        <a:effectLst/>
      </c:spPr>
    </c:plotArea>
    <c:legend>
      <c:legendPos val="b"/>
      <c:layout>
        <c:manualLayout>
          <c:xMode val="edge"/>
          <c:yMode val="edge"/>
          <c:x val="0.85915910076457935"/>
          <c:y val="4.3289113674144696E-2"/>
          <c:w val="0.14084089923542192"/>
          <c:h val="0.935066329488782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mj-lt"/>
                <a:ea typeface="+mn-ea"/>
                <a:cs typeface="+mn-cs"/>
              </a:defRPr>
            </a:pPr>
            <a:r>
              <a:rPr lang="ru-RU" sz="1550">
                <a:solidFill>
                  <a:schemeClr val="tx1"/>
                </a:solidFill>
                <a:latin typeface="+mj-lt"/>
              </a:rPr>
              <a:t>Примерный график погашения кредита на капитальный ремонт</a:t>
            </a:r>
          </a:p>
        </c:rich>
      </c:tx>
      <c:layout>
        <c:manualLayout>
          <c:xMode val="edge"/>
          <c:yMode val="edge"/>
          <c:x val="0.13245322746912902"/>
          <c:y val="4.0877390326209224E-3"/>
        </c:manualLayout>
      </c:layout>
      <c:overlay val="0"/>
      <c:spPr>
        <a:noFill/>
        <a:ln>
          <a:noFill/>
        </a:ln>
        <a:effectLst/>
      </c:spPr>
    </c:title>
    <c:autoTitleDeleted val="0"/>
    <c:plotArea>
      <c:layout>
        <c:manualLayout>
          <c:layoutTarget val="inner"/>
          <c:xMode val="edge"/>
          <c:yMode val="edge"/>
          <c:x val="7.261026912025971E-2"/>
          <c:y val="0.14134008248968891"/>
          <c:w val="0.91080545990247064"/>
          <c:h val="0.59306411698537687"/>
        </c:manualLayout>
      </c:layout>
      <c:barChart>
        <c:barDir val="col"/>
        <c:grouping val="stacked"/>
        <c:varyColors val="0"/>
        <c:ser>
          <c:idx val="1"/>
          <c:order val="0"/>
          <c:tx>
            <c:strRef>
              <c:f>'Экономический расчет'!$J$118</c:f>
              <c:strCache>
                <c:ptCount val="1"/>
                <c:pt idx="0">
                  <c:v>Проценты, уплачиваемые собственниками (не возмещаются)</c:v>
                </c:pt>
              </c:strCache>
            </c:strRef>
          </c:tx>
          <c:spPr>
            <a:solidFill>
              <a:srgbClr val="FF9933">
                <a:alpha val="75000"/>
              </a:srgbClr>
            </a:solidFill>
            <a:ln w="3175">
              <a:solidFill>
                <a:schemeClr val="tx1">
                  <a:alpha val="10000"/>
                </a:schemeClr>
              </a:solidFill>
            </a:ln>
            <a:effectLst/>
          </c:spPr>
          <c:invertIfNegative val="0"/>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расчет'!$J$121:$J$180</c:f>
              <c:numCache>
                <c:formatCode>#,##0.00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xmlns:c16r2="http://schemas.microsoft.com/office/drawing/2015/06/chart">
            <c:ext xmlns:c16="http://schemas.microsoft.com/office/drawing/2014/chart" uri="{C3380CC4-5D6E-409C-BE32-E72D297353CC}">
              <c16:uniqueId val="{00000000-9230-F547-B540-65A6707A9EF0}"/>
            </c:ext>
          </c:extLst>
        </c:ser>
        <c:ser>
          <c:idx val="0"/>
          <c:order val="1"/>
          <c:tx>
            <c:strRef>
              <c:f>'Экономический расчет'!$I$118</c:f>
              <c:strCache>
                <c:ptCount val="1"/>
                <c:pt idx="0">
                  <c:v>Проценты, подлежащие возмещению Фондом ЖКХ</c:v>
                </c:pt>
              </c:strCache>
            </c:strRef>
          </c:tx>
          <c:spPr>
            <a:solidFill>
              <a:srgbClr val="92D050">
                <a:alpha val="67000"/>
              </a:srgbClr>
            </a:solidFill>
            <a:ln w="3175">
              <a:solidFill>
                <a:schemeClr val="tx1">
                  <a:alpha val="10000"/>
                </a:schemeClr>
              </a:solidFill>
            </a:ln>
            <a:effectLst/>
          </c:spPr>
          <c:invertIfNegative val="0"/>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расчет'!$I$121:$I$180</c:f>
              <c:numCache>
                <c:formatCode>#,##0.00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xmlns:c16r2="http://schemas.microsoft.com/office/drawing/2015/06/chart">
            <c:ext xmlns:c16="http://schemas.microsoft.com/office/drawing/2014/chart" uri="{C3380CC4-5D6E-409C-BE32-E72D297353CC}">
              <c16:uniqueId val="{00000001-9230-F547-B540-65A6707A9EF0}"/>
            </c:ext>
          </c:extLst>
        </c:ser>
        <c:ser>
          <c:idx val="2"/>
          <c:order val="3"/>
          <c:tx>
            <c:strRef>
              <c:f>'Экономический расчет'!$F$119</c:f>
              <c:strCache>
                <c:ptCount val="1"/>
                <c:pt idx="0">
                  <c:v>Возврат долга по гафику</c:v>
                </c:pt>
              </c:strCache>
            </c:strRef>
          </c:tx>
          <c:spPr>
            <a:solidFill>
              <a:srgbClr val="0070C0">
                <a:alpha val="45000"/>
              </a:srgbClr>
            </a:solidFill>
            <a:ln w="3175">
              <a:solidFill>
                <a:schemeClr val="tx1">
                  <a:alpha val="10000"/>
                </a:schemeClr>
              </a:solidFill>
            </a:ln>
            <a:effectLst/>
          </c:spPr>
          <c:invertIfNegative val="0"/>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расчет'!$F$121:$F$180</c:f>
              <c:numCache>
                <c:formatCode>#,##0.00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xmlns:c16r2="http://schemas.microsoft.com/office/drawing/2015/06/chart">
            <c:ext xmlns:c16="http://schemas.microsoft.com/office/drawing/2014/chart" uri="{C3380CC4-5D6E-409C-BE32-E72D297353CC}">
              <c16:uniqueId val="{00000002-9230-F547-B540-65A6707A9EF0}"/>
            </c:ext>
          </c:extLst>
        </c:ser>
        <c:dLbls>
          <c:showLegendKey val="0"/>
          <c:showVal val="0"/>
          <c:showCatName val="0"/>
          <c:showSerName val="0"/>
          <c:showPercent val="0"/>
          <c:showBubbleSize val="0"/>
        </c:dLbls>
        <c:gapWidth val="0"/>
        <c:overlap val="100"/>
        <c:axId val="848635952"/>
        <c:axId val="848636512"/>
      </c:barChart>
      <c:lineChart>
        <c:grouping val="standard"/>
        <c:varyColors val="0"/>
        <c:ser>
          <c:idx val="3"/>
          <c:order val="2"/>
          <c:tx>
            <c:strRef>
              <c:f>'Экономический расчет'!$N$119</c:f>
              <c:strCache>
                <c:ptCount val="1"/>
                <c:pt idx="0">
                  <c:v>Баланс остатков после оплаты кредита за счёт усредненного взноса</c:v>
                </c:pt>
              </c:strCache>
            </c:strRef>
          </c:tx>
          <c:spPr>
            <a:ln w="19050">
              <a:solidFill>
                <a:srgbClr val="9E0000"/>
              </a:solidFill>
              <a:prstDash val="solid"/>
            </a:ln>
          </c:spPr>
          <c:marker>
            <c:symbol val="none"/>
          </c:marker>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расчет'!$N$121:$N$180</c:f>
              <c:numCache>
                <c:formatCode>#,##0.00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ser>
        <c:dLbls>
          <c:showLegendKey val="0"/>
          <c:showVal val="0"/>
          <c:showCatName val="0"/>
          <c:showSerName val="0"/>
          <c:showPercent val="0"/>
          <c:showBubbleSize val="0"/>
        </c:dLbls>
        <c:marker val="1"/>
        <c:smooth val="0"/>
        <c:axId val="848635952"/>
        <c:axId val="848636512"/>
      </c:lineChart>
      <c:dateAx>
        <c:axId val="848635952"/>
        <c:scaling>
          <c:orientation val="minMax"/>
        </c:scaling>
        <c:delete val="0"/>
        <c:axPos val="b"/>
        <c:majorGridlines>
          <c:spPr>
            <a:ln w="3175" cap="flat" cmpd="sng" algn="ctr">
              <a:solidFill>
                <a:schemeClr val="tx1">
                  <a:lumMod val="15000"/>
                  <a:lumOff val="85000"/>
                </a:schemeClr>
              </a:solidFill>
              <a:round/>
            </a:ln>
            <a:effectLst/>
          </c:spPr>
        </c:majorGridlines>
        <c:numFmt formatCode="mmm\ yyyy" sourceLinked="0"/>
        <c:majorTickMark val="cross"/>
        <c:minorTickMark val="none"/>
        <c:tickLblPos val="low"/>
        <c:spPr>
          <a:noFill/>
          <a:ln w="3175" cap="flat" cmpd="sng" algn="ctr">
            <a:solidFill>
              <a:schemeClr val="tx1"/>
            </a:solidFill>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ru-RU"/>
          </a:p>
        </c:txPr>
        <c:crossAx val="848636512"/>
        <c:crosses val="autoZero"/>
        <c:auto val="0"/>
        <c:lblOffset val="80"/>
        <c:baseTimeUnit val="months"/>
        <c:majorUnit val="6"/>
        <c:majorTimeUnit val="months"/>
        <c:minorUnit val="3"/>
        <c:minorTimeUnit val="months"/>
      </c:dateAx>
      <c:valAx>
        <c:axId val="848636512"/>
        <c:scaling>
          <c:orientation val="minMax"/>
          <c:min val="0"/>
        </c:scaling>
        <c:delete val="0"/>
        <c:axPos val="l"/>
        <c:majorGridlines>
          <c:spPr>
            <a:ln w="3175" cap="flat" cmpd="sng" algn="ctr">
              <a:solidFill>
                <a:schemeClr val="tx1">
                  <a:lumMod val="15000"/>
                  <a:lumOff val="85000"/>
                </a:schemeClr>
              </a:solidFill>
              <a:round/>
            </a:ln>
            <a:effectLst/>
          </c:spPr>
        </c:majorGridlines>
        <c:title>
          <c:tx>
            <c:rich>
              <a:bodyPr/>
              <a:lstStyle/>
              <a:p>
                <a:pPr>
                  <a:defRPr b="0" i="1">
                    <a:latin typeface="+mj-lt"/>
                  </a:defRPr>
                </a:pPr>
                <a:r>
                  <a:rPr lang="ru-RU" b="0" i="1">
                    <a:latin typeface="+mj-lt"/>
                  </a:rPr>
                  <a:t>тыс. рублей</a:t>
                </a:r>
              </a:p>
            </c:rich>
          </c:tx>
          <c:layout>
            <c:manualLayout>
              <c:xMode val="edge"/>
              <c:yMode val="edge"/>
              <c:x val="2.0004911711786079E-4"/>
              <c:y val="0.29343157105361867"/>
            </c:manualLayout>
          </c:layout>
          <c:overlay val="0"/>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mj-lt"/>
                <a:ea typeface="+mn-ea"/>
                <a:cs typeface="+mn-cs"/>
              </a:defRPr>
            </a:pPr>
            <a:endParaRPr lang="ru-RU"/>
          </a:p>
        </c:txPr>
        <c:crossAx val="848635952"/>
        <c:crosses val="autoZero"/>
        <c:crossBetween val="between"/>
        <c:dispUnits>
          <c:builtInUnit val="thousands"/>
        </c:dispUnits>
      </c:valAx>
      <c:spPr>
        <a:noFill/>
        <a:ln>
          <a:noFill/>
        </a:ln>
        <a:effectLst/>
      </c:spPr>
    </c:plotArea>
    <c:legend>
      <c:legendPos val="b"/>
      <c:layout>
        <c:manualLayout>
          <c:xMode val="edge"/>
          <c:yMode val="edge"/>
          <c:x val="1.2043034690618614E-2"/>
          <c:y val="0.84793438320209968"/>
          <c:w val="0.97171445596175554"/>
          <c:h val="0.1520656167979005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089" l="0.70000000000000062" r="0.70000000000000062" t="0.75000000000000089"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mj-lt"/>
              </a:defRPr>
            </a:pPr>
            <a:r>
              <a:rPr lang="ru-RU" sz="1400" b="0" i="0" baseline="0">
                <a:effectLst/>
                <a:latin typeface="+mj-lt"/>
              </a:rPr>
              <a:t>Необходимый размер взноса на капитальный ремонт </a:t>
            </a:r>
            <a:endParaRPr lang="ru-RU" sz="1400">
              <a:effectLst/>
              <a:latin typeface="+mj-lt"/>
            </a:endParaRPr>
          </a:p>
        </c:rich>
      </c:tx>
      <c:layout>
        <c:manualLayout>
          <c:xMode val="edge"/>
          <c:yMode val="edge"/>
          <c:x val="0.11777701653038078"/>
          <c:y val="8.9956193198270484E-3"/>
        </c:manualLayout>
      </c:layout>
      <c:overlay val="1"/>
    </c:title>
    <c:autoTitleDeleted val="0"/>
    <c:plotArea>
      <c:layout>
        <c:manualLayout>
          <c:layoutTarget val="inner"/>
          <c:xMode val="edge"/>
          <c:yMode val="edge"/>
          <c:x val="0.13917991297025817"/>
          <c:y val="0.22777987484243736"/>
          <c:w val="0.52484138572046257"/>
          <c:h val="0.60108811680488838"/>
        </c:manualLayout>
      </c:layout>
      <c:lineChart>
        <c:grouping val="standard"/>
        <c:varyColors val="0"/>
        <c:ser>
          <c:idx val="1"/>
          <c:order val="0"/>
          <c:tx>
            <c:strRef>
              <c:f>'Экономический расчет'!$K$119</c:f>
              <c:strCache>
                <c:ptCount val="1"/>
                <c:pt idx="0">
                  <c:v>Без учета финансовой поддержки
Фонда ЖКХ</c:v>
                </c:pt>
              </c:strCache>
            </c:strRef>
          </c:tx>
          <c:spPr>
            <a:ln w="25400">
              <a:solidFill>
                <a:srgbClr val="0070C0"/>
              </a:solidFill>
            </a:ln>
          </c:spPr>
          <c:marker>
            <c:symbol val="none"/>
          </c:marker>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расчет'!$K$121:$K$180</c:f>
              <c:numCache>
                <c:formatCode>#,##0.00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ser>
        <c:ser>
          <c:idx val="0"/>
          <c:order val="1"/>
          <c:tx>
            <c:strRef>
              <c:f>'Экономический расчет'!$L$119</c:f>
              <c:strCache>
                <c:ptCount val="1"/>
                <c:pt idx="0">
                  <c:v>С учетом финансовой поддержки
Фонда ЖКХ</c:v>
                </c:pt>
              </c:strCache>
            </c:strRef>
          </c:tx>
          <c:spPr>
            <a:ln w="25400">
              <a:solidFill>
                <a:srgbClr val="92D050"/>
              </a:solidFill>
            </a:ln>
          </c:spPr>
          <c:marker>
            <c:symbol val="none"/>
          </c:marker>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расчет'!$M$121:$M$180</c:f>
              <c:numCache>
                <c:formatCode>#,##0.00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ser>
        <c:ser>
          <c:idx val="2"/>
          <c:order val="2"/>
          <c:tx>
            <c:strRef>
              <c:f>'Экономический расчет'!$Q$120</c:f>
              <c:strCache>
                <c:ptCount val="1"/>
                <c:pt idx="0">
                  <c:v>Текущий размер взноса</c:v>
                </c:pt>
              </c:strCache>
            </c:strRef>
          </c:tx>
          <c:spPr>
            <a:ln w="25400">
              <a:solidFill>
                <a:schemeClr val="bg1">
                  <a:lumMod val="75000"/>
                </a:schemeClr>
              </a:solidFill>
              <a:prstDash val="sysDash"/>
            </a:ln>
          </c:spPr>
          <c:marker>
            <c:symbol val="none"/>
          </c:marker>
          <c:cat>
            <c:numRef>
              <c:f>'Экономический расчет'!$C$121:$C$180</c:f>
              <c:numCache>
                <c:formatCode>m/d/yyyy</c:formatCode>
                <c:ptCount val="60"/>
                <c:pt idx="0">
                  <c:v>43724</c:v>
                </c:pt>
                <c:pt idx="1">
                  <c:v>43754</c:v>
                </c:pt>
                <c:pt idx="2">
                  <c:v>43785</c:v>
                </c:pt>
                <c:pt idx="3">
                  <c:v>43815</c:v>
                </c:pt>
                <c:pt idx="4">
                  <c:v>43846</c:v>
                </c:pt>
                <c:pt idx="5">
                  <c:v>43877</c:v>
                </c:pt>
                <c:pt idx="6">
                  <c:v>43906</c:v>
                </c:pt>
                <c:pt idx="7">
                  <c:v>43937</c:v>
                </c:pt>
                <c:pt idx="8">
                  <c:v>43967</c:v>
                </c:pt>
                <c:pt idx="9">
                  <c:v>43998</c:v>
                </c:pt>
                <c:pt idx="10">
                  <c:v>44028</c:v>
                </c:pt>
                <c:pt idx="11">
                  <c:v>44059</c:v>
                </c:pt>
                <c:pt idx="12">
                  <c:v>44090</c:v>
                </c:pt>
                <c:pt idx="13">
                  <c:v>44120</c:v>
                </c:pt>
                <c:pt idx="14">
                  <c:v>44151</c:v>
                </c:pt>
                <c:pt idx="15">
                  <c:v>44181</c:v>
                </c:pt>
                <c:pt idx="16">
                  <c:v>44212</c:v>
                </c:pt>
                <c:pt idx="17">
                  <c:v>44243</c:v>
                </c:pt>
                <c:pt idx="18">
                  <c:v>44271</c:v>
                </c:pt>
                <c:pt idx="19">
                  <c:v>44302</c:v>
                </c:pt>
                <c:pt idx="20">
                  <c:v>44332</c:v>
                </c:pt>
                <c:pt idx="21">
                  <c:v>44363</c:v>
                </c:pt>
                <c:pt idx="22">
                  <c:v>44393</c:v>
                </c:pt>
                <c:pt idx="23">
                  <c:v>44424</c:v>
                </c:pt>
                <c:pt idx="24">
                  <c:v>44455</c:v>
                </c:pt>
                <c:pt idx="25">
                  <c:v>44485</c:v>
                </c:pt>
                <c:pt idx="26">
                  <c:v>44516</c:v>
                </c:pt>
                <c:pt idx="27">
                  <c:v>44546</c:v>
                </c:pt>
                <c:pt idx="28">
                  <c:v>44577</c:v>
                </c:pt>
                <c:pt idx="29">
                  <c:v>44608</c:v>
                </c:pt>
                <c:pt idx="30">
                  <c:v>44636</c:v>
                </c:pt>
                <c:pt idx="31">
                  <c:v>44667</c:v>
                </c:pt>
                <c:pt idx="32">
                  <c:v>44697</c:v>
                </c:pt>
                <c:pt idx="33">
                  <c:v>44728</c:v>
                </c:pt>
                <c:pt idx="34">
                  <c:v>44758</c:v>
                </c:pt>
                <c:pt idx="35">
                  <c:v>44789</c:v>
                </c:pt>
                <c:pt idx="36">
                  <c:v>44820</c:v>
                </c:pt>
                <c:pt idx="37">
                  <c:v>44850</c:v>
                </c:pt>
                <c:pt idx="38">
                  <c:v>44881</c:v>
                </c:pt>
                <c:pt idx="39">
                  <c:v>44911</c:v>
                </c:pt>
                <c:pt idx="40">
                  <c:v>44942</c:v>
                </c:pt>
                <c:pt idx="41">
                  <c:v>44973</c:v>
                </c:pt>
                <c:pt idx="42">
                  <c:v>45001</c:v>
                </c:pt>
                <c:pt idx="43">
                  <c:v>45032</c:v>
                </c:pt>
                <c:pt idx="44">
                  <c:v>45062</c:v>
                </c:pt>
                <c:pt idx="45">
                  <c:v>45093</c:v>
                </c:pt>
                <c:pt idx="46">
                  <c:v>45123</c:v>
                </c:pt>
                <c:pt idx="47">
                  <c:v>45154</c:v>
                </c:pt>
                <c:pt idx="48">
                  <c:v>45185</c:v>
                </c:pt>
                <c:pt idx="49">
                  <c:v>45215</c:v>
                </c:pt>
                <c:pt idx="50">
                  <c:v>45246</c:v>
                </c:pt>
                <c:pt idx="51">
                  <c:v>45276</c:v>
                </c:pt>
                <c:pt idx="52">
                  <c:v>45307</c:v>
                </c:pt>
                <c:pt idx="53">
                  <c:v>45338</c:v>
                </c:pt>
                <c:pt idx="54">
                  <c:v>45367</c:v>
                </c:pt>
                <c:pt idx="55">
                  <c:v>45398</c:v>
                </c:pt>
                <c:pt idx="56">
                  <c:v>45428</c:v>
                </c:pt>
                <c:pt idx="57">
                  <c:v>45459</c:v>
                </c:pt>
                <c:pt idx="58">
                  <c:v>45489</c:v>
                </c:pt>
                <c:pt idx="59">
                  <c:v>45520</c:v>
                </c:pt>
              </c:numCache>
            </c:numRef>
          </c:cat>
          <c:val>
            <c:numRef>
              <c:f>'Экономический расчет'!$Q$121:$Q$180</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ser>
        <c:dLbls>
          <c:showLegendKey val="0"/>
          <c:showVal val="0"/>
          <c:showCatName val="0"/>
          <c:showSerName val="0"/>
          <c:showPercent val="0"/>
          <c:showBubbleSize val="0"/>
        </c:dLbls>
        <c:smooth val="0"/>
        <c:axId val="848640432"/>
        <c:axId val="848640992"/>
      </c:lineChart>
      <c:dateAx>
        <c:axId val="848640432"/>
        <c:scaling>
          <c:orientation val="minMax"/>
        </c:scaling>
        <c:delete val="0"/>
        <c:axPos val="b"/>
        <c:majorGridlines>
          <c:spPr>
            <a:ln w="3175">
              <a:solidFill>
                <a:schemeClr val="bg1">
                  <a:lumMod val="85000"/>
                </a:schemeClr>
              </a:solidFill>
            </a:ln>
          </c:spPr>
        </c:majorGridlines>
        <c:numFmt formatCode="yyyy" sourceLinked="0"/>
        <c:majorTickMark val="cross"/>
        <c:minorTickMark val="none"/>
        <c:tickLblPos val="nextTo"/>
        <c:spPr>
          <a:ln w="3175">
            <a:solidFill>
              <a:schemeClr val="tx1"/>
            </a:solidFill>
          </a:ln>
        </c:spPr>
        <c:txPr>
          <a:bodyPr/>
          <a:lstStyle/>
          <a:p>
            <a:pPr>
              <a:defRPr sz="900"/>
            </a:pPr>
            <a:endParaRPr lang="ru-RU"/>
          </a:p>
        </c:txPr>
        <c:crossAx val="848640992"/>
        <c:crosses val="autoZero"/>
        <c:auto val="0"/>
        <c:lblOffset val="100"/>
        <c:baseTimeUnit val="months"/>
        <c:majorUnit val="14"/>
        <c:majorTimeUnit val="months"/>
        <c:minorUnit val="7"/>
        <c:minorTimeUnit val="months"/>
      </c:dateAx>
      <c:valAx>
        <c:axId val="848640992"/>
        <c:scaling>
          <c:orientation val="minMax"/>
        </c:scaling>
        <c:delete val="0"/>
        <c:axPos val="l"/>
        <c:majorGridlines>
          <c:spPr>
            <a:ln w="3175">
              <a:solidFill>
                <a:schemeClr val="bg1">
                  <a:lumMod val="85000"/>
                </a:schemeClr>
              </a:solidFill>
            </a:ln>
          </c:spPr>
        </c:majorGridlines>
        <c:title>
          <c:tx>
            <c:rich>
              <a:bodyPr/>
              <a:lstStyle/>
              <a:p>
                <a:pPr>
                  <a:defRPr/>
                </a:pPr>
                <a:r>
                  <a:rPr lang="ru-RU" b="0" i="1">
                    <a:latin typeface="+mj-lt"/>
                  </a:rPr>
                  <a:t>руб./кв.м</a:t>
                </a:r>
              </a:p>
            </c:rich>
          </c:tx>
          <c:overlay val="0"/>
        </c:title>
        <c:numFmt formatCode="#,##0" sourceLinked="0"/>
        <c:majorTickMark val="none"/>
        <c:minorTickMark val="none"/>
        <c:tickLblPos val="nextTo"/>
        <c:spPr>
          <a:ln w="3175">
            <a:solidFill>
              <a:schemeClr val="tx1"/>
            </a:solidFill>
          </a:ln>
        </c:spPr>
        <c:txPr>
          <a:bodyPr/>
          <a:lstStyle/>
          <a:p>
            <a:pPr>
              <a:defRPr sz="1050">
                <a:latin typeface="+mj-lt"/>
              </a:defRPr>
            </a:pPr>
            <a:endParaRPr lang="ru-RU"/>
          </a:p>
        </c:txPr>
        <c:crossAx val="848640432"/>
        <c:crosses val="autoZero"/>
        <c:crossBetween val="midCat"/>
      </c:valAx>
    </c:plotArea>
    <c:legend>
      <c:legendPos val="r"/>
      <c:layout>
        <c:manualLayout>
          <c:xMode val="edge"/>
          <c:yMode val="edge"/>
          <c:x val="0.69055812343466838"/>
          <c:y val="0.20781348950598294"/>
          <c:w val="0.30944187656533162"/>
          <c:h val="0.75295504432052873"/>
        </c:manualLayout>
      </c:layout>
      <c:overlay val="0"/>
      <c:txPr>
        <a:bodyPr/>
        <a:lstStyle/>
        <a:p>
          <a:pPr>
            <a:defRPr sz="800">
              <a:latin typeface="+mj-lt"/>
            </a:defRPr>
          </a:pPr>
          <a:endParaRPr lang="ru-RU"/>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mj-lt"/>
              </a:defRPr>
            </a:pPr>
            <a:r>
              <a:rPr lang="ru-RU" sz="1200" b="0">
                <a:latin typeface="+mj-lt"/>
              </a:rPr>
              <a:t>Вклад выбранных мероприятий в ожидаемую (расчетную) экономию затрат на коммунальные ресурсы</a:t>
            </a:r>
          </a:p>
        </c:rich>
      </c:tx>
      <c:layout>
        <c:manualLayout>
          <c:xMode val="edge"/>
          <c:yMode val="edge"/>
          <c:x val="0.14622375114569891"/>
          <c:y val="1.5822692336866041E-2"/>
        </c:manualLayout>
      </c:layout>
      <c:overlay val="0"/>
    </c:title>
    <c:autoTitleDeleted val="0"/>
    <c:plotArea>
      <c:layout>
        <c:manualLayout>
          <c:layoutTarget val="inner"/>
          <c:xMode val="edge"/>
          <c:yMode val="edge"/>
          <c:x val="0.51022994047477155"/>
          <c:y val="0.11959043821134269"/>
          <c:w val="0.44341440394699638"/>
          <c:h val="0.81873157332557589"/>
        </c:manualLayout>
      </c:layout>
      <c:barChart>
        <c:barDir val="bar"/>
        <c:grouping val="clustered"/>
        <c:varyColors val="0"/>
        <c:ser>
          <c:idx val="0"/>
          <c:order val="0"/>
          <c:spPr>
            <a:ln>
              <a:noFill/>
            </a:ln>
          </c:spPr>
          <c:invertIfNegative val="0"/>
          <c:val>
            <c:numRef>
              <c:f>'Экономический расчет'!$P$5:$P$29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5="http://schemas.microsoft.com/office/drawing/2012/chart" uri="{02D57815-91ED-43cb-92C2-25804820EDAC}">
              <c15:filteredCategoryTitle>
                <c15:cat>
                  <c:multiLvlStrRef>
                    <c:extLst>
                      <c:ext uri="{02D57815-91ED-43cb-92C2-25804820EDAC}">
                        <c15:formulaRef>
                          <c15:sqref>'Экономический расчет'!$O$5:$O$29</c15:sqref>
                        </c15:formulaRef>
                      </c:ext>
                    </c:extLst>
                  </c:multiLvlStrRef>
                </c15:cat>
              </c15:filteredCategoryTitle>
            </c:ext>
          </c:extLst>
        </c:ser>
        <c:dLbls>
          <c:showLegendKey val="0"/>
          <c:showVal val="0"/>
          <c:showCatName val="0"/>
          <c:showSerName val="0"/>
          <c:showPercent val="0"/>
          <c:showBubbleSize val="0"/>
        </c:dLbls>
        <c:gapWidth val="182"/>
        <c:axId val="848643792"/>
        <c:axId val="848644352"/>
      </c:barChart>
      <c:catAx>
        <c:axId val="848643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ln>
                  <a:noFill/>
                </a:ln>
                <a:solidFill>
                  <a:schemeClr val="tx1"/>
                </a:solidFill>
                <a:latin typeface="+mj-lt"/>
                <a:ea typeface="+mn-ea"/>
                <a:cs typeface="Arial" panose="020B0604020202020204" pitchFamily="34" charset="0"/>
              </a:defRPr>
            </a:pPr>
            <a:endParaRPr lang="ru-RU"/>
          </a:p>
        </c:txPr>
        <c:crossAx val="848644352"/>
        <c:crosses val="autoZero"/>
        <c:auto val="0"/>
        <c:lblAlgn val="ctr"/>
        <c:lblOffset val="100"/>
        <c:noMultiLvlLbl val="0"/>
      </c:catAx>
      <c:valAx>
        <c:axId val="848644352"/>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ru-RU"/>
          </a:p>
        </c:txPr>
        <c:crossAx val="848643792"/>
        <c:crosses val="autoZero"/>
        <c:crossBetween val="between"/>
        <c:majorUnit val="0.2"/>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ru-RU" sz="1400">
                <a:solidFill>
                  <a:schemeClr val="tx1"/>
                </a:solidFill>
                <a:latin typeface="+mj-lt"/>
              </a:rPr>
              <a:t>Совокупный расход</a:t>
            </a:r>
            <a:r>
              <a:rPr lang="ru-RU" sz="1400" baseline="0">
                <a:solidFill>
                  <a:schemeClr val="tx1"/>
                </a:solidFill>
                <a:latin typeface="+mj-lt"/>
              </a:rPr>
              <a:t> энергоресурсов</a:t>
            </a:r>
            <a:endParaRPr lang="ru-RU" sz="1400">
              <a:solidFill>
                <a:schemeClr val="tx1"/>
              </a:solidFill>
              <a:latin typeface="+mj-lt"/>
            </a:endParaRPr>
          </a:p>
        </c:rich>
      </c:tx>
      <c:layout>
        <c:manualLayout>
          <c:xMode val="edge"/>
          <c:yMode val="edge"/>
          <c:x val="0.31212126950612734"/>
          <c:y val="3.3086859161681336E-3"/>
        </c:manualLayout>
      </c:layout>
      <c:overlay val="0"/>
      <c:spPr>
        <a:solidFill>
          <a:schemeClr val="bg1"/>
        </a:solidFill>
        <a:ln>
          <a:noFill/>
        </a:ln>
        <a:effectLst/>
      </c:spPr>
    </c:title>
    <c:autoTitleDeleted val="0"/>
    <c:plotArea>
      <c:layout>
        <c:manualLayout>
          <c:layoutTarget val="inner"/>
          <c:xMode val="edge"/>
          <c:yMode val="edge"/>
          <c:x val="3.3168114447085902E-2"/>
          <c:y val="3.8434509655024637E-2"/>
          <c:w val="0.77946636426841753"/>
          <c:h val="0.82180803746837228"/>
        </c:manualLayout>
      </c:layout>
      <c:barChart>
        <c:barDir val="col"/>
        <c:grouping val="clustered"/>
        <c:varyColors val="0"/>
        <c:ser>
          <c:idx val="0"/>
          <c:order val="2"/>
          <c:tx>
            <c:v>A++</c:v>
          </c:tx>
          <c:spPr>
            <a:pattFill prst="ltHorz">
              <a:fgClr>
                <a:schemeClr val="bg1"/>
              </a:fgClr>
              <a:bgClr>
                <a:srgbClr val="9EE85A"/>
              </a:bgClr>
            </a:pattFill>
            <a:ln w="19050">
              <a:gradFill flip="none" rotWithShape="1">
                <a:gsLst>
                  <a:gs pos="30000">
                    <a:schemeClr val="accent1">
                      <a:lumMod val="5000"/>
                      <a:lumOff val="95000"/>
                    </a:schemeClr>
                  </a:gs>
                  <a:gs pos="75000">
                    <a:srgbClr val="9EE85A"/>
                  </a:gs>
                  <a:gs pos="100000">
                    <a:srgbClr val="9EE85A"/>
                  </a:gs>
                  <a:gs pos="100000">
                    <a:schemeClr val="accent1">
                      <a:lumMod val="30000"/>
                      <a:lumOff val="70000"/>
                    </a:schemeClr>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кривые!$E$5:$E$104</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3"/>
          <c:tx>
            <c:v>A+</c:v>
          </c:tx>
          <c:spPr>
            <a:pattFill prst="ltHorz">
              <a:fgClr>
                <a:schemeClr val="bg1"/>
              </a:fgClr>
              <a:bgClr>
                <a:srgbClr val="00CC66"/>
              </a:bgClr>
            </a:pattFill>
            <a:ln w="19050" cap="sq" cmpd="sng">
              <a:gradFill flip="none" rotWithShape="1">
                <a:gsLst>
                  <a:gs pos="30000">
                    <a:schemeClr val="bg1"/>
                  </a:gs>
                  <a:gs pos="100000">
                    <a:srgbClr val="00CC66"/>
                  </a:gs>
                  <a:gs pos="75000">
                    <a:srgbClr val="00CC66"/>
                  </a:gs>
                  <a:gs pos="100000">
                    <a:srgbClr val="00B050"/>
                  </a:gs>
                </a:gsLst>
                <a:lin ang="5400000" scaled="1"/>
                <a:tileRect/>
              </a:gradFill>
              <a:prstDash val="solid"/>
              <a:miter lim="800000"/>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кривые!$F$5:$F$104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5"/>
          <c:order val="4"/>
          <c:tx>
            <c:v>A</c:v>
          </c:tx>
          <c:spPr>
            <a:pattFill prst="ltHorz">
              <a:fgClr>
                <a:schemeClr val="bg1"/>
              </a:fgClr>
              <a:bgClr>
                <a:srgbClr val="CCFF33"/>
              </a:bgClr>
            </a:pattFill>
            <a:ln w="19685">
              <a:gradFill>
                <a:gsLst>
                  <a:gs pos="30000">
                    <a:schemeClr val="bg1"/>
                  </a:gs>
                  <a:gs pos="75000">
                    <a:srgbClr val="CCFF33"/>
                  </a:gs>
                  <a:gs pos="100000">
                    <a:srgbClr val="CCFF33"/>
                  </a:gs>
                  <a:gs pos="100000">
                    <a:schemeClr val="accent1">
                      <a:lumMod val="30000"/>
                      <a:lumOff val="70000"/>
                    </a:schemeClr>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кривые!$G$5:$G$104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6"/>
          <c:order val="5"/>
          <c:tx>
            <c:v>B</c:v>
          </c:tx>
          <c:spPr>
            <a:pattFill prst="ltHorz">
              <a:fgClr>
                <a:schemeClr val="bg1"/>
              </a:fgClr>
              <a:bgClr>
                <a:srgbClr val="FFFF00"/>
              </a:bgClr>
            </a:pattFill>
            <a:ln w="19050">
              <a:gradFill flip="none" rotWithShape="1">
                <a:gsLst>
                  <a:gs pos="30000">
                    <a:schemeClr val="bg1"/>
                  </a:gs>
                  <a:gs pos="75000">
                    <a:srgbClr val="FFFF00"/>
                  </a:gs>
                  <a:gs pos="100000">
                    <a:srgbClr val="FFFF00"/>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кривые!$H$5:$H$104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6"/>
          <c:tx>
            <c:v>C</c:v>
          </c:tx>
          <c:spPr>
            <a:pattFill prst="ltHorz">
              <a:fgClr>
                <a:srgbClr val="FFC081"/>
              </a:fgClr>
              <a:bgClr>
                <a:srgbClr val="FF9933"/>
              </a:bgClr>
            </a:pattFill>
            <a:ln w="19050">
              <a:gradFill flip="none" rotWithShape="1">
                <a:gsLst>
                  <a:gs pos="30000">
                    <a:schemeClr val="bg1">
                      <a:alpha val="93000"/>
                    </a:schemeClr>
                  </a:gs>
                  <a:gs pos="75000">
                    <a:srgbClr val="FF9933"/>
                  </a:gs>
                  <a:gs pos="100000">
                    <a:srgbClr val="FF9933"/>
                  </a:gs>
                  <a:gs pos="100000">
                    <a:schemeClr val="accent1">
                      <a:lumMod val="30000"/>
                      <a:lumOff val="70000"/>
                    </a:schemeClr>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кривые!$I$5:$I$104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8"/>
          <c:order val="7"/>
          <c:tx>
            <c:v>D</c:v>
          </c:tx>
          <c:spPr>
            <a:pattFill prst="ltHorz">
              <a:fgClr>
                <a:srgbClr val="FF964B"/>
              </a:fgClr>
              <a:bgClr>
                <a:srgbClr val="FF6600"/>
              </a:bgClr>
            </a:pattFill>
            <a:ln w="19050">
              <a:gradFill flip="none" rotWithShape="1">
                <a:gsLst>
                  <a:gs pos="30000">
                    <a:schemeClr val="bg1"/>
                  </a:gs>
                  <a:gs pos="74000">
                    <a:srgbClr val="FF6600"/>
                  </a:gs>
                  <a:gs pos="100000">
                    <a:srgbClr val="FF6600"/>
                  </a:gs>
                  <a:gs pos="100000">
                    <a:schemeClr val="accent1">
                      <a:lumMod val="30000"/>
                      <a:lumOff val="70000"/>
                    </a:schemeClr>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кривые!$J$5:$J$104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9"/>
          <c:order val="8"/>
          <c:tx>
            <c:v>E</c:v>
          </c:tx>
          <c:spPr>
            <a:pattFill prst="ltHorz">
              <a:fgClr>
                <a:srgbClr val="FF6464"/>
              </a:fgClr>
              <a:bgClr>
                <a:srgbClr val="FF0000"/>
              </a:bgClr>
            </a:pattFill>
            <a:ln w="19050">
              <a:gradFill>
                <a:gsLst>
                  <a:gs pos="40000">
                    <a:schemeClr val="bg1"/>
                  </a:gs>
                  <a:gs pos="80000">
                    <a:srgbClr val="FF0000"/>
                  </a:gs>
                  <a:gs pos="100000">
                    <a:srgbClr val="FF0000"/>
                  </a:gs>
                  <a:gs pos="100000">
                    <a:schemeClr val="accent1">
                      <a:lumMod val="30000"/>
                      <a:lumOff val="70000"/>
                    </a:schemeClr>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кривые!$K$5:$K$104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0"/>
          <c:order val="9"/>
          <c:tx>
            <c:v>F</c:v>
          </c:tx>
          <c:spPr>
            <a:pattFill prst="ltHorz">
              <a:fgClr>
                <a:srgbClr val="F03232"/>
              </a:fgClr>
              <a:bgClr>
                <a:srgbClr val="C00000"/>
              </a:bgClr>
            </a:pattFill>
            <a:ln w="19050">
              <a:gradFill>
                <a:gsLst>
                  <a:gs pos="55000">
                    <a:schemeClr val="bg1"/>
                  </a:gs>
                  <a:gs pos="85000">
                    <a:srgbClr val="C00000"/>
                  </a:gs>
                  <a:gs pos="100000">
                    <a:srgbClr val="C00000"/>
                  </a:gs>
                  <a:gs pos="100000">
                    <a:schemeClr val="accent1">
                      <a:lumMod val="30000"/>
                      <a:lumOff val="70000"/>
                    </a:schemeClr>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кривые!$L$5:$L$104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2"/>
          <c:order val="10"/>
          <c:tx>
            <c:v>G</c:v>
          </c:tx>
          <c:spPr>
            <a:pattFill prst="ltHorz">
              <a:fgClr>
                <a:srgbClr val="FF0000"/>
              </a:fgClr>
              <a:bgClr>
                <a:srgbClr val="9E0000"/>
              </a:bgClr>
            </a:pattFill>
            <a:ln w="19050">
              <a:gradFill>
                <a:gsLst>
                  <a:gs pos="0">
                    <a:schemeClr val="accent1">
                      <a:lumMod val="5000"/>
                      <a:lumOff val="95000"/>
                    </a:schemeClr>
                  </a:gs>
                  <a:gs pos="100000">
                    <a:srgbClr val="9E0000"/>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кривые!$M$5:$M$105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1"/>
          <c:tx>
            <c:v>Факт</c:v>
          </c:tx>
          <c:spPr>
            <a:solidFill>
              <a:srgbClr val="0070C0"/>
            </a:solidFill>
            <a:ln>
              <a:no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кривые!$W$5:$W$104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1"/>
          <c:order val="12"/>
          <c:tx>
            <c:v>Прогноз после КР</c:v>
          </c:tx>
          <c:spPr>
            <a:solidFill>
              <a:srgbClr val="99FF66"/>
            </a:solidFill>
            <a:ln>
              <a:solidFill>
                <a:srgbClr val="00B050"/>
              </a:solidFill>
            </a:ln>
            <a:effectLst/>
          </c:spPr>
          <c:invertIfNegative val="0"/>
          <c:val>
            <c:numRef>
              <c:f>кривые!$AA$5:$AA$104</c:f>
              <c:numCache>
                <c:formatCode>General</c:formatCode>
                <c:ptCount val="1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val>
        </c:ser>
        <c:dLbls>
          <c:showLegendKey val="0"/>
          <c:showVal val="0"/>
          <c:showCatName val="0"/>
          <c:showSerName val="0"/>
          <c:showPercent val="0"/>
          <c:showBubbleSize val="0"/>
        </c:dLbls>
        <c:gapWidth val="0"/>
        <c:overlap val="100"/>
        <c:axId val="848653312"/>
        <c:axId val="848653872"/>
      </c:barChart>
      <c:lineChart>
        <c:grouping val="standard"/>
        <c:varyColors val="0"/>
        <c:ser>
          <c:idx val="2"/>
          <c:order val="0"/>
          <c:tx>
            <c:v>Базовое значение для текущих ГСОП</c:v>
          </c:tx>
          <c:spPr>
            <a:ln w="28575" cap="rnd">
              <a:solidFill>
                <a:schemeClr val="accent3"/>
              </a:solidFill>
              <a:round/>
            </a:ln>
            <a:effectLst/>
          </c:spPr>
          <c:marker>
            <c:symbol val="none"/>
          </c:marker>
          <c:val>
            <c:numRef>
              <c:f>кривые!$P$5:$P$104</c:f>
              <c:numCache>
                <c:formatCode>0.00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1"/>
          <c:tx>
            <c:v>А++</c:v>
          </c:tx>
          <c:spPr>
            <a:ln w="28575" cap="rnd">
              <a:solidFill>
                <a:srgbClr val="92D050"/>
              </a:solidFill>
              <a:round/>
            </a:ln>
            <a:effectLst/>
          </c:spPr>
          <c:marker>
            <c:symbol val="none"/>
          </c:marker>
          <c:val>
            <c:numRef>
              <c:f>кривые!$S$5:$S$104</c:f>
              <c:numCache>
                <c:formatCode>0.00</c:formatCode>
                <c:ptCount val="10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1"/>
        </c:ser>
        <c:dLbls>
          <c:showLegendKey val="0"/>
          <c:showVal val="0"/>
          <c:showCatName val="0"/>
          <c:showSerName val="0"/>
          <c:showPercent val="0"/>
          <c:showBubbleSize val="0"/>
        </c:dLbls>
        <c:marker val="1"/>
        <c:smooth val="0"/>
        <c:axId val="848653312"/>
        <c:axId val="848653872"/>
      </c:lineChart>
      <c:catAx>
        <c:axId val="848653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a:t>
                </a:r>
                <a:r>
                  <a:rPr lang="ru-RU" baseline="0">
                    <a:solidFill>
                      <a:schemeClr val="tx1"/>
                    </a:solidFill>
                  </a:rPr>
                  <a:t> </a:t>
                </a:r>
                <a:r>
                  <a:rPr lang="ru-RU">
                    <a:solidFill>
                      <a:schemeClr val="tx1"/>
                    </a:solidFill>
                  </a:rPr>
                  <a:t>МКД в России</a:t>
                </a:r>
              </a:p>
            </c:rich>
          </c:tx>
          <c:layout>
            <c:manualLayout>
              <c:xMode val="edge"/>
              <c:yMode val="edge"/>
              <c:x val="0.36364558914868506"/>
              <c:y val="0.87298002420356235"/>
            </c:manualLayout>
          </c:layout>
          <c:overlay val="0"/>
          <c:spPr>
            <a:noFill/>
            <a:ln>
              <a:noFill/>
            </a:ln>
            <a:effectLst/>
          </c:spPr>
        </c:title>
        <c:numFmt formatCode="0%" sourceLinked="0"/>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crossAx val="848653872"/>
        <c:crosses val="autoZero"/>
        <c:auto val="1"/>
        <c:lblAlgn val="ctr"/>
        <c:lblOffset val="500"/>
        <c:tickLblSkip val="5"/>
        <c:tickMarkSkip val="10"/>
        <c:noMultiLvlLbl val="0"/>
      </c:catAx>
      <c:valAx>
        <c:axId val="848653872"/>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endParaRPr lang="ru-RU" i="1">
                  <a:solidFill>
                    <a:schemeClr val="tx1"/>
                  </a:solidFill>
                </a:endParaRPr>
              </a:p>
            </c:rich>
          </c:tx>
          <c:layout>
            <c:manualLayout>
              <c:xMode val="edge"/>
              <c:yMode val="edge"/>
              <c:x val="3.7721672562339888E-2"/>
              <c:y val="2.4467922116219495E-2"/>
            </c:manualLayout>
          </c:layout>
          <c:overlay val="0"/>
          <c:spPr>
            <a:solidFill>
              <a:schemeClr val="bg1"/>
            </a:solid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8653312"/>
        <c:crosses val="autoZero"/>
        <c:crossBetween val="between"/>
      </c:valAx>
      <c:spPr>
        <a:noFill/>
        <a:ln>
          <a:noFill/>
        </a:ln>
        <a:effectLst/>
      </c:spPr>
    </c:plotArea>
    <c:legend>
      <c:legendPos val="b"/>
      <c:layout>
        <c:manualLayout>
          <c:xMode val="edge"/>
          <c:yMode val="edge"/>
          <c:x val="0.82019023862475304"/>
          <c:y val="2.0922328737559864E-2"/>
          <c:w val="0.17980976137524793"/>
          <c:h val="0.966958535898268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Теплоэнергия</a:t>
            </a:r>
            <a:r>
              <a:rPr lang="ru-RU" sz="2000" baseline="0">
                <a:solidFill>
                  <a:schemeClr val="tx1"/>
                </a:solidFill>
              </a:rPr>
              <a:t> на нужды ГВС</a:t>
            </a:r>
            <a:endParaRPr lang="ru-RU" sz="2000">
              <a:solidFill>
                <a:schemeClr val="tx1"/>
              </a:solidFill>
            </a:endParaRPr>
          </a:p>
        </c:rich>
      </c:tx>
      <c:layout>
        <c:manualLayout>
          <c:xMode val="edge"/>
          <c:yMode val="edge"/>
          <c:x val="0.35721589767162348"/>
          <c:y val="3.0880622680785632E-3"/>
        </c:manualLayout>
      </c:layout>
      <c:overlay val="0"/>
      <c:spPr>
        <a:noFill/>
        <a:ln w="25400">
          <a:noFill/>
        </a:ln>
      </c:spPr>
    </c:title>
    <c:autoTitleDeleted val="0"/>
    <c:plotArea>
      <c:layout>
        <c:manualLayout>
          <c:layoutTarget val="inner"/>
          <c:xMode val="edge"/>
          <c:yMode val="edge"/>
          <c:x val="3.3082224276733185E-2"/>
          <c:y val="3.2041884816754025E-2"/>
          <c:w val="0.8275816133612327"/>
          <c:h val="0.80940330626210988"/>
        </c:manualLayout>
      </c:layout>
      <c:barChart>
        <c:barDir val="col"/>
        <c:grouping val="clustered"/>
        <c:varyColors val="0"/>
        <c:ser>
          <c:idx val="0"/>
          <c:order val="0"/>
          <c:tx>
            <c:v>Аналогичные МКД</c:v>
          </c:tx>
          <c:spPr>
            <a:pattFill prst="ltHorz">
              <a:fgClr>
                <a:srgbClr val="E1EFFF"/>
              </a:fgClr>
              <a:bgClr>
                <a:srgbClr val="AFD5FF"/>
              </a:bgClr>
            </a:pattFill>
            <a:ln w="19050">
              <a:gradFill flip="none" rotWithShape="1">
                <a:gsLst>
                  <a:gs pos="80000">
                    <a:schemeClr val="bg1"/>
                  </a:gs>
                  <a:gs pos="95000">
                    <a:srgbClr val="AFD5FF"/>
                  </a:gs>
                  <a:gs pos="100000">
                    <a:srgbClr val="AFD5FF"/>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'кривые-экспресс'!$C$5:$C$104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mpd="sng">
              <a:solidFill>
                <a:srgbClr val="00B0F0"/>
              </a:solidFill>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'кривые-экспресс'!$V$5:$V$104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5443952"/>
        <c:axId val="845444512"/>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'кривые-экспресс'!$O$5:$O$104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'кривые-экспресс'!$R$5:$R$104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5443952"/>
        <c:axId val="845444512"/>
      </c:lineChart>
      <c:catAx>
        <c:axId val="845443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616135265123673"/>
              <c:y val="0.83579038827043173"/>
            </c:manualLayout>
          </c:layout>
          <c:overlay val="0"/>
          <c:spPr>
            <a:noFill/>
            <a:ln w="25400">
              <a:noFill/>
            </a:ln>
          </c:sp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5444512"/>
        <c:crosses val="autoZero"/>
        <c:auto val="1"/>
        <c:lblAlgn val="ctr"/>
        <c:lblOffset val="500"/>
        <c:tickLblSkip val="5"/>
        <c:noMultiLvlLbl val="0"/>
      </c:catAx>
      <c:valAx>
        <c:axId val="845444512"/>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p>
            </c:rich>
          </c:tx>
          <c:layout>
            <c:manualLayout>
              <c:xMode val="edge"/>
              <c:yMode val="edge"/>
              <c:x val="3.1329628148263136E-2"/>
              <c:y val="3.1853380396416005E-2"/>
            </c:manualLayout>
          </c:layout>
          <c:overlay val="0"/>
          <c:spPr>
            <a:solidFill>
              <a:schemeClr val="bg1"/>
            </a:solidFill>
            <a:ln>
              <a:noFill/>
            </a:ln>
            <a:effectLst/>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5443952"/>
        <c:crosses val="autoZero"/>
        <c:crossBetween val="between"/>
      </c:valAx>
      <c:spPr>
        <a:noFill/>
        <a:ln w="25400">
          <a:noFill/>
        </a:ln>
      </c:spPr>
    </c:plotArea>
    <c:legend>
      <c:legendPos val="b"/>
      <c:layout>
        <c:manualLayout>
          <c:xMode val="edge"/>
          <c:yMode val="edge"/>
          <c:x val="0.8673952071381541"/>
          <c:y val="0.21727685763417504"/>
          <c:w val="0.13031108033406374"/>
          <c:h val="0.52303701692460869"/>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ru-RU" sz="1400">
                <a:latin typeface="+mj-lt"/>
              </a:rPr>
              <a:t>Теплоэнергия на нужды отопления и вентиляции</a:t>
            </a:r>
          </a:p>
        </c:rich>
      </c:tx>
      <c:layout>
        <c:manualLayout>
          <c:xMode val="edge"/>
          <c:yMode val="edge"/>
          <c:x val="0.28628336930663073"/>
          <c:y val="2.6305401991181067E-2"/>
        </c:manualLayout>
      </c:layout>
      <c:overlay val="0"/>
      <c:spPr>
        <a:solidFill>
          <a:schemeClr val="bg1"/>
        </a:solidFill>
        <a:ln>
          <a:noFill/>
        </a:ln>
        <a:effectLst/>
      </c:spPr>
    </c:title>
    <c:autoTitleDeleted val="0"/>
    <c:plotArea>
      <c:layout>
        <c:manualLayout>
          <c:layoutTarget val="inner"/>
          <c:xMode val="edge"/>
          <c:yMode val="edge"/>
          <c:x val="3.5539651468844885E-2"/>
          <c:y val="4.8689572424895695E-2"/>
          <c:w val="0.7767019380457113"/>
          <c:h val="0.78891422467396854"/>
        </c:manualLayout>
      </c:layout>
      <c:barChart>
        <c:barDir val="col"/>
        <c:grouping val="clustered"/>
        <c:varyColors val="0"/>
        <c:ser>
          <c:idx val="0"/>
          <c:order val="0"/>
          <c:tx>
            <c:v>Аналогичные МКД</c:v>
          </c:tx>
          <c:spPr>
            <a:pattFill prst="ltHorz">
              <a:fgClr>
                <a:srgbClr val="FFE8D1"/>
              </a:fgClr>
              <a:bgClr>
                <a:srgbClr val="FFCC99"/>
              </a:bgClr>
            </a:pattFill>
            <a:ln w="19050">
              <a:gradFill>
                <a:gsLst>
                  <a:gs pos="70000">
                    <a:schemeClr val="accent1">
                      <a:lumMod val="5000"/>
                      <a:lumOff val="95000"/>
                    </a:schemeClr>
                  </a:gs>
                  <a:gs pos="90000">
                    <a:srgbClr val="FFCC99"/>
                  </a:gs>
                  <a:gs pos="100000">
                    <a:schemeClr val="bg1">
                      <a:lumMod val="85000"/>
                    </a:schemeClr>
                  </a:gs>
                  <a:gs pos="99000">
                    <a:srgbClr val="FFCC99"/>
                  </a:gs>
                </a:gsLst>
                <a:lin ang="5400000" scaled="1"/>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кривые!$B$5:$B$104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Прогноз после</c:v>
          </c:tx>
          <c:spPr>
            <a:solidFill>
              <a:srgbClr val="9EE85A"/>
            </a:solidFill>
            <a:ln>
              <a:solidFill>
                <a:srgbClr val="00B050"/>
              </a:solidFill>
            </a:ln>
            <a:effectLst/>
          </c:spPr>
          <c:invertIfNegative val="0"/>
          <c:val>
            <c:numRef>
              <c:f>кривые!$Y$5:$Y$104</c:f>
              <c:numCache>
                <c:formatCode>General</c:formatCode>
                <c:ptCount val="1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val>
        </c:ser>
        <c:ser>
          <c:idx val="4"/>
          <c:order val="2"/>
          <c:tx>
            <c:v>Факт до</c:v>
          </c:tx>
          <c:spPr>
            <a:solidFill>
              <a:srgbClr val="0070C0"/>
            </a:solidFill>
            <a:ln>
              <a:noFill/>
            </a:ln>
            <a:effectLst/>
          </c:spPr>
          <c:invertIfNegative val="0"/>
          <c:val>
            <c:numRef>
              <c:f>кривые!$U$5:$U$104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51317120"/>
        <c:axId val="851317680"/>
      </c:barChart>
      <c:lineChart>
        <c:grouping val="standard"/>
        <c:varyColors val="0"/>
        <c:ser>
          <c:idx val="2"/>
          <c:order val="3"/>
          <c:tx>
            <c:v>Базовое значение</c:v>
          </c:tx>
          <c:spPr>
            <a:ln w="25400" cap="rnd">
              <a:solidFill>
                <a:srgbClr val="002060"/>
              </a:solidFill>
              <a:prstDash val="solid"/>
              <a:round/>
            </a:ln>
            <a:effectLst/>
          </c:spPr>
          <c:marker>
            <c:symbol val="none"/>
          </c:marker>
          <c:val>
            <c:numRef>
              <c:f>кривые!$N$5:$N$104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4"/>
          <c:tx>
            <c:v>Класс А++</c:v>
          </c:tx>
          <c:spPr>
            <a:ln w="25400" cap="rnd">
              <a:solidFill>
                <a:schemeClr val="accent6"/>
              </a:solidFill>
              <a:prstDash val="solid"/>
              <a:round/>
            </a:ln>
            <a:effectLst/>
          </c:spPr>
          <c:marker>
            <c:symbol val="none"/>
          </c:marker>
          <c:val>
            <c:numRef>
              <c:f>кривые!$Q$5:$Q$104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51317120"/>
        <c:axId val="851317680"/>
      </c:lineChart>
      <c:catAx>
        <c:axId val="851317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sz="1000" b="0" i="0" baseline="0">
                    <a:effectLst/>
                  </a:rPr>
                  <a:t>процентиль аналогичных МКД в России</a:t>
                </a:r>
                <a:endParaRPr lang="ru-RU" sz="1000">
                  <a:effectLst/>
                </a:endParaRPr>
              </a:p>
            </c:rich>
          </c:tx>
          <c:layout>
            <c:manualLayout>
              <c:xMode val="edge"/>
              <c:yMode val="edge"/>
              <c:x val="0.36988922229993526"/>
              <c:y val="0.84914310716257868"/>
            </c:manualLayout>
          </c:layout>
          <c:overlay val="0"/>
          <c:spPr>
            <a:noFill/>
            <a:ln>
              <a:noFill/>
            </a:ln>
            <a:effectLst/>
          </c:spPr>
        </c:title>
        <c:numFmt formatCode="0%"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crossAx val="851317680"/>
        <c:crosses val="autoZero"/>
        <c:auto val="1"/>
        <c:lblAlgn val="ctr"/>
        <c:lblOffset val="500"/>
        <c:tickLblSkip val="5"/>
        <c:noMultiLvlLbl val="0"/>
      </c:catAx>
      <c:valAx>
        <c:axId val="851317680"/>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100" b="0" i="1" u="none" strike="noStrike" kern="1200" baseline="0">
                    <a:solidFill>
                      <a:schemeClr val="tx1"/>
                    </a:solidFill>
                    <a:latin typeface="+mj-lt"/>
                    <a:ea typeface="+mn-ea"/>
                    <a:cs typeface="+mn-cs"/>
                  </a:defRPr>
                </a:pPr>
                <a:r>
                  <a:rPr lang="ru-RU" sz="1100" b="0" i="1" baseline="0">
                    <a:effectLst/>
                    <a:latin typeface="+mj-lt"/>
                  </a:rPr>
                  <a:t>кВтч/м</a:t>
                </a:r>
                <a:r>
                  <a:rPr lang="ru-RU" sz="1100" b="0" i="1" baseline="30000">
                    <a:effectLst/>
                    <a:latin typeface="+mj-lt"/>
                  </a:rPr>
                  <a:t>2</a:t>
                </a:r>
                <a:r>
                  <a:rPr lang="ru-RU" sz="1100" b="0" i="1" baseline="0">
                    <a:effectLst/>
                    <a:latin typeface="+mj-lt"/>
                  </a:rPr>
                  <a:t>/</a:t>
                </a:r>
                <a:r>
                  <a:rPr lang="en-US" sz="1100" b="0" i="1" baseline="0">
                    <a:effectLst/>
                    <a:latin typeface="+mj-lt"/>
                  </a:rPr>
                  <a:t>C˚-</a:t>
                </a:r>
                <a:r>
                  <a:rPr lang="ru-RU" sz="1100" b="0" i="1" baseline="0">
                    <a:effectLst/>
                    <a:latin typeface="+mj-lt"/>
                  </a:rPr>
                  <a:t>сут</a:t>
                </a:r>
                <a:endParaRPr lang="ru-RU" sz="1100">
                  <a:effectLst/>
                  <a:latin typeface="+mj-lt"/>
                </a:endParaRPr>
              </a:p>
            </c:rich>
          </c:tx>
          <c:layout>
            <c:manualLayout>
              <c:xMode val="edge"/>
              <c:yMode val="edge"/>
              <c:x val="3.3340349842176285E-2"/>
              <c:y val="3.2203797559581512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ru-RU"/>
          </a:p>
        </c:txPr>
        <c:crossAx val="851317120"/>
        <c:crosses val="autoZero"/>
        <c:crossBetween val="between"/>
      </c:valAx>
      <c:spPr>
        <a:noFill/>
        <a:ln>
          <a:noFill/>
        </a:ln>
        <a:effectLst/>
      </c:spPr>
    </c:plotArea>
    <c:legend>
      <c:legendPos val="b"/>
      <c:layout>
        <c:manualLayout>
          <c:xMode val="edge"/>
          <c:yMode val="edge"/>
          <c:x val="0.80807576703341955"/>
          <c:y val="0.15090804736982297"/>
          <c:w val="0.1919242329665812"/>
          <c:h val="0.738443247855681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ru-RU" sz="1400">
                <a:latin typeface="+mj-lt"/>
              </a:rPr>
              <a:t>Теплоэнергия на нужды ГВС</a:t>
            </a:r>
          </a:p>
        </c:rich>
      </c:tx>
      <c:layout>
        <c:manualLayout>
          <c:xMode val="edge"/>
          <c:yMode val="edge"/>
          <c:x val="0.35721590917229584"/>
          <c:y val="3.0879333800552526E-3"/>
        </c:manualLayout>
      </c:layout>
      <c:overlay val="0"/>
      <c:spPr>
        <a:solidFill>
          <a:sysClr val="window" lastClr="FFFFFF"/>
        </a:solidFill>
        <a:ln>
          <a:noFill/>
        </a:ln>
        <a:effectLst/>
      </c:spPr>
    </c:title>
    <c:autoTitleDeleted val="0"/>
    <c:plotArea>
      <c:layout>
        <c:manualLayout>
          <c:layoutTarget val="inner"/>
          <c:xMode val="edge"/>
          <c:yMode val="edge"/>
          <c:x val="3.3082224276733185E-2"/>
          <c:y val="5.4640864807153383E-2"/>
          <c:w val="0.78221616657382453"/>
          <c:h val="0.78680439521331003"/>
        </c:manualLayout>
      </c:layout>
      <c:barChart>
        <c:barDir val="col"/>
        <c:grouping val="clustered"/>
        <c:varyColors val="0"/>
        <c:ser>
          <c:idx val="0"/>
          <c:order val="0"/>
          <c:tx>
            <c:v>Аналогичные МКД</c:v>
          </c:tx>
          <c:spPr>
            <a:pattFill prst="ltHorz">
              <a:fgClr>
                <a:srgbClr val="E1EFFF"/>
              </a:fgClr>
              <a:bgClr>
                <a:srgbClr val="AFD5FF"/>
              </a:bgClr>
            </a:pattFill>
            <a:ln w="19050">
              <a:gradFill flip="none" rotWithShape="1">
                <a:gsLst>
                  <a:gs pos="80000">
                    <a:schemeClr val="bg1"/>
                  </a:gs>
                  <a:gs pos="95000">
                    <a:srgbClr val="AFD5FF"/>
                  </a:gs>
                  <a:gs pos="100000">
                    <a:srgbClr val="AFD5FF"/>
                  </a:gs>
                </a:gsLst>
                <a:lin ang="5400000" scaled="1"/>
                <a:tileRect/>
              </a:gradFill>
            </a:ln>
            <a:effectLst/>
          </c:spPr>
          <c:invertIfNegative val="0"/>
          <c:cat>
            <c:numRef>
              <c:f>кривые!$A$5:$A$104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кривые!$C$5:$C$104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Прогноз после</c:v>
          </c:tx>
          <c:spPr>
            <a:solidFill>
              <a:srgbClr val="9EE85A"/>
            </a:solidFill>
            <a:ln>
              <a:solidFill>
                <a:srgbClr val="00B050"/>
              </a:solidFill>
            </a:ln>
            <a:effectLst/>
          </c:spPr>
          <c:invertIfNegative val="0"/>
          <c:val>
            <c:numRef>
              <c:f>кривые!$Z$5:$Z$104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2"/>
          <c:tx>
            <c:v>Факт до</c:v>
          </c:tx>
          <c:spPr>
            <a:solidFill>
              <a:srgbClr val="0070C0"/>
            </a:solidFill>
            <a:ln>
              <a:noFill/>
            </a:ln>
            <a:effectLst/>
          </c:spPr>
          <c:invertIfNegative val="0"/>
          <c:val>
            <c:numRef>
              <c:f>кривые!$V$5:$V$104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51323280"/>
        <c:axId val="851323840"/>
      </c:barChart>
      <c:lineChart>
        <c:grouping val="standard"/>
        <c:varyColors val="0"/>
        <c:ser>
          <c:idx val="2"/>
          <c:order val="3"/>
          <c:tx>
            <c:v>Базовое значение</c:v>
          </c:tx>
          <c:spPr>
            <a:ln w="25400" cap="rnd">
              <a:solidFill>
                <a:srgbClr val="002060"/>
              </a:solidFill>
              <a:prstDash val="solid"/>
              <a:round/>
            </a:ln>
            <a:effectLst/>
          </c:spPr>
          <c:marker>
            <c:symbol val="none"/>
          </c:marker>
          <c:val>
            <c:numRef>
              <c:f>кривые!$O$5:$O$104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4"/>
          <c:tx>
            <c:v>Класс А++</c:v>
          </c:tx>
          <c:spPr>
            <a:ln w="25400" cap="rnd">
              <a:solidFill>
                <a:schemeClr val="accent6"/>
              </a:solidFill>
              <a:prstDash val="solid"/>
              <a:round/>
            </a:ln>
            <a:effectLst/>
          </c:spPr>
          <c:marker>
            <c:symbol val="none"/>
          </c:marker>
          <c:val>
            <c:numRef>
              <c:f>кривые!$R$5:$R$104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51323280"/>
        <c:axId val="851323840"/>
      </c:lineChart>
      <c:catAx>
        <c:axId val="851323280"/>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r>
                  <a:rPr lang="ru-RU" sz="1000" b="0" i="0" baseline="0">
                    <a:effectLst/>
                  </a:rPr>
                  <a:t>процентиль аналогичных МКД в России</a:t>
                </a:r>
                <a:endParaRPr lang="ru-RU"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ru-RU" sz="1000"/>
              </a:p>
            </c:rich>
          </c:tx>
          <c:layout>
            <c:manualLayout>
              <c:xMode val="edge"/>
              <c:yMode val="edge"/>
              <c:x val="0.36488670751720192"/>
              <c:y val="0.84961537065931392"/>
            </c:manualLayout>
          </c:layout>
          <c:overlay val="0"/>
          <c:spPr>
            <a:noFill/>
            <a:ln>
              <a:noFill/>
            </a:ln>
            <a:effectLst/>
          </c:sp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crossAx val="851323840"/>
        <c:crosses val="autoZero"/>
        <c:auto val="1"/>
        <c:lblAlgn val="ctr"/>
        <c:lblOffset val="500"/>
        <c:tickLblSkip val="5"/>
        <c:noMultiLvlLbl val="0"/>
      </c:catAx>
      <c:valAx>
        <c:axId val="851323840"/>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200" b="0" i="1" u="none" strike="noStrike" kern="1200" baseline="0">
                    <a:solidFill>
                      <a:schemeClr val="tx1"/>
                    </a:solidFill>
                    <a:latin typeface="+mj-lt"/>
                    <a:ea typeface="+mn-ea"/>
                    <a:cs typeface="+mn-cs"/>
                  </a:defRPr>
                </a:pPr>
                <a:r>
                  <a:rPr lang="ru-RU" sz="1200" b="0" i="1" baseline="0">
                    <a:effectLst/>
                    <a:latin typeface="+mj-lt"/>
                  </a:rPr>
                  <a:t>кВтч/м</a:t>
                </a:r>
                <a:r>
                  <a:rPr lang="ru-RU" sz="1200" b="0" i="1" baseline="30000">
                    <a:effectLst/>
                    <a:latin typeface="+mj-lt"/>
                  </a:rPr>
                  <a:t>2</a:t>
                </a:r>
                <a:endParaRPr lang="ru-RU" sz="1200">
                  <a:effectLst/>
                  <a:latin typeface="+mj-lt"/>
                </a:endParaRPr>
              </a:p>
            </c:rich>
          </c:tx>
          <c:layout>
            <c:manualLayout>
              <c:xMode val="edge"/>
              <c:yMode val="edge"/>
              <c:x val="3.1329612189216628E-2"/>
              <c:y val="3.185323824050789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crossAx val="851323280"/>
        <c:crosses val="autoZero"/>
        <c:crossBetween val="between"/>
      </c:valAx>
      <c:spPr>
        <a:noFill/>
        <a:ln>
          <a:noFill/>
        </a:ln>
        <a:effectLst/>
      </c:spPr>
    </c:plotArea>
    <c:legend>
      <c:legendPos val="b"/>
      <c:layout>
        <c:manualLayout>
          <c:xMode val="edge"/>
          <c:yMode val="edge"/>
          <c:x val="0.809176515459468"/>
          <c:y val="0.15055626111252252"/>
          <c:w val="0.19082345791552718"/>
          <c:h val="0.6486035855687536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928"/>
          <c:h val="0.38491635375719463"/>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#N/A</c:v>
                </c:pt>
                <c:pt idx="1">
                  <c:v>0</c:v>
                </c:pt>
                <c:pt idx="2">
                  <c:v>#N/A</c:v>
                </c:pt>
                <c:pt idx="3">
                  <c:v>0</c:v>
                </c:pt>
                <c:pt idx="4">
                  <c:v>#N/A</c:v>
                </c:pt>
                <c:pt idx="5">
                  <c:v>0</c:v>
                </c:pt>
                <c:pt idx="6">
                  <c:v>#N/A</c:v>
                </c:pt>
                <c:pt idx="7">
                  <c:v>0</c:v>
                </c:pt>
                <c:pt idx="8">
                  <c:v>#N/A</c:v>
                </c:pt>
                <c:pt idx="9">
                  <c:v>0</c:v>
                </c:pt>
                <c:pt idx="10">
                  <c:v>#N/A</c:v>
                </c:pt>
                <c:pt idx="11">
                  <c:v>0</c:v>
                </c:pt>
                <c:pt idx="12">
                  <c:v>#N/A</c:v>
                </c:pt>
                <c:pt idx="13">
                  <c:v>0</c:v>
                </c:pt>
                <c:pt idx="14">
                  <c:v>#N/A</c:v>
                </c:pt>
                <c:pt idx="15">
                  <c:v>0</c:v>
                </c:pt>
                <c:pt idx="16">
                  <c:v>#N/A</c:v>
                </c:pt>
                <c:pt idx="17">
                  <c:v>0</c:v>
                </c:pt>
                <c:pt idx="18">
                  <c:v>#N/A</c:v>
                </c:pt>
                <c:pt idx="19">
                  <c:v>0</c:v>
                </c:pt>
                <c:pt idx="20">
                  <c:v>#N/A</c:v>
                </c:pt>
                <c:pt idx="21">
                  <c:v>0</c:v>
                </c:pt>
                <c:pt idx="22">
                  <c:v>#N/A</c:v>
                </c:pt>
                <c:pt idx="23">
                  <c:v>0</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851328320"/>
        <c:axId val="851328880"/>
      </c:barChart>
      <c:catAx>
        <c:axId val="8513283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51328880"/>
        <c:crosses val="autoZero"/>
        <c:auto val="1"/>
        <c:lblAlgn val="ctr"/>
        <c:lblOffset val="100"/>
        <c:noMultiLvlLbl val="0"/>
      </c:catAx>
      <c:valAx>
        <c:axId val="85132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1328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107"/>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84"/>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#N/A</c:v>
                </c:pt>
                <c:pt idx="1">
                  <c:v>#N/A</c:v>
                </c:pt>
                <c:pt idx="2">
                  <c:v>0</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325"/>
          <c:w val="0.43867187958983955"/>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107"/>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407"/>
          <c:w val="0.42866141421171766"/>
          <c:h val="0.4661047293875970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961"/>
          <c:y val="0.15498349361806887"/>
          <c:w val="0.43216873566480091"/>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#N/A</c:v>
                </c:pt>
                <c:pt idx="1">
                  <c:v>#N/A</c:v>
                </c:pt>
                <c:pt idx="2">
                  <c:v>#N/A</c:v>
                </c:pt>
                <c:pt idx="3" formatCode="0.0">
                  <c:v>0</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10"/>
            <c:bubble3D val="0"/>
            <c:spPr>
              <a:solidFill>
                <a:schemeClr val="accent5">
                  <a:lumMod val="60000"/>
                </a:schemeClr>
              </a:solidFill>
              <a:ln w="19050">
                <a:solidFill>
                  <a:schemeClr val="lt1"/>
                </a:solidFill>
              </a:ln>
              <a:effectLst/>
            </c:spPr>
          </c:dPt>
          <c:dPt>
            <c:idx val="11"/>
            <c:bubble3D val="0"/>
            <c:spPr>
              <a:solidFill>
                <a:schemeClr val="accent6">
                  <a:lumMod val="60000"/>
                </a:schemeClr>
              </a:solidFill>
              <a:ln w="19050">
                <a:solidFill>
                  <a:schemeClr val="lt1"/>
                </a:solidFill>
              </a:ln>
              <a:effectLst/>
            </c:spPr>
          </c:dPt>
          <c:dLbls>
            <c:dLbl>
              <c:idx val="0"/>
              <c:layout>
                <c:manualLayout>
                  <c:x val="0.2259011810801534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4"/>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6"/>
              <c:layout>
                <c:manualLayout>
                  <c:x val="-9.2502187226596672E-2"/>
                  <c:y val="6.943166031216853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11"/>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уровня'!$A$102:$A$113</c:f>
              <c:strCache>
                <c:ptCount val="12"/>
                <c:pt idx="0">
                  <c:v>освещение мест общего пользования</c:v>
                </c:pt>
                <c:pt idx="1">
                  <c:v>то же</c:v>
                </c:pt>
                <c:pt idx="2">
                  <c:v>внутреннее</c:v>
                </c:pt>
                <c:pt idx="3">
                  <c:v>уличные (ДРЛ)</c:v>
                </c:pt>
                <c:pt idx="4">
                  <c:v>лифтовое оборудование</c:v>
                </c:pt>
                <c:pt idx="5">
                  <c:v>то же</c:v>
                </c:pt>
                <c:pt idx="6">
                  <c:v>насосное оборудование </c:v>
                </c:pt>
                <c:pt idx="7">
                  <c:v>то же</c:v>
                </c:pt>
                <c:pt idx="8">
                  <c:v>отопление</c:v>
                </c:pt>
                <c:pt idx="9">
                  <c:v>гвс</c:v>
                </c:pt>
                <c:pt idx="10">
                  <c:v>хвс</c:v>
                </c:pt>
                <c:pt idx="11">
                  <c:v>прочее энергетическое оборудование </c:v>
                </c:pt>
              </c:strCache>
            </c:strRef>
          </c:cat>
          <c:val>
            <c:numRef>
              <c:f>'Расчет базового уровня'!$C$102:$C$113</c:f>
              <c:numCache>
                <c:formatCode>0%</c:formatCode>
                <c:ptCount val="12"/>
                <c:pt idx="0" formatCode="0">
                  <c:v>0</c:v>
                </c:pt>
                <c:pt idx="1">
                  <c:v>0</c:v>
                </c:pt>
                <c:pt idx="2" formatCode="0.00">
                  <c:v>0</c:v>
                </c:pt>
                <c:pt idx="3" formatCode="0.00">
                  <c:v>0</c:v>
                </c:pt>
                <c:pt idx="4" formatCode="0">
                  <c:v>0</c:v>
                </c:pt>
                <c:pt idx="5">
                  <c:v>0</c:v>
                </c:pt>
                <c:pt idx="6" formatCode="0">
                  <c:v>0</c:v>
                </c:pt>
                <c:pt idx="7">
                  <c:v>0</c:v>
                </c:pt>
                <c:pt idx="8" formatCode="0.00">
                  <c:v>0</c:v>
                </c:pt>
                <c:pt idx="9" formatCode="0.00">
                  <c:v>0</c:v>
                </c:pt>
                <c:pt idx="10" formatCode="0.00">
                  <c:v>0</c:v>
                </c:pt>
                <c:pt idx="11"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107"/>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84"/>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928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#N/A</c:v>
                </c:pt>
                <c:pt idx="1">
                  <c:v>#N/A</c:v>
                </c:pt>
                <c:pt idx="2">
                  <c:v>0</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208"/>
          <c:w val="0.35146259842519689"/>
          <c:h val="0.644098862642178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107"/>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208"/>
          <c:w val="0.35146259842519689"/>
          <c:h val="0.644098862642178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961"/>
          <c:y val="0.15498349361806887"/>
          <c:w val="0.43216873566480091"/>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#N/A</c:v>
                </c:pt>
                <c:pt idx="1">
                  <c:v>0</c:v>
                </c:pt>
                <c:pt idx="2">
                  <c:v>0</c:v>
                </c:pt>
                <c:pt idx="3" formatCode="0.0">
                  <c:v>0</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Совокупный расход</a:t>
            </a:r>
            <a:r>
              <a:rPr lang="ru-RU" sz="2000" baseline="0">
                <a:solidFill>
                  <a:schemeClr val="tx1"/>
                </a:solidFill>
              </a:rPr>
              <a:t> энергоресурсов</a:t>
            </a:r>
            <a:endParaRPr lang="ru-RU" sz="2000">
              <a:solidFill>
                <a:schemeClr val="tx1"/>
              </a:solidFill>
            </a:endParaRPr>
          </a:p>
        </c:rich>
      </c:tx>
      <c:layout>
        <c:manualLayout>
          <c:xMode val="edge"/>
          <c:yMode val="edge"/>
          <c:x val="0.3121212880990335"/>
          <c:y val="3.3085676202700407E-3"/>
        </c:manualLayout>
      </c:layout>
      <c:overlay val="0"/>
      <c:spPr>
        <a:solidFill>
          <a:schemeClr val="bg1"/>
        </a:solidFill>
        <a:ln>
          <a:noFill/>
        </a:ln>
        <a:effectLst/>
      </c:spPr>
    </c:title>
    <c:autoTitleDeleted val="0"/>
    <c:plotArea>
      <c:layout>
        <c:manualLayout>
          <c:layoutTarget val="inner"/>
          <c:xMode val="edge"/>
          <c:yMode val="edge"/>
          <c:x val="3.3168114447085902E-2"/>
          <c:y val="3.8434509655024637E-2"/>
          <c:w val="0.77946636426841753"/>
          <c:h val="0.8018478996066486"/>
        </c:manualLayout>
      </c:layout>
      <c:barChart>
        <c:barDir val="col"/>
        <c:grouping val="clustered"/>
        <c:varyColors val="0"/>
        <c:ser>
          <c:idx val="0"/>
          <c:order val="2"/>
          <c:tx>
            <c:v>A++</c:v>
          </c:tx>
          <c:spPr>
            <a:pattFill prst="ltHorz">
              <a:fgClr>
                <a:schemeClr val="bg1"/>
              </a:fgClr>
              <a:bgClr>
                <a:srgbClr val="9EE85A"/>
              </a:bgClr>
            </a:pattFill>
            <a:ln w="19050">
              <a:gradFill flip="none" rotWithShape="1">
                <a:gsLst>
                  <a:gs pos="30000">
                    <a:schemeClr val="accent1">
                      <a:lumMod val="5000"/>
                      <a:lumOff val="95000"/>
                    </a:schemeClr>
                  </a:gs>
                  <a:gs pos="75000">
                    <a:srgbClr val="9EE85A"/>
                  </a:gs>
                  <a:gs pos="100000">
                    <a:srgbClr val="9EE85A"/>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'кривые-экспресс'!$E$5:$E$104</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3"/>
          <c:tx>
            <c:v>A+</c:v>
          </c:tx>
          <c:spPr>
            <a:pattFill prst="ltHorz">
              <a:fgClr>
                <a:schemeClr val="bg1"/>
              </a:fgClr>
              <a:bgClr>
                <a:srgbClr val="00CC66"/>
              </a:bgClr>
            </a:pattFill>
            <a:ln w="19050" cap="sq" cmpd="sng">
              <a:gradFill flip="none" rotWithShape="1">
                <a:gsLst>
                  <a:gs pos="30000">
                    <a:schemeClr val="bg1"/>
                  </a:gs>
                  <a:gs pos="100000">
                    <a:srgbClr val="00CC66"/>
                  </a:gs>
                  <a:gs pos="75000">
                    <a:srgbClr val="00CC66"/>
                  </a:gs>
                  <a:gs pos="100000">
                    <a:srgbClr val="00B050"/>
                  </a:gs>
                </a:gsLst>
                <a:lin ang="5400000" scaled="1"/>
                <a:tileRect/>
              </a:gra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'кривые-экспресс'!$F$5:$F$104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5"/>
          <c:order val="4"/>
          <c:tx>
            <c:v>A</c:v>
          </c:tx>
          <c:spPr>
            <a:pattFill prst="ltHorz">
              <a:fgClr>
                <a:schemeClr val="bg1"/>
              </a:fgClr>
              <a:bgClr>
                <a:srgbClr val="CCFF33"/>
              </a:bgClr>
            </a:pattFill>
            <a:ln w="19685">
              <a:gradFill>
                <a:gsLst>
                  <a:gs pos="30000">
                    <a:schemeClr val="bg1"/>
                  </a:gs>
                  <a:gs pos="75000">
                    <a:srgbClr val="CCFF33"/>
                  </a:gs>
                  <a:gs pos="100000">
                    <a:srgbClr val="CCFF33"/>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'кривые-экспресс'!$G$5:$G$104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6"/>
          <c:order val="5"/>
          <c:tx>
            <c:v>B</c:v>
          </c:tx>
          <c:spPr>
            <a:pattFill prst="ltHorz">
              <a:fgClr>
                <a:schemeClr val="bg1"/>
              </a:fgClr>
              <a:bgClr>
                <a:srgbClr val="FFFF00"/>
              </a:bgClr>
            </a:pattFill>
            <a:ln w="19050">
              <a:gradFill flip="none" rotWithShape="1">
                <a:gsLst>
                  <a:gs pos="30000">
                    <a:schemeClr val="bg1"/>
                  </a:gs>
                  <a:gs pos="75000">
                    <a:srgbClr val="FFFF00"/>
                  </a:gs>
                  <a:gs pos="100000">
                    <a:srgbClr val="FFFF00"/>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'кривые-экспресс'!$H$5:$H$104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6"/>
          <c:tx>
            <c:v>C</c:v>
          </c:tx>
          <c:spPr>
            <a:pattFill prst="ltHorz">
              <a:fgClr>
                <a:srgbClr val="FFC081"/>
              </a:fgClr>
              <a:bgClr>
                <a:srgbClr val="FF9933"/>
              </a:bgClr>
            </a:pattFill>
            <a:ln w="19050">
              <a:gradFill flip="none" rotWithShape="1">
                <a:gsLst>
                  <a:gs pos="30000">
                    <a:schemeClr val="bg1">
                      <a:alpha val="93000"/>
                    </a:schemeClr>
                  </a:gs>
                  <a:gs pos="75000">
                    <a:srgbClr val="FF9933"/>
                  </a:gs>
                  <a:gs pos="100000">
                    <a:srgbClr val="FF9933"/>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'кривые-экспресс'!$I$5:$I$104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8"/>
          <c:order val="7"/>
          <c:tx>
            <c:v>D</c:v>
          </c:tx>
          <c:spPr>
            <a:pattFill prst="ltHorz">
              <a:fgClr>
                <a:srgbClr val="FF964B"/>
              </a:fgClr>
              <a:bgClr>
                <a:srgbClr val="FF6600"/>
              </a:bgClr>
            </a:pattFill>
            <a:ln w="19050">
              <a:gradFill flip="none" rotWithShape="1">
                <a:gsLst>
                  <a:gs pos="30000">
                    <a:schemeClr val="bg1"/>
                  </a:gs>
                  <a:gs pos="74000">
                    <a:srgbClr val="FF6600"/>
                  </a:gs>
                  <a:gs pos="100000">
                    <a:srgbClr val="FF6600"/>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'кривые-экспресс'!$J$5:$J$104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9"/>
          <c:order val="8"/>
          <c:tx>
            <c:v>E</c:v>
          </c:tx>
          <c:spPr>
            <a:pattFill prst="ltHorz">
              <a:fgClr>
                <a:srgbClr val="FF6464"/>
              </a:fgClr>
              <a:bgClr>
                <a:srgbClr val="FF0000"/>
              </a:bgClr>
            </a:pattFill>
            <a:ln w="19050">
              <a:gradFill>
                <a:gsLst>
                  <a:gs pos="40000">
                    <a:schemeClr val="bg1"/>
                  </a:gs>
                  <a:gs pos="80000">
                    <a:srgbClr val="FF0000"/>
                  </a:gs>
                  <a:gs pos="100000">
                    <a:srgbClr val="FF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'кривые-экспресс'!$K$5:$K$104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0"/>
          <c:order val="9"/>
          <c:tx>
            <c:v>F</c:v>
          </c:tx>
          <c:spPr>
            <a:pattFill prst="ltHorz">
              <a:fgClr>
                <a:srgbClr val="F03232"/>
              </a:fgClr>
              <a:bgClr>
                <a:srgbClr val="C00000"/>
              </a:bgClr>
            </a:pattFill>
            <a:ln w="19050">
              <a:gradFill>
                <a:gsLst>
                  <a:gs pos="55000">
                    <a:schemeClr val="bg1"/>
                  </a:gs>
                  <a:gs pos="85000">
                    <a:srgbClr val="C00000"/>
                  </a:gs>
                  <a:gs pos="100000">
                    <a:srgbClr val="C0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'кривые-экспресс'!$L$5:$L$104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2"/>
          <c:order val="10"/>
          <c:tx>
            <c:v>G</c:v>
          </c:tx>
          <c:spPr>
            <a:pattFill prst="ltHorz">
              <a:fgClr>
                <a:srgbClr val="FF0000"/>
              </a:fgClr>
              <a:bgClr>
                <a:srgbClr val="9E0000"/>
              </a:bgClr>
            </a:pattFill>
            <a:ln w="19050">
              <a:gradFill>
                <a:gsLst>
                  <a:gs pos="57000">
                    <a:schemeClr val="accent1">
                      <a:lumMod val="5000"/>
                      <a:lumOff val="95000"/>
                    </a:schemeClr>
                  </a:gs>
                  <a:gs pos="100000">
                    <a:srgbClr val="9E0000"/>
                  </a:gs>
                </a:gsLst>
                <a:lin ang="5400000" scaled="1"/>
              </a:gradFill>
            </a:ln>
            <a:effectLst/>
          </c:spPr>
          <c:invertIfNegative val="0"/>
          <c:val>
            <c:numRef>
              <c:f>'кривые-экспресс'!$M$5:$M$105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1"/>
          <c:tx>
            <c:v>Факт</c:v>
          </c:tx>
          <c:spPr>
            <a:solidFill>
              <a:srgbClr val="00B0F0"/>
            </a:solidFill>
            <a:ln w="25400">
              <a:noFill/>
            </a:ln>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'кривые-экспресс'!$W$5:$W$104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5453472"/>
        <c:axId val="845454032"/>
      </c:barChart>
      <c:lineChart>
        <c:grouping val="standard"/>
        <c:varyColors val="0"/>
        <c:ser>
          <c:idx val="2"/>
          <c:order val="0"/>
          <c:tx>
            <c:v>Базовое значение для текущих ГСОП</c:v>
          </c:tx>
          <c:spPr>
            <a:ln w="28575" cap="rnd">
              <a:solidFill>
                <a:schemeClr val="accent3"/>
              </a:solidFill>
              <a:round/>
            </a:ln>
            <a:effectLst/>
          </c:spPr>
          <c:marker>
            <c:symbol val="none"/>
          </c:marker>
          <c:val>
            <c:numRef>
              <c:f>'кривые-экспресс'!$P$5:$P$104</c:f>
              <c:numCache>
                <c:formatCode>General</c:formatCode>
                <c:ptCount val="100"/>
                <c:pt idx="0" formatCode="0.000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1"/>
          <c:tx>
            <c:v>А++</c:v>
          </c:tx>
          <c:spPr>
            <a:ln w="28575" cap="rnd">
              <a:solidFill>
                <a:srgbClr val="92D050"/>
              </a:solidFill>
              <a:round/>
            </a:ln>
            <a:effectLst/>
          </c:spPr>
          <c:marker>
            <c:symbol val="none"/>
          </c:marker>
          <c:val>
            <c:numRef>
              <c:f>'кривые-экспресс'!$S$5:$S$104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1"/>
        </c:ser>
        <c:dLbls>
          <c:showLegendKey val="0"/>
          <c:showVal val="0"/>
          <c:showCatName val="0"/>
          <c:showSerName val="0"/>
          <c:showPercent val="0"/>
          <c:showBubbleSize val="0"/>
        </c:dLbls>
        <c:marker val="1"/>
        <c:smooth val="0"/>
        <c:axId val="845453472"/>
        <c:axId val="845454032"/>
      </c:lineChart>
      <c:catAx>
        <c:axId val="8454534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a:t>
                </a:r>
                <a:r>
                  <a:rPr lang="ru-RU" baseline="0">
                    <a:solidFill>
                      <a:schemeClr val="tx1"/>
                    </a:solidFill>
                  </a:rPr>
                  <a:t> </a:t>
                </a:r>
                <a:r>
                  <a:rPr lang="ru-RU">
                    <a:solidFill>
                      <a:schemeClr val="tx1"/>
                    </a:solidFill>
                  </a:rPr>
                  <a:t>МКД в России</a:t>
                </a:r>
              </a:p>
            </c:rich>
          </c:tx>
          <c:layout>
            <c:manualLayout>
              <c:xMode val="edge"/>
              <c:yMode val="edge"/>
              <c:x val="0.36746242580177901"/>
              <c:y val="0.84902788405367913"/>
            </c:manualLayout>
          </c:layout>
          <c:overlay val="0"/>
          <c:spPr>
            <a:noFill/>
            <a:ln w="25400">
              <a:noFill/>
            </a:ln>
          </c:spPr>
        </c:title>
        <c:numFmt formatCode="0%" sourceLinked="0"/>
        <c:majorTickMark val="none"/>
        <c:minorTickMark val="none"/>
        <c:tickLblPos val="low"/>
        <c:spPr>
          <a:ln w="6350">
            <a:noFill/>
          </a:ln>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5454032"/>
        <c:crosses val="autoZero"/>
        <c:auto val="1"/>
        <c:lblAlgn val="ctr"/>
        <c:lblOffset val="500"/>
        <c:tickLblSkip val="5"/>
        <c:tickMarkSkip val="10"/>
        <c:noMultiLvlLbl val="0"/>
      </c:catAx>
      <c:valAx>
        <c:axId val="845454032"/>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endParaRPr lang="ru-RU" i="1">
                  <a:solidFill>
                    <a:schemeClr val="tx1"/>
                  </a:solidFill>
                </a:endParaRPr>
              </a:p>
            </c:rich>
          </c:tx>
          <c:layout>
            <c:manualLayout>
              <c:xMode val="edge"/>
              <c:yMode val="edge"/>
              <c:x val="3.7721649464021761E-2"/>
              <c:y val="2.4467866281605081E-2"/>
            </c:manualLayout>
          </c:layout>
          <c:overlay val="0"/>
          <c:spPr>
            <a:solidFill>
              <a:schemeClr val="bg1"/>
            </a:solidFill>
            <a:ln>
              <a:noFill/>
            </a:ln>
            <a:effectLst/>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5453472"/>
        <c:crosses val="autoZero"/>
        <c:crossBetween val="between"/>
      </c:valAx>
      <c:spPr>
        <a:noFill/>
        <a:ln w="25400">
          <a:noFill/>
        </a:ln>
      </c:spPr>
    </c:plotArea>
    <c:legend>
      <c:legendPos val="b"/>
      <c:layout>
        <c:manualLayout>
          <c:xMode val="edge"/>
          <c:yMode val="edge"/>
          <c:x val="0.80297505268248015"/>
          <c:y val="2.0922337685845737E-2"/>
          <c:w val="0.18995134705963149"/>
          <c:h val="0.97907766231415538"/>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10"/>
            <c:bubble3D val="0"/>
            <c:spPr>
              <a:solidFill>
                <a:schemeClr val="accent5">
                  <a:lumMod val="60000"/>
                </a:schemeClr>
              </a:solidFill>
              <a:ln w="19050">
                <a:solidFill>
                  <a:schemeClr val="lt1"/>
                </a:solidFill>
              </a:ln>
              <a:effectLst/>
            </c:spPr>
          </c:dPt>
          <c:dPt>
            <c:idx val="11"/>
            <c:bubble3D val="0"/>
            <c:spPr>
              <a:solidFill>
                <a:schemeClr val="accent6">
                  <a:lumMod val="60000"/>
                </a:schemeClr>
              </a:solidFill>
              <a:ln w="19050">
                <a:solidFill>
                  <a:schemeClr val="lt1"/>
                </a:solidFill>
              </a:ln>
              <a:effectLst/>
            </c:spPr>
          </c:dPt>
          <c:dLbls>
            <c:dLbl>
              <c:idx val="0"/>
              <c:layout>
                <c:manualLayout>
                  <c:x val="0.2259011810801534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4"/>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6"/>
              <c:layout>
                <c:manualLayout>
                  <c:x val="-9.2502187226596672E-2"/>
                  <c:y val="6.943166031216853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11"/>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реализации'!$A$102:$A$113</c:f>
              <c:strCache>
                <c:ptCount val="12"/>
                <c:pt idx="0">
                  <c:v>освещение мест общего пользования</c:v>
                </c:pt>
                <c:pt idx="1">
                  <c:v>внутреннее</c:v>
                </c:pt>
                <c:pt idx="2">
                  <c:v>уличные (ДРЛ)</c:v>
                </c:pt>
                <c:pt idx="3">
                  <c:v>то же</c:v>
                </c:pt>
                <c:pt idx="4">
                  <c:v>лифтовое оборудование</c:v>
                </c:pt>
                <c:pt idx="5">
                  <c:v>то же</c:v>
                </c:pt>
                <c:pt idx="6">
                  <c:v>насосное оборудование </c:v>
                </c:pt>
                <c:pt idx="7">
                  <c:v>то же</c:v>
                </c:pt>
                <c:pt idx="8">
                  <c:v>Отопление</c:v>
                </c:pt>
                <c:pt idx="9">
                  <c:v>ГВС</c:v>
                </c:pt>
                <c:pt idx="10">
                  <c:v>ХВС</c:v>
                </c:pt>
                <c:pt idx="11">
                  <c:v>прочее энергетическое оборудование </c:v>
                </c:pt>
              </c:strCache>
            </c:strRef>
          </c:cat>
          <c:val>
            <c:numRef>
              <c:f>'Расчет после реализации'!$D$102:$D$113</c:f>
              <c:numCache>
                <c:formatCode>0</c:formatCode>
                <c:ptCount val="12"/>
                <c:pt idx="0">
                  <c:v>0</c:v>
                </c:pt>
                <c:pt idx="1">
                  <c:v>0</c:v>
                </c:pt>
                <c:pt idx="2">
                  <c:v>0</c:v>
                </c:pt>
                <c:pt idx="3" formatCode="0%">
                  <c:v>0</c:v>
                </c:pt>
                <c:pt idx="4">
                  <c:v>0</c:v>
                </c:pt>
                <c:pt idx="5" formatCode="0%">
                  <c:v>0</c:v>
                </c:pt>
                <c:pt idx="6">
                  <c:v>#N/A</c:v>
                </c:pt>
                <c:pt idx="7" formatCode="0%">
                  <c:v>0</c:v>
                </c:pt>
                <c:pt idx="8" formatCode="0.0">
                  <c:v>#N/A</c:v>
                </c:pt>
                <c:pt idx="9" formatCode="0.0">
                  <c:v>0</c:v>
                </c:pt>
                <c:pt idx="10" formatCode="0.0">
                  <c:v>0</c:v>
                </c:pt>
                <c:pt idx="11">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3" l="0.70000000000000062" r="0.70000000000000062" t="0.75000000000000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1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851344560"/>
        <c:axId val="851345120"/>
      </c:scatterChart>
      <c:valAx>
        <c:axId val="851344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1345120"/>
        <c:crosses val="autoZero"/>
        <c:crossBetween val="midCat"/>
      </c:valAx>
      <c:valAx>
        <c:axId val="851345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13445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1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855190272"/>
        <c:axId val="855190832"/>
      </c:scatterChart>
      <c:valAx>
        <c:axId val="855190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5190832"/>
        <c:crosses val="autoZero"/>
        <c:crossBetween val="midCat"/>
      </c:valAx>
      <c:valAx>
        <c:axId val="855190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51902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b="0">
                <a:solidFill>
                  <a:schemeClr val="tx1"/>
                </a:solidFill>
              </a:rPr>
              <a:t>Теплоэнергия</a:t>
            </a:r>
            <a:r>
              <a:rPr lang="ru-RU" sz="2000" b="0" baseline="0">
                <a:solidFill>
                  <a:schemeClr val="tx1"/>
                </a:solidFill>
              </a:rPr>
              <a:t> на нужды отопления и вентиляции</a:t>
            </a:r>
            <a:endParaRPr lang="ru-RU" sz="2000" b="0">
              <a:solidFill>
                <a:schemeClr val="tx1"/>
              </a:solidFill>
            </a:endParaRPr>
          </a:p>
        </c:rich>
      </c:tx>
      <c:layout>
        <c:manualLayout>
          <c:xMode val="edge"/>
          <c:yMode val="edge"/>
          <c:x val="0.27430762888618726"/>
          <c:y val="3.1519632637332382E-3"/>
        </c:manualLayout>
      </c:layout>
      <c:overlay val="0"/>
      <c:spPr>
        <a:solidFill>
          <a:schemeClr val="bg1"/>
        </a:solidFill>
        <a:ln>
          <a:noFill/>
        </a:ln>
        <a:effectLst/>
      </c:spPr>
    </c:title>
    <c:autoTitleDeleted val="0"/>
    <c:plotArea>
      <c:layout>
        <c:manualLayout>
          <c:layoutTarget val="inner"/>
          <c:xMode val="edge"/>
          <c:yMode val="edge"/>
          <c:x val="3.5539651468844885E-2"/>
          <c:y val="4.8689572424895695E-2"/>
          <c:w val="0.82435912306049663"/>
          <c:h val="0.78891422467396854"/>
        </c:manualLayout>
      </c:layout>
      <c:barChart>
        <c:barDir val="col"/>
        <c:grouping val="clustered"/>
        <c:varyColors val="0"/>
        <c:ser>
          <c:idx val="0"/>
          <c:order val="0"/>
          <c:tx>
            <c:v>Аналогичные МКД</c:v>
          </c:tx>
          <c:spPr>
            <a:pattFill prst="ltHorz">
              <a:fgClr>
                <a:srgbClr val="FFE8D1"/>
              </a:fgClr>
              <a:bgClr>
                <a:srgbClr val="FFCC99"/>
              </a:bgClr>
            </a:pattFill>
            <a:ln w="19050">
              <a:gradFill>
                <a:gsLst>
                  <a:gs pos="70000">
                    <a:schemeClr val="accent1">
                      <a:lumMod val="5000"/>
                      <a:lumOff val="95000"/>
                    </a:schemeClr>
                  </a:gs>
                  <a:gs pos="90000">
                    <a:srgbClr val="FFCC99"/>
                  </a:gs>
                  <a:gs pos="100000">
                    <a:schemeClr val="bg1">
                      <a:lumMod val="85000"/>
                    </a:schemeClr>
                  </a:gs>
                  <a:gs pos="99000">
                    <a:srgbClr val="FFCC99"/>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'кривые-экспресс'!$B$5:$B$104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ap="sq" cmpd="sng">
              <a:solidFill>
                <a:srgbClr val="00B0F0"/>
              </a:soli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'кривые-экспресс'!$U$5:$U$104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5458512"/>
        <c:axId val="845459072"/>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'кривые-экспресс'!$N$5:$N$104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'кривые-экспресс'!$Q$5:$Q$104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5458512"/>
        <c:axId val="845459072"/>
      </c:lineChart>
      <c:catAx>
        <c:axId val="845458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501239344572234"/>
              <c:y val="0.84450665588149831"/>
            </c:manualLayout>
          </c:layout>
          <c:overlay val="0"/>
          <c:spPr>
            <a:noFill/>
            <a:ln>
              <a:noFill/>
            </a:ln>
            <a:effectLst/>
          </c:spPr>
        </c:title>
        <c:numFmt formatCode="0%"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5459072"/>
        <c:crosses val="autoZero"/>
        <c:auto val="1"/>
        <c:lblAlgn val="ctr"/>
        <c:lblOffset val="500"/>
        <c:tickLblSkip val="5"/>
        <c:noMultiLvlLbl val="0"/>
      </c:catAx>
      <c:valAx>
        <c:axId val="845459072"/>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r>
                  <a:rPr lang="ru-RU" i="1">
                    <a:solidFill>
                      <a:schemeClr val="tx1"/>
                    </a:solidFill>
                  </a:rPr>
                  <a:t>/˚</a:t>
                </a:r>
                <a:r>
                  <a:rPr lang="en-US" i="1">
                    <a:solidFill>
                      <a:schemeClr val="tx1"/>
                    </a:solidFill>
                  </a:rPr>
                  <a:t>C-</a:t>
                </a:r>
                <a:r>
                  <a:rPr lang="ru-RU" i="1">
                    <a:solidFill>
                      <a:schemeClr val="tx1"/>
                    </a:solidFill>
                  </a:rPr>
                  <a:t>сут</a:t>
                </a:r>
              </a:p>
              <a:p>
                <a:pPr>
                  <a:defRPr sz="1000" b="0" i="1" u="none" strike="noStrike" kern="1200" baseline="0">
                    <a:solidFill>
                      <a:schemeClr val="tx1"/>
                    </a:solidFill>
                    <a:latin typeface="+mn-lt"/>
                    <a:ea typeface="+mn-ea"/>
                    <a:cs typeface="+mn-cs"/>
                  </a:defRPr>
                </a:pPr>
                <a:endParaRPr lang="ru-RU" i="1">
                  <a:solidFill>
                    <a:schemeClr val="tx1"/>
                  </a:solidFill>
                </a:endParaRPr>
              </a:p>
            </c:rich>
          </c:tx>
          <c:layout>
            <c:manualLayout>
              <c:xMode val="edge"/>
              <c:yMode val="edge"/>
              <c:x val="3.3340349842176285E-2"/>
              <c:y val="3.2203797559581512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5458512"/>
        <c:crosses val="autoZero"/>
        <c:crossBetween val="between"/>
      </c:valAx>
      <c:spPr>
        <a:noFill/>
        <a:ln>
          <a:noFill/>
        </a:ln>
        <a:effectLst/>
      </c:spPr>
    </c:plotArea>
    <c:legend>
      <c:legendPos val="b"/>
      <c:layout>
        <c:manualLayout>
          <c:xMode val="edge"/>
          <c:yMode val="edge"/>
          <c:x val="0.86222766677851881"/>
          <c:y val="0.22316051285713395"/>
          <c:w val="0.13633180099780801"/>
          <c:h val="0.5971269022269406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Теплоэнергия</a:t>
            </a:r>
            <a:r>
              <a:rPr lang="ru-RU" sz="2000" baseline="0">
                <a:solidFill>
                  <a:schemeClr val="tx1"/>
                </a:solidFill>
              </a:rPr>
              <a:t> на нужды ГВС</a:t>
            </a:r>
            <a:endParaRPr lang="ru-RU" sz="2000">
              <a:solidFill>
                <a:schemeClr val="tx1"/>
              </a:solidFill>
            </a:endParaRPr>
          </a:p>
        </c:rich>
      </c:tx>
      <c:layout>
        <c:manualLayout>
          <c:xMode val="edge"/>
          <c:yMode val="edge"/>
          <c:x val="0.35721590917229584"/>
          <c:y val="3.0879333800552526E-3"/>
        </c:manualLayout>
      </c:layout>
      <c:overlay val="0"/>
      <c:spPr>
        <a:noFill/>
        <a:ln>
          <a:noFill/>
        </a:ln>
        <a:effectLst/>
      </c:spPr>
    </c:title>
    <c:autoTitleDeleted val="0"/>
    <c:plotArea>
      <c:layout>
        <c:manualLayout>
          <c:layoutTarget val="inner"/>
          <c:xMode val="edge"/>
          <c:yMode val="edge"/>
          <c:x val="3.3082224276733185E-2"/>
          <c:y val="3.2041884816754025E-2"/>
          <c:w val="0.8275816133612327"/>
          <c:h val="0.80940330626210988"/>
        </c:manualLayout>
      </c:layout>
      <c:barChart>
        <c:barDir val="col"/>
        <c:grouping val="clustered"/>
        <c:varyColors val="0"/>
        <c:ser>
          <c:idx val="0"/>
          <c:order val="0"/>
          <c:tx>
            <c:v>Аналогичные МКД</c:v>
          </c:tx>
          <c:spPr>
            <a:pattFill prst="ltHorz">
              <a:fgClr>
                <a:srgbClr val="E1EFFF"/>
              </a:fgClr>
              <a:bgClr>
                <a:srgbClr val="AFD5FF"/>
              </a:bgClr>
            </a:pattFill>
            <a:ln w="19050">
              <a:gradFill flip="none" rotWithShape="1">
                <a:gsLst>
                  <a:gs pos="80000">
                    <a:schemeClr val="bg1"/>
                  </a:gs>
                  <a:gs pos="95000">
                    <a:srgbClr val="AFD5FF"/>
                  </a:gs>
                  <a:gs pos="100000">
                    <a:srgbClr val="AFD5FF"/>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'кривые-экспресс'!$C$5:$C$104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mpd="sng">
              <a:solidFill>
                <a:srgbClr val="00B0F0"/>
              </a:solidFill>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'кривые-экспресс'!$V$5:$V$104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045184"/>
        <c:axId val="846045744"/>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'кривые-экспресс'!$O$5:$O$104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'кривые-экспресс'!$R$5:$R$104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6045184"/>
        <c:axId val="846045744"/>
      </c:lineChart>
      <c:catAx>
        <c:axId val="846045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616136095135082"/>
              <c:y val="0.83579041101537943"/>
            </c:manualLayout>
          </c:layout>
          <c:overlay val="0"/>
          <c:spPr>
            <a:noFill/>
            <a:ln>
              <a:noFill/>
            </a:ln>
            <a:effectLst/>
          </c:sp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045744"/>
        <c:crosses val="autoZero"/>
        <c:auto val="1"/>
        <c:lblAlgn val="ctr"/>
        <c:lblOffset val="500"/>
        <c:tickLblSkip val="5"/>
        <c:noMultiLvlLbl val="0"/>
      </c:catAx>
      <c:valAx>
        <c:axId val="846045744"/>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p>
            </c:rich>
          </c:tx>
          <c:layout>
            <c:manualLayout>
              <c:xMode val="edge"/>
              <c:yMode val="edge"/>
              <c:x val="3.1329612189216628E-2"/>
              <c:y val="3.185323824050789E-2"/>
            </c:manualLayout>
          </c:layout>
          <c:overlay val="0"/>
          <c:spPr>
            <a:solidFill>
              <a:schemeClr val="bg1"/>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045184"/>
        <c:crosses val="autoZero"/>
        <c:crossBetween val="between"/>
      </c:valAx>
      <c:spPr>
        <a:noFill/>
        <a:ln>
          <a:noFill/>
        </a:ln>
        <a:effectLst/>
      </c:spPr>
    </c:plotArea>
    <c:legend>
      <c:legendPos val="b"/>
      <c:layout>
        <c:manualLayout>
          <c:xMode val="edge"/>
          <c:yMode val="edge"/>
          <c:x val="0.86739520813700965"/>
          <c:y val="0.21727699220843474"/>
          <c:w val="0.13031105363148959"/>
          <c:h val="0.523037143917217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Совокупный расход</a:t>
            </a:r>
            <a:r>
              <a:rPr lang="ru-RU" sz="2000" baseline="0">
                <a:solidFill>
                  <a:schemeClr val="tx1"/>
                </a:solidFill>
              </a:rPr>
              <a:t> энергоресурсов</a:t>
            </a:r>
            <a:endParaRPr lang="ru-RU" sz="2000">
              <a:solidFill>
                <a:schemeClr val="tx1"/>
              </a:solidFill>
            </a:endParaRPr>
          </a:p>
        </c:rich>
      </c:tx>
      <c:layout>
        <c:manualLayout>
          <c:xMode val="edge"/>
          <c:yMode val="edge"/>
          <c:x val="0.31212126950612734"/>
          <c:y val="3.3086859161681336E-3"/>
        </c:manualLayout>
      </c:layout>
      <c:overlay val="0"/>
      <c:spPr>
        <a:solidFill>
          <a:schemeClr val="bg1"/>
        </a:solidFill>
        <a:ln>
          <a:noFill/>
        </a:ln>
        <a:effectLst/>
      </c:spPr>
    </c:title>
    <c:autoTitleDeleted val="0"/>
    <c:plotArea>
      <c:layout>
        <c:manualLayout>
          <c:layoutTarget val="inner"/>
          <c:xMode val="edge"/>
          <c:yMode val="edge"/>
          <c:x val="3.3168114447085902E-2"/>
          <c:y val="3.8434509655024637E-2"/>
          <c:w val="0.77946636426841753"/>
          <c:h val="0.8018478996066486"/>
        </c:manualLayout>
      </c:layout>
      <c:barChart>
        <c:barDir val="col"/>
        <c:grouping val="clustered"/>
        <c:varyColors val="0"/>
        <c:ser>
          <c:idx val="0"/>
          <c:order val="2"/>
          <c:tx>
            <c:v>A++</c:v>
          </c:tx>
          <c:spPr>
            <a:pattFill prst="ltHorz">
              <a:fgClr>
                <a:schemeClr val="bg1"/>
              </a:fgClr>
              <a:bgClr>
                <a:srgbClr val="9EE85A"/>
              </a:bgClr>
            </a:pattFill>
            <a:ln w="19050">
              <a:gradFill flip="none" rotWithShape="1">
                <a:gsLst>
                  <a:gs pos="30000">
                    <a:schemeClr val="accent1">
                      <a:lumMod val="5000"/>
                      <a:lumOff val="95000"/>
                    </a:schemeClr>
                  </a:gs>
                  <a:gs pos="75000">
                    <a:srgbClr val="9EE85A"/>
                  </a:gs>
                  <a:gs pos="100000">
                    <a:srgbClr val="9EE85A"/>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'кривые-экспресс'!$E$5:$E$104</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3"/>
          <c:tx>
            <c:v>A+</c:v>
          </c:tx>
          <c:spPr>
            <a:pattFill prst="ltHorz">
              <a:fgClr>
                <a:schemeClr val="bg1"/>
              </a:fgClr>
              <a:bgClr>
                <a:srgbClr val="00CC66"/>
              </a:bgClr>
            </a:pattFill>
            <a:ln w="19050" cap="sq" cmpd="sng">
              <a:gradFill flip="none" rotWithShape="1">
                <a:gsLst>
                  <a:gs pos="30000">
                    <a:schemeClr val="bg1"/>
                  </a:gs>
                  <a:gs pos="100000">
                    <a:srgbClr val="00CC66"/>
                  </a:gs>
                  <a:gs pos="75000">
                    <a:srgbClr val="00CC66"/>
                  </a:gs>
                  <a:gs pos="100000">
                    <a:srgbClr val="00B050"/>
                  </a:gs>
                </a:gsLst>
                <a:lin ang="5400000" scaled="1"/>
                <a:tileRect/>
              </a:gra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'кривые-экспресс'!$F$5:$F$104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5"/>
          <c:order val="4"/>
          <c:tx>
            <c:v>A</c:v>
          </c:tx>
          <c:spPr>
            <a:pattFill prst="ltHorz">
              <a:fgClr>
                <a:schemeClr val="bg1"/>
              </a:fgClr>
              <a:bgClr>
                <a:srgbClr val="CCFF33"/>
              </a:bgClr>
            </a:pattFill>
            <a:ln w="19685">
              <a:gradFill>
                <a:gsLst>
                  <a:gs pos="30000">
                    <a:schemeClr val="bg1"/>
                  </a:gs>
                  <a:gs pos="75000">
                    <a:srgbClr val="CCFF33"/>
                  </a:gs>
                  <a:gs pos="100000">
                    <a:srgbClr val="CCFF33"/>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'кривые-экспресс'!$G$5:$G$104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6"/>
          <c:order val="5"/>
          <c:tx>
            <c:v>B</c:v>
          </c:tx>
          <c:spPr>
            <a:pattFill prst="ltHorz">
              <a:fgClr>
                <a:schemeClr val="bg1"/>
              </a:fgClr>
              <a:bgClr>
                <a:srgbClr val="FFFF00"/>
              </a:bgClr>
            </a:pattFill>
            <a:ln w="19050">
              <a:gradFill flip="none" rotWithShape="1">
                <a:gsLst>
                  <a:gs pos="30000">
                    <a:schemeClr val="bg1"/>
                  </a:gs>
                  <a:gs pos="75000">
                    <a:srgbClr val="FFFF00"/>
                  </a:gs>
                  <a:gs pos="100000">
                    <a:srgbClr val="FFFF00"/>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'кривые-экспресс'!$H$5:$H$104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6"/>
          <c:tx>
            <c:v>C</c:v>
          </c:tx>
          <c:spPr>
            <a:pattFill prst="ltHorz">
              <a:fgClr>
                <a:srgbClr val="FFC081"/>
              </a:fgClr>
              <a:bgClr>
                <a:srgbClr val="FF9933"/>
              </a:bgClr>
            </a:pattFill>
            <a:ln w="19050">
              <a:gradFill flip="none" rotWithShape="1">
                <a:gsLst>
                  <a:gs pos="30000">
                    <a:schemeClr val="bg1">
                      <a:alpha val="93000"/>
                    </a:schemeClr>
                  </a:gs>
                  <a:gs pos="75000">
                    <a:srgbClr val="FF9933"/>
                  </a:gs>
                  <a:gs pos="100000">
                    <a:srgbClr val="FF9933"/>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'кривые-экспресс'!$I$5:$I$104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8"/>
          <c:order val="7"/>
          <c:tx>
            <c:v>D</c:v>
          </c:tx>
          <c:spPr>
            <a:pattFill prst="ltHorz">
              <a:fgClr>
                <a:srgbClr val="FF964B"/>
              </a:fgClr>
              <a:bgClr>
                <a:srgbClr val="FF6600"/>
              </a:bgClr>
            </a:pattFill>
            <a:ln w="19050">
              <a:gradFill flip="none" rotWithShape="1">
                <a:gsLst>
                  <a:gs pos="30000">
                    <a:schemeClr val="bg1"/>
                  </a:gs>
                  <a:gs pos="74000">
                    <a:srgbClr val="FF6600"/>
                  </a:gs>
                  <a:gs pos="100000">
                    <a:srgbClr val="FF6600"/>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'кривые-экспресс'!$J$5:$J$104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9"/>
          <c:order val="8"/>
          <c:tx>
            <c:v>E</c:v>
          </c:tx>
          <c:spPr>
            <a:pattFill prst="ltHorz">
              <a:fgClr>
                <a:srgbClr val="FF6464"/>
              </a:fgClr>
              <a:bgClr>
                <a:srgbClr val="FF0000"/>
              </a:bgClr>
            </a:pattFill>
            <a:ln w="19050">
              <a:gradFill>
                <a:gsLst>
                  <a:gs pos="40000">
                    <a:schemeClr val="bg1"/>
                  </a:gs>
                  <a:gs pos="80000">
                    <a:srgbClr val="FF0000"/>
                  </a:gs>
                  <a:gs pos="100000">
                    <a:srgbClr val="FF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'кривые-экспресс'!$K$5:$K$104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0"/>
          <c:order val="9"/>
          <c:tx>
            <c:v>F</c:v>
          </c:tx>
          <c:spPr>
            <a:pattFill prst="ltHorz">
              <a:fgClr>
                <a:srgbClr val="F03232"/>
              </a:fgClr>
              <a:bgClr>
                <a:srgbClr val="C00000"/>
              </a:bgClr>
            </a:pattFill>
            <a:ln w="19050">
              <a:gradFill>
                <a:gsLst>
                  <a:gs pos="55000">
                    <a:schemeClr val="bg1"/>
                  </a:gs>
                  <a:gs pos="85000">
                    <a:srgbClr val="C00000"/>
                  </a:gs>
                  <a:gs pos="100000">
                    <a:srgbClr val="C0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'кривые-экспресс'!$L$5:$L$104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2"/>
          <c:order val="10"/>
          <c:tx>
            <c:v>G</c:v>
          </c:tx>
          <c:spPr>
            <a:pattFill prst="ltHorz">
              <a:fgClr>
                <a:srgbClr val="FF0000"/>
              </a:fgClr>
              <a:bgClr>
                <a:srgbClr val="9E0000"/>
              </a:bgClr>
            </a:pattFill>
            <a:ln w="19050">
              <a:gradFill>
                <a:gsLst>
                  <a:gs pos="57000">
                    <a:schemeClr val="accent1">
                      <a:lumMod val="5000"/>
                      <a:lumOff val="95000"/>
                    </a:schemeClr>
                  </a:gs>
                  <a:gs pos="100000">
                    <a:srgbClr val="9E0000"/>
                  </a:gs>
                </a:gsLst>
                <a:lin ang="5400000" scaled="1"/>
              </a:gradFill>
            </a:ln>
            <a:effectLst/>
          </c:spPr>
          <c:invertIfNegative val="0"/>
          <c:val>
            <c:numRef>
              <c:f>'кривые-экспресс'!$M$5:$M$105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1"/>
          <c:tx>
            <c:v>Факт</c:v>
          </c:tx>
          <c:spPr>
            <a:solidFill>
              <a:srgbClr val="00B0F0"/>
            </a:solidFill>
            <a:ln>
              <a:no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'кривые-экспресс'!$W$5:$W$104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054704"/>
        <c:axId val="846055264"/>
      </c:barChart>
      <c:lineChart>
        <c:grouping val="standard"/>
        <c:varyColors val="0"/>
        <c:ser>
          <c:idx val="2"/>
          <c:order val="0"/>
          <c:tx>
            <c:v>Базовое значение для текущих ГСОП</c:v>
          </c:tx>
          <c:spPr>
            <a:ln w="28575" cap="rnd">
              <a:solidFill>
                <a:schemeClr val="accent3"/>
              </a:solidFill>
              <a:round/>
            </a:ln>
            <a:effectLst/>
          </c:spPr>
          <c:marker>
            <c:symbol val="none"/>
          </c:marker>
          <c:val>
            <c:numRef>
              <c:f>'кривые-экспресс'!$P$5:$P$104</c:f>
              <c:numCache>
                <c:formatCode>General</c:formatCode>
                <c:ptCount val="100"/>
                <c:pt idx="0" formatCode="0.000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1"/>
          <c:tx>
            <c:v>А++</c:v>
          </c:tx>
          <c:spPr>
            <a:ln w="28575" cap="rnd">
              <a:solidFill>
                <a:srgbClr val="92D050"/>
              </a:solidFill>
              <a:round/>
            </a:ln>
            <a:effectLst/>
          </c:spPr>
          <c:marker>
            <c:symbol val="none"/>
          </c:marker>
          <c:val>
            <c:numRef>
              <c:f>'кривые-экспресс'!$S$5:$S$104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1"/>
        </c:ser>
        <c:dLbls>
          <c:showLegendKey val="0"/>
          <c:showVal val="0"/>
          <c:showCatName val="0"/>
          <c:showSerName val="0"/>
          <c:showPercent val="0"/>
          <c:showBubbleSize val="0"/>
        </c:dLbls>
        <c:marker val="1"/>
        <c:smooth val="0"/>
        <c:axId val="846054704"/>
        <c:axId val="846055264"/>
      </c:lineChart>
      <c:catAx>
        <c:axId val="846054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a:t>
                </a:r>
                <a:r>
                  <a:rPr lang="ru-RU" baseline="0">
                    <a:solidFill>
                      <a:schemeClr val="tx1"/>
                    </a:solidFill>
                  </a:rPr>
                  <a:t> </a:t>
                </a:r>
                <a:r>
                  <a:rPr lang="ru-RU">
                    <a:solidFill>
                      <a:schemeClr val="tx1"/>
                    </a:solidFill>
                  </a:rPr>
                  <a:t>МКД в России</a:t>
                </a:r>
              </a:p>
            </c:rich>
          </c:tx>
          <c:layout>
            <c:manualLayout>
              <c:xMode val="edge"/>
              <c:yMode val="edge"/>
              <c:x val="0.36746240881784298"/>
              <c:y val="0.84902778416217384"/>
            </c:manualLayout>
          </c:layout>
          <c:overlay val="0"/>
          <c:spPr>
            <a:noFill/>
            <a:ln>
              <a:noFill/>
            </a:ln>
            <a:effectLst/>
          </c:spPr>
        </c:title>
        <c:numFmt formatCode="0%" sourceLinked="0"/>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6055264"/>
        <c:crosses val="autoZero"/>
        <c:auto val="1"/>
        <c:lblAlgn val="ctr"/>
        <c:lblOffset val="500"/>
        <c:tickLblSkip val="5"/>
        <c:tickMarkSkip val="10"/>
        <c:noMultiLvlLbl val="0"/>
      </c:catAx>
      <c:valAx>
        <c:axId val="846055264"/>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endParaRPr lang="ru-RU" i="1">
                  <a:solidFill>
                    <a:schemeClr val="tx1"/>
                  </a:solidFill>
                </a:endParaRPr>
              </a:p>
            </c:rich>
          </c:tx>
          <c:layout>
            <c:manualLayout>
              <c:xMode val="edge"/>
              <c:yMode val="edge"/>
              <c:x val="3.7721672562339888E-2"/>
              <c:y val="2.4467922116219495E-2"/>
            </c:manualLayout>
          </c:layout>
          <c:overlay val="0"/>
          <c:spPr>
            <a:solidFill>
              <a:schemeClr val="bg1"/>
            </a:solid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054704"/>
        <c:crosses val="autoZero"/>
        <c:crossBetween val="between"/>
      </c:valAx>
      <c:spPr>
        <a:noFill/>
        <a:ln>
          <a:noFill/>
        </a:ln>
        <a:effectLst/>
      </c:spPr>
    </c:plotArea>
    <c:legend>
      <c:legendPos val="b"/>
      <c:layout>
        <c:manualLayout>
          <c:xMode val="edge"/>
          <c:yMode val="edge"/>
          <c:x val="0.80297508572185139"/>
          <c:y val="2.0922328737559864E-2"/>
          <c:w val="0.18995137959387928"/>
          <c:h val="0.979077671262440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b="0">
                <a:solidFill>
                  <a:schemeClr val="tx1"/>
                </a:solidFill>
              </a:rPr>
              <a:t>Теплоэнергия</a:t>
            </a:r>
            <a:r>
              <a:rPr lang="ru-RU" sz="2000" b="0" baseline="0">
                <a:solidFill>
                  <a:schemeClr val="tx1"/>
                </a:solidFill>
              </a:rPr>
              <a:t> на нужды отопления и вентиляции</a:t>
            </a:r>
            <a:endParaRPr lang="ru-RU" sz="2000" b="0">
              <a:solidFill>
                <a:schemeClr val="tx1"/>
              </a:solidFill>
            </a:endParaRPr>
          </a:p>
        </c:rich>
      </c:tx>
      <c:layout>
        <c:manualLayout>
          <c:xMode val="edge"/>
          <c:yMode val="edge"/>
          <c:x val="0.27430762587580337"/>
          <c:y val="3.1521231078991876E-3"/>
        </c:manualLayout>
      </c:layout>
      <c:overlay val="0"/>
      <c:spPr>
        <a:solidFill>
          <a:schemeClr val="bg1"/>
        </a:solidFill>
        <a:ln>
          <a:noFill/>
        </a:ln>
        <a:effectLst/>
      </c:spPr>
    </c:title>
    <c:autoTitleDeleted val="0"/>
    <c:plotArea>
      <c:layout>
        <c:manualLayout>
          <c:layoutTarget val="inner"/>
          <c:xMode val="edge"/>
          <c:yMode val="edge"/>
          <c:x val="3.5539651468844885E-2"/>
          <c:y val="4.8689572424895695E-2"/>
          <c:w val="0.82435912306049663"/>
          <c:h val="0.78891422467396854"/>
        </c:manualLayout>
      </c:layout>
      <c:barChart>
        <c:barDir val="col"/>
        <c:grouping val="clustered"/>
        <c:varyColors val="0"/>
        <c:ser>
          <c:idx val="0"/>
          <c:order val="0"/>
          <c:tx>
            <c:v>Аналогичные МКД</c:v>
          </c:tx>
          <c:spPr>
            <a:pattFill prst="ltHorz">
              <a:fgClr>
                <a:srgbClr val="FFE8D1"/>
              </a:fgClr>
              <a:bgClr>
                <a:srgbClr val="FFCC99"/>
              </a:bgClr>
            </a:pattFill>
            <a:ln w="19050">
              <a:gradFill>
                <a:gsLst>
                  <a:gs pos="70000">
                    <a:schemeClr val="accent1">
                      <a:lumMod val="5000"/>
                      <a:lumOff val="95000"/>
                    </a:schemeClr>
                  </a:gs>
                  <a:gs pos="90000">
                    <a:srgbClr val="FFCC99"/>
                  </a:gs>
                  <a:gs pos="100000">
                    <a:schemeClr val="bg1">
                      <a:lumMod val="85000"/>
                    </a:schemeClr>
                  </a:gs>
                  <a:gs pos="99000">
                    <a:srgbClr val="FFCC99"/>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'кривые-экспресс'!$B$5:$B$104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ap="sq" cmpd="sng">
              <a:solidFill>
                <a:srgbClr val="00B0F0"/>
              </a:soli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'кривые-экспресс'!$U$5:$U$104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538208"/>
        <c:axId val="846538768"/>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'кривые-экспресс'!$N$5:$N$104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'кривые-экспресс'!$Q$5:$Q$104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6538208"/>
        <c:axId val="846538768"/>
      </c:lineChart>
      <c:catAx>
        <c:axId val="846538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501238709831535"/>
              <c:y val="0.84450652572537932"/>
            </c:manualLayout>
          </c:layout>
          <c:overlay val="0"/>
          <c:spPr>
            <a:noFill/>
            <a:ln w="25400">
              <a:noFill/>
            </a:ln>
          </c:spPr>
        </c:title>
        <c:numFmt formatCode="0%" sourceLinked="1"/>
        <c:majorTickMark val="none"/>
        <c:minorTickMark val="none"/>
        <c:tickLblPos val="low"/>
        <c:spPr>
          <a:ln w="6350">
            <a:noFill/>
          </a:ln>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6538768"/>
        <c:crosses val="autoZero"/>
        <c:auto val="1"/>
        <c:lblAlgn val="ctr"/>
        <c:lblOffset val="500"/>
        <c:tickLblSkip val="5"/>
        <c:noMultiLvlLbl val="0"/>
      </c:catAx>
      <c:valAx>
        <c:axId val="846538768"/>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r>
                  <a:rPr lang="ru-RU" i="1">
                    <a:solidFill>
                      <a:schemeClr val="tx1"/>
                    </a:solidFill>
                  </a:rPr>
                  <a:t>/˚</a:t>
                </a:r>
                <a:r>
                  <a:rPr lang="en-US" i="1">
                    <a:solidFill>
                      <a:schemeClr val="tx1"/>
                    </a:solidFill>
                  </a:rPr>
                  <a:t>C-</a:t>
                </a:r>
                <a:r>
                  <a:rPr lang="ru-RU" i="1">
                    <a:solidFill>
                      <a:schemeClr val="tx1"/>
                    </a:solidFill>
                  </a:rPr>
                  <a:t>сут</a:t>
                </a:r>
              </a:p>
              <a:p>
                <a:pPr>
                  <a:defRPr sz="1000" b="0" i="1" u="none" strike="noStrike" kern="1200" baseline="0">
                    <a:solidFill>
                      <a:schemeClr val="tx1"/>
                    </a:solidFill>
                    <a:latin typeface="+mn-lt"/>
                    <a:ea typeface="+mn-ea"/>
                    <a:cs typeface="+mn-cs"/>
                  </a:defRPr>
                </a:pPr>
                <a:endParaRPr lang="ru-RU" i="1">
                  <a:solidFill>
                    <a:schemeClr val="tx1"/>
                  </a:solidFill>
                </a:endParaRPr>
              </a:p>
            </c:rich>
          </c:tx>
          <c:layout>
            <c:manualLayout>
              <c:xMode val="edge"/>
              <c:yMode val="edge"/>
              <c:x val="3.3340377562736452E-2"/>
              <c:y val="3.2203645777154663E-2"/>
            </c:manualLayout>
          </c:layout>
          <c:overlay val="0"/>
          <c:spPr>
            <a:solidFill>
              <a:schemeClr val="bg1"/>
            </a:solidFill>
            <a:ln>
              <a:noFill/>
            </a:ln>
            <a:effectLst/>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38208"/>
        <c:crosses val="autoZero"/>
        <c:crossBetween val="between"/>
      </c:valAx>
      <c:spPr>
        <a:noFill/>
        <a:ln w="25400">
          <a:noFill/>
        </a:ln>
      </c:spPr>
    </c:plotArea>
    <c:legend>
      <c:legendPos val="b"/>
      <c:layout>
        <c:manualLayout>
          <c:xMode val="edge"/>
          <c:yMode val="edge"/>
          <c:x val="0.86222768780134451"/>
          <c:y val="0.22316039262215509"/>
          <c:w val="0.1363317871846762"/>
          <c:h val="0.59712688311221285"/>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Теплоэнергия</a:t>
            </a:r>
            <a:r>
              <a:rPr lang="ru-RU" sz="2000" baseline="0">
                <a:solidFill>
                  <a:schemeClr val="tx1"/>
                </a:solidFill>
              </a:rPr>
              <a:t> на нужды ГВС</a:t>
            </a:r>
            <a:endParaRPr lang="ru-RU" sz="2000">
              <a:solidFill>
                <a:schemeClr val="tx1"/>
              </a:solidFill>
            </a:endParaRPr>
          </a:p>
        </c:rich>
      </c:tx>
      <c:layout>
        <c:manualLayout>
          <c:xMode val="edge"/>
          <c:yMode val="edge"/>
          <c:x val="0.35721589767162348"/>
          <c:y val="3.0880622680785632E-3"/>
        </c:manualLayout>
      </c:layout>
      <c:overlay val="0"/>
      <c:spPr>
        <a:noFill/>
        <a:ln w="25400">
          <a:noFill/>
        </a:ln>
      </c:spPr>
    </c:title>
    <c:autoTitleDeleted val="0"/>
    <c:plotArea>
      <c:layout>
        <c:manualLayout>
          <c:layoutTarget val="inner"/>
          <c:xMode val="edge"/>
          <c:yMode val="edge"/>
          <c:x val="3.3082224276733185E-2"/>
          <c:y val="3.2041884816754025E-2"/>
          <c:w val="0.8275816133612327"/>
          <c:h val="0.80940330626210988"/>
        </c:manualLayout>
      </c:layout>
      <c:barChart>
        <c:barDir val="col"/>
        <c:grouping val="clustered"/>
        <c:varyColors val="0"/>
        <c:ser>
          <c:idx val="0"/>
          <c:order val="0"/>
          <c:tx>
            <c:v>Аналогичные МКД</c:v>
          </c:tx>
          <c:spPr>
            <a:pattFill prst="ltHorz">
              <a:fgClr>
                <a:srgbClr val="E1EFFF"/>
              </a:fgClr>
              <a:bgClr>
                <a:srgbClr val="AFD5FF"/>
              </a:bgClr>
            </a:pattFill>
            <a:ln w="19050">
              <a:gradFill flip="none" rotWithShape="1">
                <a:gsLst>
                  <a:gs pos="80000">
                    <a:schemeClr val="bg1"/>
                  </a:gs>
                  <a:gs pos="95000">
                    <a:srgbClr val="AFD5FF"/>
                  </a:gs>
                  <a:gs pos="100000">
                    <a:srgbClr val="AFD5FF"/>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'кривые-экспресс'!$C$5:$C$104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
          <c:tx>
            <c:v>Факт</c:v>
          </c:tx>
          <c:spPr>
            <a:solidFill>
              <a:srgbClr val="0070C0"/>
            </a:solidFill>
            <a:ln w="38100" cmpd="sng">
              <a:solidFill>
                <a:srgbClr val="00B0F0"/>
              </a:solidFill>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'кривые-экспресс'!$V$5:$V$104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543248"/>
        <c:axId val="846543808"/>
      </c:barChart>
      <c:lineChart>
        <c:grouping val="standard"/>
        <c:varyColors val="0"/>
        <c:ser>
          <c:idx val="2"/>
          <c:order val="2"/>
          <c:tx>
            <c:v>Базовое значение</c:v>
          </c:tx>
          <c:spPr>
            <a:ln w="25400" cap="rnd">
              <a:solidFill>
                <a:srgbClr val="002060"/>
              </a:solidFill>
              <a:prstDash val="solid"/>
              <a:round/>
            </a:ln>
            <a:effectLst/>
          </c:spPr>
          <c:marker>
            <c:symbol val="none"/>
          </c:marker>
          <c:val>
            <c:numRef>
              <c:f>'кривые-экспресс'!$O$5:$O$104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3"/>
          <c:tx>
            <c:v>Класс А++</c:v>
          </c:tx>
          <c:spPr>
            <a:ln w="25400" cap="rnd">
              <a:solidFill>
                <a:schemeClr val="accent6"/>
              </a:solidFill>
              <a:prstDash val="solid"/>
              <a:round/>
            </a:ln>
            <a:effectLst/>
          </c:spPr>
          <c:marker>
            <c:symbol val="none"/>
          </c:marker>
          <c:val>
            <c:numRef>
              <c:f>'кривые-экспресс'!$R$5:$R$104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dLbls>
          <c:showLegendKey val="0"/>
          <c:showVal val="0"/>
          <c:showCatName val="0"/>
          <c:showSerName val="0"/>
          <c:showPercent val="0"/>
          <c:showBubbleSize val="0"/>
        </c:dLbls>
        <c:marker val="1"/>
        <c:smooth val="0"/>
        <c:axId val="846543248"/>
        <c:axId val="846543808"/>
      </c:lineChart>
      <c:catAx>
        <c:axId val="846543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 МКД в России</a:t>
                </a:r>
              </a:p>
            </c:rich>
          </c:tx>
          <c:layout>
            <c:manualLayout>
              <c:xMode val="edge"/>
              <c:yMode val="edge"/>
              <c:x val="0.36616135265123673"/>
              <c:y val="0.83579038827043173"/>
            </c:manualLayout>
          </c:layout>
          <c:overlay val="0"/>
          <c:spPr>
            <a:noFill/>
            <a:ln w="25400">
              <a:noFill/>
            </a:ln>
          </c:sp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43808"/>
        <c:crosses val="autoZero"/>
        <c:auto val="1"/>
        <c:lblAlgn val="ctr"/>
        <c:lblOffset val="500"/>
        <c:tickLblSkip val="5"/>
        <c:noMultiLvlLbl val="0"/>
      </c:catAx>
      <c:valAx>
        <c:axId val="846543808"/>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p>
            </c:rich>
          </c:tx>
          <c:layout>
            <c:manualLayout>
              <c:xMode val="edge"/>
              <c:yMode val="edge"/>
              <c:x val="3.1329628148263136E-2"/>
              <c:y val="3.1853380396416005E-2"/>
            </c:manualLayout>
          </c:layout>
          <c:overlay val="0"/>
          <c:spPr>
            <a:solidFill>
              <a:schemeClr val="bg1"/>
            </a:solidFill>
            <a:ln>
              <a:noFill/>
            </a:ln>
            <a:effectLst/>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43248"/>
        <c:crosses val="autoZero"/>
        <c:crossBetween val="between"/>
      </c:valAx>
      <c:spPr>
        <a:noFill/>
        <a:ln w="25400">
          <a:noFill/>
        </a:ln>
      </c:spPr>
    </c:plotArea>
    <c:legend>
      <c:legendPos val="b"/>
      <c:layout>
        <c:manualLayout>
          <c:xMode val="edge"/>
          <c:yMode val="edge"/>
          <c:x val="0.8673952071381541"/>
          <c:y val="0.21727685763417504"/>
          <c:w val="0.13031108033406374"/>
          <c:h val="0.52303701692460869"/>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ru-RU" sz="2000">
                <a:solidFill>
                  <a:schemeClr val="tx1"/>
                </a:solidFill>
              </a:rPr>
              <a:t>Совокупный расход</a:t>
            </a:r>
            <a:r>
              <a:rPr lang="ru-RU" sz="2000" baseline="0">
                <a:solidFill>
                  <a:schemeClr val="tx1"/>
                </a:solidFill>
              </a:rPr>
              <a:t> энергоресурсов</a:t>
            </a:r>
            <a:endParaRPr lang="ru-RU" sz="2000">
              <a:solidFill>
                <a:schemeClr val="tx1"/>
              </a:solidFill>
            </a:endParaRPr>
          </a:p>
        </c:rich>
      </c:tx>
      <c:layout>
        <c:manualLayout>
          <c:xMode val="edge"/>
          <c:yMode val="edge"/>
          <c:x val="0.3121212880990335"/>
          <c:y val="3.3085676202700407E-3"/>
        </c:manualLayout>
      </c:layout>
      <c:overlay val="0"/>
      <c:spPr>
        <a:solidFill>
          <a:schemeClr val="bg1"/>
        </a:solidFill>
        <a:ln>
          <a:noFill/>
        </a:ln>
        <a:effectLst/>
      </c:spPr>
    </c:title>
    <c:autoTitleDeleted val="0"/>
    <c:plotArea>
      <c:layout>
        <c:manualLayout>
          <c:layoutTarget val="inner"/>
          <c:xMode val="edge"/>
          <c:yMode val="edge"/>
          <c:x val="3.3168114447085902E-2"/>
          <c:y val="3.8434509655024637E-2"/>
          <c:w val="0.77946636426841753"/>
          <c:h val="0.8018478996066486"/>
        </c:manualLayout>
      </c:layout>
      <c:barChart>
        <c:barDir val="col"/>
        <c:grouping val="clustered"/>
        <c:varyColors val="0"/>
        <c:ser>
          <c:idx val="0"/>
          <c:order val="2"/>
          <c:tx>
            <c:v>A++</c:v>
          </c:tx>
          <c:spPr>
            <a:pattFill prst="ltHorz">
              <a:fgClr>
                <a:schemeClr val="bg1"/>
              </a:fgClr>
              <a:bgClr>
                <a:srgbClr val="9EE85A"/>
              </a:bgClr>
            </a:pattFill>
            <a:ln w="19050">
              <a:gradFill flip="none" rotWithShape="1">
                <a:gsLst>
                  <a:gs pos="30000">
                    <a:schemeClr val="accent1">
                      <a:lumMod val="5000"/>
                      <a:lumOff val="95000"/>
                    </a:schemeClr>
                  </a:gs>
                  <a:gs pos="75000">
                    <a:srgbClr val="9EE85A"/>
                  </a:gs>
                  <a:gs pos="100000">
                    <a:srgbClr val="9EE85A"/>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'кривые-экспресс'!$E$5:$E$104</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4"/>
          <c:order val="3"/>
          <c:tx>
            <c:v>A+</c:v>
          </c:tx>
          <c:spPr>
            <a:pattFill prst="ltHorz">
              <a:fgClr>
                <a:schemeClr val="bg1"/>
              </a:fgClr>
              <a:bgClr>
                <a:srgbClr val="00CC66"/>
              </a:bgClr>
            </a:pattFill>
            <a:ln w="19050" cap="sq" cmpd="sng">
              <a:gradFill flip="none" rotWithShape="1">
                <a:gsLst>
                  <a:gs pos="30000">
                    <a:schemeClr val="bg1"/>
                  </a:gs>
                  <a:gs pos="100000">
                    <a:srgbClr val="00CC66"/>
                  </a:gs>
                  <a:gs pos="75000">
                    <a:srgbClr val="00CC66"/>
                  </a:gs>
                  <a:gs pos="100000">
                    <a:srgbClr val="00B050"/>
                  </a:gs>
                </a:gsLst>
                <a:lin ang="5400000" scaled="1"/>
                <a:tileRect/>
              </a:gradFill>
              <a:prstDash val="solid"/>
              <a:miter lim="800000"/>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'кривые-экспресс'!$F$5:$F$104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5"/>
          <c:order val="4"/>
          <c:tx>
            <c:v>A</c:v>
          </c:tx>
          <c:spPr>
            <a:pattFill prst="ltHorz">
              <a:fgClr>
                <a:schemeClr val="bg1"/>
              </a:fgClr>
              <a:bgClr>
                <a:srgbClr val="CCFF33"/>
              </a:bgClr>
            </a:pattFill>
            <a:ln w="19685">
              <a:gradFill>
                <a:gsLst>
                  <a:gs pos="30000">
                    <a:schemeClr val="bg1"/>
                  </a:gs>
                  <a:gs pos="75000">
                    <a:srgbClr val="CCFF33"/>
                  </a:gs>
                  <a:gs pos="100000">
                    <a:srgbClr val="CCFF33"/>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'кривые-экспресс'!$G$5:$G$104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6"/>
          <c:order val="5"/>
          <c:tx>
            <c:v>B</c:v>
          </c:tx>
          <c:spPr>
            <a:pattFill prst="ltHorz">
              <a:fgClr>
                <a:schemeClr val="bg1"/>
              </a:fgClr>
              <a:bgClr>
                <a:srgbClr val="FFFF00"/>
              </a:bgClr>
            </a:pattFill>
            <a:ln w="19050">
              <a:gradFill flip="none" rotWithShape="1">
                <a:gsLst>
                  <a:gs pos="30000">
                    <a:schemeClr val="bg1"/>
                  </a:gs>
                  <a:gs pos="75000">
                    <a:srgbClr val="FFFF00"/>
                  </a:gs>
                  <a:gs pos="100000">
                    <a:srgbClr val="FFFF00"/>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'кривые-экспресс'!$H$5:$H$104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6"/>
          <c:tx>
            <c:v>C</c:v>
          </c:tx>
          <c:spPr>
            <a:pattFill prst="ltHorz">
              <a:fgClr>
                <a:srgbClr val="FFC081"/>
              </a:fgClr>
              <a:bgClr>
                <a:srgbClr val="FF9933"/>
              </a:bgClr>
            </a:pattFill>
            <a:ln w="19050">
              <a:gradFill flip="none" rotWithShape="1">
                <a:gsLst>
                  <a:gs pos="30000">
                    <a:schemeClr val="bg1">
                      <a:alpha val="93000"/>
                    </a:schemeClr>
                  </a:gs>
                  <a:gs pos="75000">
                    <a:srgbClr val="FF9933"/>
                  </a:gs>
                  <a:gs pos="100000">
                    <a:srgbClr val="FF9933"/>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'кривые-экспресс'!$I$5:$I$104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8"/>
          <c:order val="7"/>
          <c:tx>
            <c:v>D</c:v>
          </c:tx>
          <c:spPr>
            <a:pattFill prst="ltHorz">
              <a:fgClr>
                <a:srgbClr val="FF964B"/>
              </a:fgClr>
              <a:bgClr>
                <a:srgbClr val="FF6600"/>
              </a:bgClr>
            </a:pattFill>
            <a:ln w="19050">
              <a:gradFill flip="none" rotWithShape="1">
                <a:gsLst>
                  <a:gs pos="30000">
                    <a:schemeClr val="bg1"/>
                  </a:gs>
                  <a:gs pos="74000">
                    <a:srgbClr val="FF6600"/>
                  </a:gs>
                  <a:gs pos="100000">
                    <a:srgbClr val="FF6600"/>
                  </a:gs>
                  <a:gs pos="100000">
                    <a:schemeClr val="accent1">
                      <a:lumMod val="30000"/>
                      <a:lumOff val="70000"/>
                    </a:schemeClr>
                  </a:gs>
                </a:gsLst>
                <a:lin ang="5400000" scaled="1"/>
                <a:tileRect/>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'кривые-экспресс'!$J$5:$J$104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9"/>
          <c:order val="8"/>
          <c:tx>
            <c:v>E</c:v>
          </c:tx>
          <c:spPr>
            <a:pattFill prst="ltHorz">
              <a:fgClr>
                <a:srgbClr val="FF6464"/>
              </a:fgClr>
              <a:bgClr>
                <a:srgbClr val="FF0000"/>
              </a:bgClr>
            </a:pattFill>
            <a:ln w="19050">
              <a:gradFill>
                <a:gsLst>
                  <a:gs pos="40000">
                    <a:schemeClr val="bg1"/>
                  </a:gs>
                  <a:gs pos="80000">
                    <a:srgbClr val="FF0000"/>
                  </a:gs>
                  <a:gs pos="100000">
                    <a:srgbClr val="FF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'кривые-экспресс'!$K$5:$K$104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0"/>
          <c:order val="9"/>
          <c:tx>
            <c:v>F</c:v>
          </c:tx>
          <c:spPr>
            <a:pattFill prst="ltHorz">
              <a:fgClr>
                <a:srgbClr val="F03232"/>
              </a:fgClr>
              <a:bgClr>
                <a:srgbClr val="C00000"/>
              </a:bgClr>
            </a:pattFill>
            <a:ln w="19050">
              <a:gradFill>
                <a:gsLst>
                  <a:gs pos="55000">
                    <a:schemeClr val="bg1"/>
                  </a:gs>
                  <a:gs pos="85000">
                    <a:srgbClr val="C00000"/>
                  </a:gs>
                  <a:gs pos="100000">
                    <a:srgbClr val="C00000"/>
                  </a:gs>
                  <a:gs pos="100000">
                    <a:schemeClr val="accent1">
                      <a:lumMod val="30000"/>
                      <a:lumOff val="70000"/>
                    </a:schemeClr>
                  </a:gs>
                </a:gsLst>
                <a:lin ang="5400000" scaled="1"/>
              </a:gradFill>
            </a:ln>
            <a:effectLst/>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'кривые-экспресс'!$L$5:$L$104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2"/>
          <c:order val="10"/>
          <c:tx>
            <c:v>G</c:v>
          </c:tx>
          <c:spPr>
            <a:pattFill prst="ltHorz">
              <a:fgClr>
                <a:srgbClr val="FF0000"/>
              </a:fgClr>
              <a:bgClr>
                <a:srgbClr val="9E0000"/>
              </a:bgClr>
            </a:pattFill>
            <a:ln w="19050">
              <a:gradFill>
                <a:gsLst>
                  <a:gs pos="57000">
                    <a:schemeClr val="accent1">
                      <a:lumMod val="5000"/>
                      <a:lumOff val="95000"/>
                    </a:schemeClr>
                  </a:gs>
                  <a:gs pos="100000">
                    <a:srgbClr val="9E0000"/>
                  </a:gs>
                </a:gsLst>
                <a:lin ang="5400000" scaled="1"/>
              </a:gradFill>
            </a:ln>
            <a:effectLst/>
          </c:spPr>
          <c:invertIfNegative val="0"/>
          <c:val>
            <c:numRef>
              <c:f>'кривые-экспресс'!$M$5:$M$105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1"/>
          <c:order val="11"/>
          <c:tx>
            <c:v>Факт</c:v>
          </c:tx>
          <c:spPr>
            <a:solidFill>
              <a:srgbClr val="00B0F0"/>
            </a:solidFill>
            <a:ln w="25400">
              <a:noFill/>
            </a:ln>
          </c:spPr>
          <c:invertIfNegative val="0"/>
          <c:cat>
            <c:numRef>
              <c:f>'кривые-экспресс'!$A$5:$A$104</c:f>
              <c:numCache>
                <c:formatCode>0%</c:formatCode>
                <c:ptCount val="10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pt idx="99">
                  <c:v>1</c:v>
                </c:pt>
              </c:numCache>
            </c:numRef>
          </c:cat>
          <c:val>
            <c:numRef>
              <c:f>'кривые-экспресс'!$W$5:$W$104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dLbls>
          <c:showLegendKey val="0"/>
          <c:showVal val="0"/>
          <c:showCatName val="0"/>
          <c:showSerName val="0"/>
          <c:showPercent val="0"/>
          <c:showBubbleSize val="0"/>
        </c:dLbls>
        <c:gapWidth val="0"/>
        <c:overlap val="100"/>
        <c:axId val="846552768"/>
        <c:axId val="846553328"/>
      </c:barChart>
      <c:lineChart>
        <c:grouping val="standard"/>
        <c:varyColors val="0"/>
        <c:ser>
          <c:idx val="2"/>
          <c:order val="0"/>
          <c:tx>
            <c:v>Базовое значение для текущих ГСОП</c:v>
          </c:tx>
          <c:spPr>
            <a:ln w="28575" cap="rnd">
              <a:solidFill>
                <a:schemeClr val="accent3"/>
              </a:solidFill>
              <a:round/>
            </a:ln>
            <a:effectLst/>
          </c:spPr>
          <c:marker>
            <c:symbol val="none"/>
          </c:marker>
          <c:val>
            <c:numRef>
              <c:f>'кривые-экспресс'!$P$5:$P$104</c:f>
              <c:numCache>
                <c:formatCode>General</c:formatCode>
                <c:ptCount val="100"/>
                <c:pt idx="0" formatCode="0.000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3"/>
          <c:order val="1"/>
          <c:tx>
            <c:v>А++</c:v>
          </c:tx>
          <c:spPr>
            <a:ln w="28575" cap="rnd">
              <a:solidFill>
                <a:srgbClr val="92D050"/>
              </a:solidFill>
              <a:round/>
            </a:ln>
            <a:effectLst/>
          </c:spPr>
          <c:marker>
            <c:symbol val="none"/>
          </c:marker>
          <c:val>
            <c:numRef>
              <c:f>'кривые-экспресс'!$S$5:$S$104</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1"/>
        </c:ser>
        <c:dLbls>
          <c:showLegendKey val="0"/>
          <c:showVal val="0"/>
          <c:showCatName val="0"/>
          <c:showSerName val="0"/>
          <c:showPercent val="0"/>
          <c:showBubbleSize val="0"/>
        </c:dLbls>
        <c:marker val="1"/>
        <c:smooth val="0"/>
        <c:axId val="846552768"/>
        <c:axId val="846553328"/>
      </c:lineChart>
      <c:catAx>
        <c:axId val="846552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ru-RU">
                    <a:solidFill>
                      <a:schemeClr val="tx1"/>
                    </a:solidFill>
                  </a:rPr>
                  <a:t>процентиль аналогичных</a:t>
                </a:r>
                <a:r>
                  <a:rPr lang="ru-RU" baseline="0">
                    <a:solidFill>
                      <a:schemeClr val="tx1"/>
                    </a:solidFill>
                  </a:rPr>
                  <a:t> </a:t>
                </a:r>
                <a:r>
                  <a:rPr lang="ru-RU">
                    <a:solidFill>
                      <a:schemeClr val="tx1"/>
                    </a:solidFill>
                  </a:rPr>
                  <a:t>МКД в России</a:t>
                </a:r>
              </a:p>
            </c:rich>
          </c:tx>
          <c:layout>
            <c:manualLayout>
              <c:xMode val="edge"/>
              <c:yMode val="edge"/>
              <c:x val="0.36746242580177901"/>
              <c:y val="0.84902788405367913"/>
            </c:manualLayout>
          </c:layout>
          <c:overlay val="0"/>
          <c:spPr>
            <a:noFill/>
            <a:ln w="25400">
              <a:noFill/>
            </a:ln>
          </c:spPr>
        </c:title>
        <c:numFmt formatCode="0%" sourceLinked="0"/>
        <c:majorTickMark val="none"/>
        <c:minorTickMark val="none"/>
        <c:tickLblPos val="low"/>
        <c:spPr>
          <a:ln w="6350">
            <a:noFill/>
          </a:ln>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ru-RU"/>
          </a:p>
        </c:txPr>
        <c:crossAx val="846553328"/>
        <c:crosses val="autoZero"/>
        <c:auto val="1"/>
        <c:lblAlgn val="ctr"/>
        <c:lblOffset val="500"/>
        <c:tickLblSkip val="5"/>
        <c:tickMarkSkip val="10"/>
        <c:noMultiLvlLbl val="0"/>
      </c:catAx>
      <c:valAx>
        <c:axId val="846553328"/>
        <c:scaling>
          <c:orientation val="minMax"/>
        </c:scaling>
        <c:delete val="0"/>
        <c:axPos val="l"/>
        <c:majorGridlines>
          <c:spPr>
            <a:ln w="3175" cap="flat" cmpd="sng" algn="ctr">
              <a:solidFill>
                <a:schemeClr val="tx1">
                  <a:alpha val="15000"/>
                </a:schemeClr>
              </a:solidFill>
              <a:prstDash val="dash"/>
              <a:round/>
            </a:ln>
            <a:effectLst/>
          </c:spPr>
        </c:majorGridlines>
        <c:title>
          <c:tx>
            <c:rich>
              <a:bodyPr rot="-5400000" spcFirstLastPara="1" vertOverflow="ellipsis" vert="horz" wrap="square" anchor="ctr" anchorCtr="1"/>
              <a:lstStyle/>
              <a:p>
                <a:pPr>
                  <a:defRPr sz="1000" b="0" i="1" u="none" strike="noStrike" kern="1200" baseline="0">
                    <a:solidFill>
                      <a:schemeClr val="tx1"/>
                    </a:solidFill>
                    <a:latin typeface="+mn-lt"/>
                    <a:ea typeface="+mn-ea"/>
                    <a:cs typeface="+mn-cs"/>
                  </a:defRPr>
                </a:pPr>
                <a:r>
                  <a:rPr lang="ru-RU" i="1">
                    <a:solidFill>
                      <a:schemeClr val="tx1"/>
                    </a:solidFill>
                  </a:rPr>
                  <a:t>кВтч/м</a:t>
                </a:r>
                <a:r>
                  <a:rPr lang="ru-RU" i="1" baseline="30000">
                    <a:solidFill>
                      <a:schemeClr val="tx1"/>
                    </a:solidFill>
                  </a:rPr>
                  <a:t>2</a:t>
                </a:r>
                <a:endParaRPr lang="ru-RU" i="1">
                  <a:solidFill>
                    <a:schemeClr val="tx1"/>
                  </a:solidFill>
                </a:endParaRPr>
              </a:p>
            </c:rich>
          </c:tx>
          <c:layout>
            <c:manualLayout>
              <c:xMode val="edge"/>
              <c:yMode val="edge"/>
              <c:x val="3.7721649464021761E-2"/>
              <c:y val="2.4467866281605081E-2"/>
            </c:manualLayout>
          </c:layout>
          <c:overlay val="0"/>
          <c:spPr>
            <a:solidFill>
              <a:schemeClr val="bg1"/>
            </a:solidFill>
            <a:ln>
              <a:noFill/>
            </a:ln>
            <a:effectLst/>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ru-RU"/>
          </a:p>
        </c:txPr>
        <c:crossAx val="846552768"/>
        <c:crosses val="autoZero"/>
        <c:crossBetween val="between"/>
      </c:valAx>
      <c:spPr>
        <a:noFill/>
        <a:ln w="25400">
          <a:noFill/>
        </a:ln>
      </c:spPr>
    </c:plotArea>
    <c:legend>
      <c:legendPos val="b"/>
      <c:layout>
        <c:manualLayout>
          <c:xMode val="edge"/>
          <c:yMode val="edge"/>
          <c:x val="0.80297505268248015"/>
          <c:y val="2.0922337685845737E-2"/>
          <c:w val="0.18995134705963149"/>
          <c:h val="0.97907766231415538"/>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1" lockText="1"/>
</file>

<file path=xl/ctrlProps/ctrlProp10.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Система ГВС'!$E$4" lockText="1"/>
</file>

<file path=xl/ctrlProps/ctrlProp15.xml><?xml version="1.0" encoding="utf-8"?>
<formControlPr xmlns="http://schemas.microsoft.com/office/spreadsheetml/2009/9/main" objectType="Radio" checked="Checked"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CheckBox" fmlaLink="'Система ГВС'!$G$17" lockText="1"/>
</file>

<file path=xl/ctrlProps/ctrlProp19.xml><?xml version="1.0" encoding="utf-8"?>
<formControlPr xmlns="http://schemas.microsoft.com/office/spreadsheetml/2009/9/main" objectType="CheckBox" fmlaLink="списки!$C$35" lockText="1"/>
</file>

<file path=xl/ctrlProps/ctrlProp2.xml><?xml version="1.0" encoding="utf-8"?>
<formControlPr xmlns="http://schemas.microsoft.com/office/spreadsheetml/2009/9/main" objectType="CheckBox" fmlaLink="списки!$C$32" lockText="1"/>
</file>

<file path=xl/ctrlProps/ctrlProp20.xml><?xml version="1.0" encoding="utf-8"?>
<formControlPr xmlns="http://schemas.microsoft.com/office/spreadsheetml/2009/9/main" objectType="CheckBox" fmlaLink="списки!$C$36" lockText="1"/>
</file>

<file path=xl/ctrlProps/ctrlProp21.xml><?xml version="1.0" encoding="utf-8"?>
<formControlPr xmlns="http://schemas.microsoft.com/office/spreadsheetml/2009/9/main" objectType="CheckBox" checked="Checked" fmlaLink="списки!$C$37" lockText="1"/>
</file>

<file path=xl/ctrlProps/ctrlProp22.xml><?xml version="1.0" encoding="utf-8"?>
<formControlPr xmlns="http://schemas.microsoft.com/office/spreadsheetml/2009/9/main" objectType="CheckBox" fmlaLink="списки!$C$40" lockText="1"/>
</file>

<file path=xl/ctrlProps/ctrlProp23.xml><?xml version="1.0" encoding="utf-8"?>
<formControlPr xmlns="http://schemas.microsoft.com/office/spreadsheetml/2009/9/main" objectType="CheckBox" fmlaLink="списки!$C$44" lockText="1"/>
</file>

<file path=xl/ctrlProps/ctrlProp24.xml><?xml version="1.0" encoding="utf-8"?>
<formControlPr xmlns="http://schemas.microsoft.com/office/spreadsheetml/2009/9/main" objectType="CheckBox" fmlaLink="списки!$C$45" lockText="1"/>
</file>

<file path=xl/ctrlProps/ctrlProp25.xml><?xml version="1.0" encoding="utf-8"?>
<formControlPr xmlns="http://schemas.microsoft.com/office/spreadsheetml/2009/9/main" objectType="CheckBox" fmlaLink="списки!$C$46" lockText="1"/>
</file>

<file path=xl/ctrlProps/ctrlProp26.xml><?xml version="1.0" encoding="utf-8"?>
<formControlPr xmlns="http://schemas.microsoft.com/office/spreadsheetml/2009/9/main" objectType="CheckBox" fmlaLink="списки!$C$48" lockText="1"/>
</file>

<file path=xl/ctrlProps/ctrlProp27.xml><?xml version="1.0" encoding="utf-8"?>
<formControlPr xmlns="http://schemas.microsoft.com/office/spreadsheetml/2009/9/main" objectType="Radio" checked="Checked" firstButton="1" fmlaLink="'Система отопления'!$F$3"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Система ГВС'!$G$15" lockText="1"/>
</file>

<file path=xl/ctrlProps/ctrlProp30.xml><?xml version="1.0" encoding="utf-8"?>
<formControlPr xmlns="http://schemas.microsoft.com/office/spreadsheetml/2009/9/main" objectType="Radio" checked="Checked" firstButton="1" fmlaLink="'Система ГВС'!$F$3"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checked="Checked" firstButton="1" fmlaLink="'Система ГВС'!$G$18"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Radio" firstButton="1" fmlaLink="'Система отопления'!$B$30"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checked="Checked"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Система ГВС'!$G$16" lockText="1"/>
</file>

<file path=xl/ctrlProps/ctrlProp40.xml><?xml version="1.0" encoding="utf-8"?>
<formControlPr xmlns="http://schemas.microsoft.com/office/spreadsheetml/2009/9/main" objectType="Radio" checked="Checked" firstButton="1" fmlaLink="'Система отопления'!$F$3"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CheckBox" fmlaLink="$AC$26" lockText="1" noThreeD="1"/>
</file>

<file path=xl/ctrlProps/ctrlProp45.xml><?xml version="1.0" encoding="utf-8"?>
<formControlPr xmlns="http://schemas.microsoft.com/office/spreadsheetml/2009/9/main" objectType="CheckBox" fmlaLink="$AC$14" lockText="1" noThreeD="1"/>
</file>

<file path=xl/ctrlProps/ctrlProp46.xml><?xml version="1.0" encoding="utf-8"?>
<formControlPr xmlns="http://schemas.microsoft.com/office/spreadsheetml/2009/9/main" objectType="CheckBox" fmlaLink="$AC$12" lockText="1" noThreeD="1"/>
</file>

<file path=xl/ctrlProps/ctrlProp47.xml><?xml version="1.0" encoding="utf-8"?>
<formControlPr xmlns="http://schemas.microsoft.com/office/spreadsheetml/2009/9/main" objectType="CheckBox" fmlaLink="$AC$75" lockText="1" noThreeD="1"/>
</file>

<file path=xl/ctrlProps/ctrlProp48.xml><?xml version="1.0" encoding="utf-8"?>
<formControlPr xmlns="http://schemas.microsoft.com/office/spreadsheetml/2009/9/main" objectType="CheckBox" checked="Checked" fmlaLink="$AC$34" lockText="1" noThreeD="1"/>
</file>

<file path=xl/ctrlProps/ctrlProp49.xml><?xml version="1.0" encoding="utf-8"?>
<formControlPr xmlns="http://schemas.microsoft.com/office/spreadsheetml/2009/9/main" objectType="CheckBox" fmlaLink="$AC$36" lockText="1" noThreeD="1"/>
</file>

<file path=xl/ctrlProps/ctrlProp5.xml><?xml version="1.0" encoding="utf-8"?>
<formControlPr xmlns="http://schemas.microsoft.com/office/spreadsheetml/2009/9/main" objectType="CheckBox" fmlaLink="'Система отопления'!$G$11" lockText="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76" lockText="1" noThreeD="1"/>
</file>

<file path=xl/ctrlProps/ctrlProp52.xml><?xml version="1.0" encoding="utf-8"?>
<formControlPr xmlns="http://schemas.microsoft.com/office/spreadsheetml/2009/9/main" objectType="CheckBox" fmlaLink="$AC$80" lockText="1" noThreeD="1"/>
</file>

<file path=xl/ctrlProps/ctrlProp53.xml><?xml version="1.0" encoding="utf-8"?>
<formControlPr xmlns="http://schemas.microsoft.com/office/spreadsheetml/2009/9/main" objectType="CheckBox" fmlaLink="$AC$45" lockText="1" noThreeD="1"/>
</file>

<file path=xl/ctrlProps/ctrlProp54.xml><?xml version="1.0" encoding="utf-8"?>
<formControlPr xmlns="http://schemas.microsoft.com/office/spreadsheetml/2009/9/main" objectType="CheckBox" fmlaLink="$AC$37" lockText="1" noThreeD="1"/>
</file>

<file path=xl/ctrlProps/ctrlProp55.xml><?xml version="1.0" encoding="utf-8"?>
<formControlPr xmlns="http://schemas.microsoft.com/office/spreadsheetml/2009/9/main" objectType="CheckBox" fmlaLink="$AC$40" lockText="1" noThreeD="1"/>
</file>

<file path=xl/ctrlProps/ctrlProp56.xml><?xml version="1.0" encoding="utf-8"?>
<formControlPr xmlns="http://schemas.microsoft.com/office/spreadsheetml/2009/9/main" objectType="CheckBox" fmlaLink="$AC$41" lockText="1" noThreeD="1"/>
</file>

<file path=xl/ctrlProps/ctrlProp57.xml><?xml version="1.0" encoding="utf-8"?>
<formControlPr xmlns="http://schemas.microsoft.com/office/spreadsheetml/2009/9/main" objectType="CheckBox" fmlaLink="$AC$57" lockText="1" noThreeD="1"/>
</file>

<file path=xl/ctrlProps/ctrlProp58.xml><?xml version="1.0" encoding="utf-8"?>
<formControlPr xmlns="http://schemas.microsoft.com/office/spreadsheetml/2009/9/main" objectType="CheckBox" fmlaLink="$AC$58" lockText="1" noThreeD="1"/>
</file>

<file path=xl/ctrlProps/ctrlProp59.xml><?xml version="1.0" encoding="utf-8"?>
<formControlPr xmlns="http://schemas.microsoft.com/office/spreadsheetml/2009/9/main" objectType="CheckBox" fmlaLink="$AC$50"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54" lockText="1" noThreeD="1"/>
</file>

<file path=xl/ctrlProps/ctrlProp61.xml><?xml version="1.0" encoding="utf-8"?>
<formControlPr xmlns="http://schemas.microsoft.com/office/spreadsheetml/2009/9/main" objectType="CheckBox" fmlaLink="$AC$51" lockText="1" noThreeD="1"/>
</file>

<file path=xl/ctrlProps/ctrlProp62.xml><?xml version="1.0" encoding="utf-8"?>
<formControlPr xmlns="http://schemas.microsoft.com/office/spreadsheetml/2009/9/main" objectType="CheckBox" fmlaLink="$AC$52" lockText="1" noThreeD="1"/>
</file>

<file path=xl/ctrlProps/ctrlProp63.xml><?xml version="1.0" encoding="utf-8"?>
<formControlPr xmlns="http://schemas.microsoft.com/office/spreadsheetml/2009/9/main" objectType="CheckBox" fmlaLink="$AC$46" lockText="1" noThreeD="1"/>
</file>

<file path=xl/ctrlProps/ctrlProp64.xml><?xml version="1.0" encoding="utf-8"?>
<formControlPr xmlns="http://schemas.microsoft.com/office/spreadsheetml/2009/9/main" objectType="CheckBox" fmlaLink="$AC$47" lockText="1" noThreeD="1"/>
</file>

<file path=xl/ctrlProps/ctrlProp65.xml><?xml version="1.0" encoding="utf-8"?>
<formControlPr xmlns="http://schemas.microsoft.com/office/spreadsheetml/2009/9/main" objectType="CheckBox" fmlaLink="$AC$9" lockText="1" noThreeD="1"/>
</file>

<file path=xl/ctrlProps/ctrlProp66.xml><?xml version="1.0" encoding="utf-8"?>
<formControlPr xmlns="http://schemas.microsoft.com/office/spreadsheetml/2009/9/main" objectType="CheckBox" fmlaLink="$AC$22" lockText="1" noThreeD="1"/>
</file>

<file path=xl/ctrlProps/ctrlProp67.xml><?xml version="1.0" encoding="utf-8"?>
<formControlPr xmlns="http://schemas.microsoft.com/office/spreadsheetml/2009/9/main" objectType="CheckBox" fmlaLink="$AC$29" lockText="1" noThreeD="1"/>
</file>

<file path=xl/ctrlProps/ctrlProp68.xml><?xml version="1.0" encoding="utf-8"?>
<formControlPr xmlns="http://schemas.microsoft.com/office/spreadsheetml/2009/9/main" objectType="CheckBox" fmlaLink="$AC$64" lockText="1" noThreeD="1"/>
</file>

<file path=xl/ctrlProps/ctrlProp69.xml><?xml version="1.0" encoding="utf-8"?>
<formControlPr xmlns="http://schemas.microsoft.com/office/spreadsheetml/2009/9/main" objectType="CheckBox" fmlaLink="$AC$69" lockText="1" noThreeD="1"/>
</file>

<file path=xl/ctrlProps/ctrlProp7.xml><?xml version="1.0" encoding="utf-8"?>
<formControlPr xmlns="http://schemas.microsoft.com/office/spreadsheetml/2009/9/main" objectType="CheckBox" fmlaLink="списки!$C$33" lockText="1"/>
</file>

<file path=xl/ctrlProps/ctrlProp70.xml><?xml version="1.0" encoding="utf-8"?>
<formControlPr xmlns="http://schemas.microsoft.com/office/spreadsheetml/2009/9/main" objectType="CheckBox" fmlaLink="$AC$60" lockText="1" noThreeD="1"/>
</file>

<file path=xl/ctrlProps/ctrlProp71.xml><?xml version="1.0" encoding="utf-8"?>
<formControlPr xmlns="http://schemas.microsoft.com/office/spreadsheetml/2009/9/main" objectType="CheckBox" fmlaLink="$AC$16" lockText="1" noThreeD="1"/>
</file>

<file path=xl/ctrlProps/ctrlProp72.xml><?xml version="1.0" encoding="utf-8"?>
<formControlPr xmlns="http://schemas.microsoft.com/office/spreadsheetml/2009/9/main" objectType="CheckBox" fmlaLink="$AC$78" lockText="1" noThreeD="1"/>
</file>

<file path=xl/ctrlProps/ctrlProp73.xml><?xml version="1.0" encoding="utf-8"?>
<formControlPr xmlns="http://schemas.microsoft.com/office/spreadsheetml/2009/9/main" objectType="CheckBox" fmlaLink="$AC$13" lockText="1" noThreeD="1"/>
</file>

<file path=xl/ctrlProps/ctrlProp8.xml><?xml version="1.0" encoding="utf-8"?>
<formControlPr xmlns="http://schemas.microsoft.com/office/spreadsheetml/2009/9/main" objectType="CheckBox" fmlaLink="списки!$C$34" lockText="1"/>
</file>

<file path=xl/ctrlProps/ctrlProp9.xml><?xml version="1.0" encoding="utf-8"?>
<formControlPr xmlns="http://schemas.microsoft.com/office/spreadsheetml/2009/9/main" objectType="Radio" firstButton="1" fmlaLink="'Система отопления'!$F$8"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4.xml"/><Relationship Id="rId7" Type="http://schemas.openxmlformats.org/officeDocument/2006/relationships/image" Target="../media/image4.png"/><Relationship Id="rId2" Type="http://schemas.openxmlformats.org/officeDocument/2006/relationships/chart" Target="../charts/chart13.xml"/><Relationship Id="rId1" Type="http://schemas.openxmlformats.org/officeDocument/2006/relationships/image" Target="../media/image2.png"/><Relationship Id="rId6" Type="http://schemas.microsoft.com/office/2007/relationships/hdphoto" Target="../media/hdphoto1.wdp"/><Relationship Id="rId5" Type="http://schemas.openxmlformats.org/officeDocument/2006/relationships/image" Target="../media/image3.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1.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2</xdr:col>
      <xdr:colOff>28575</xdr:colOff>
      <xdr:row>65</xdr:row>
      <xdr:rowOff>104775</xdr:rowOff>
    </xdr:from>
    <xdr:to>
      <xdr:col>5</xdr:col>
      <xdr:colOff>1781175</xdr:colOff>
      <xdr:row>80</xdr:row>
      <xdr:rowOff>19050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80</xdr:row>
      <xdr:rowOff>76200</xdr:rowOff>
    </xdr:from>
    <xdr:to>
      <xdr:col>5</xdr:col>
      <xdr:colOff>1781175</xdr:colOff>
      <xdr:row>94</xdr:row>
      <xdr:rowOff>180975</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9525</xdr:colOff>
      <xdr:row>28</xdr:row>
      <xdr:rowOff>190500</xdr:rowOff>
    </xdr:from>
    <xdr:to>
      <xdr:col>7</xdr:col>
      <xdr:colOff>4141</xdr:colOff>
      <xdr:row>37</xdr:row>
      <xdr:rowOff>371475</xdr:rowOff>
    </xdr:to>
    <xdr:pic>
      <xdr:nvPicPr>
        <xdr:cNvPr id="4" name="Рисунок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25200" y="6334125"/>
          <a:ext cx="2085975"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xdr:colOff>
      <xdr:row>43</xdr:row>
      <xdr:rowOff>152400</xdr:rowOff>
    </xdr:from>
    <xdr:to>
      <xdr:col>5</xdr:col>
      <xdr:colOff>1771650</xdr:colOff>
      <xdr:row>59</xdr:row>
      <xdr:rowOff>133350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10582</xdr:colOff>
      <xdr:row>28</xdr:row>
      <xdr:rowOff>188593</xdr:rowOff>
    </xdr:from>
    <xdr:to>
      <xdr:col>7</xdr:col>
      <xdr:colOff>4141</xdr:colOff>
      <xdr:row>37</xdr:row>
      <xdr:rowOff>370093</xdr:rowOff>
    </xdr:to>
    <xdr:pic>
      <xdr:nvPicPr>
        <xdr:cNvPr id="6" name="Рисунок 5"/>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35857" y="6332218"/>
          <a:ext cx="2084918" cy="3420000"/>
        </a:xfrm>
        <a:prstGeom prst="rect">
          <a:avLst/>
        </a:prstGeom>
      </xdr:spPr>
    </xdr:pic>
    <xdr:clientData/>
  </xdr:twoCellAnchor>
  <xdr:twoCellAnchor>
    <xdr:from>
      <xdr:col>2</xdr:col>
      <xdr:colOff>23814</xdr:colOff>
      <xdr:row>65</xdr:row>
      <xdr:rowOff>104509</xdr:rowOff>
    </xdr:from>
    <xdr:to>
      <xdr:col>5</xdr:col>
      <xdr:colOff>1778002</xdr:colOff>
      <xdr:row>80</xdr:row>
      <xdr:rowOff>21166</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27780</xdr:colOff>
      <xdr:row>80</xdr:row>
      <xdr:rowOff>79373</xdr:rowOff>
    </xdr:from>
    <xdr:to>
      <xdr:col>5</xdr:col>
      <xdr:colOff>1778000</xdr:colOff>
      <xdr:row>94</xdr:row>
      <xdr:rowOff>179916</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21168</xdr:colOff>
      <xdr:row>43</xdr:row>
      <xdr:rowOff>148166</xdr:rowOff>
    </xdr:from>
    <xdr:to>
      <xdr:col>5</xdr:col>
      <xdr:colOff>1772976</xdr:colOff>
      <xdr:row>59</xdr:row>
      <xdr:rowOff>135201</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9525</xdr:colOff>
      <xdr:row>28</xdr:row>
      <xdr:rowOff>190500</xdr:rowOff>
    </xdr:from>
    <xdr:to>
      <xdr:col>7</xdr:col>
      <xdr:colOff>4141</xdr:colOff>
      <xdr:row>37</xdr:row>
      <xdr:rowOff>371475</xdr:rowOff>
    </xdr:to>
    <xdr:pic>
      <xdr:nvPicPr>
        <xdr:cNvPr id="10" name="Рисунок 9"/>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25200" y="6334125"/>
          <a:ext cx="2085975"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10582</xdr:colOff>
      <xdr:row>28</xdr:row>
      <xdr:rowOff>188593</xdr:rowOff>
    </xdr:from>
    <xdr:to>
      <xdr:col>7</xdr:col>
      <xdr:colOff>4141</xdr:colOff>
      <xdr:row>37</xdr:row>
      <xdr:rowOff>370093</xdr:rowOff>
    </xdr:to>
    <xdr:pic>
      <xdr:nvPicPr>
        <xdr:cNvPr id="11" name="Рисунок 10"/>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26257" y="6332218"/>
          <a:ext cx="2084918" cy="3420000"/>
        </a:xfrm>
        <a:prstGeom prst="rect">
          <a:avLst/>
        </a:prstGeom>
      </xdr:spPr>
    </xdr:pic>
    <xdr:clientData/>
  </xdr:twoCellAnchor>
  <xdr:twoCellAnchor>
    <xdr:from>
      <xdr:col>2</xdr:col>
      <xdr:colOff>28575</xdr:colOff>
      <xdr:row>65</xdr:row>
      <xdr:rowOff>104775</xdr:rowOff>
    </xdr:from>
    <xdr:to>
      <xdr:col>5</xdr:col>
      <xdr:colOff>1781175</xdr:colOff>
      <xdr:row>80</xdr:row>
      <xdr:rowOff>19050</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28575</xdr:colOff>
      <xdr:row>80</xdr:row>
      <xdr:rowOff>76200</xdr:rowOff>
    </xdr:from>
    <xdr:to>
      <xdr:col>5</xdr:col>
      <xdr:colOff>1781175</xdr:colOff>
      <xdr:row>94</xdr:row>
      <xdr:rowOff>180975</xdr:rowOff>
    </xdr:to>
    <xdr:graphicFrame macro="">
      <xdr:nvGraphicFramePr>
        <xdr:cNvPr id="1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19050</xdr:colOff>
      <xdr:row>43</xdr:row>
      <xdr:rowOff>152400</xdr:rowOff>
    </xdr:from>
    <xdr:to>
      <xdr:col>5</xdr:col>
      <xdr:colOff>1771650</xdr:colOff>
      <xdr:row>59</xdr:row>
      <xdr:rowOff>133350</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23814</xdr:colOff>
      <xdr:row>65</xdr:row>
      <xdr:rowOff>104509</xdr:rowOff>
    </xdr:from>
    <xdr:to>
      <xdr:col>5</xdr:col>
      <xdr:colOff>1778002</xdr:colOff>
      <xdr:row>80</xdr:row>
      <xdr:rowOff>21166</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27780</xdr:colOff>
      <xdr:row>80</xdr:row>
      <xdr:rowOff>79373</xdr:rowOff>
    </xdr:from>
    <xdr:to>
      <xdr:col>5</xdr:col>
      <xdr:colOff>1778000</xdr:colOff>
      <xdr:row>94</xdr:row>
      <xdr:rowOff>179916</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21168</xdr:colOff>
      <xdr:row>43</xdr:row>
      <xdr:rowOff>148166</xdr:rowOff>
    </xdr:from>
    <xdr:to>
      <xdr:col>5</xdr:col>
      <xdr:colOff>1772976</xdr:colOff>
      <xdr:row>59</xdr:row>
      <xdr:rowOff>135201</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43295</xdr:colOff>
      <xdr:row>326</xdr:row>
      <xdr:rowOff>36562</xdr:rowOff>
    </xdr:from>
    <xdr:to>
      <xdr:col>3</xdr:col>
      <xdr:colOff>451235</xdr:colOff>
      <xdr:row>336</xdr:row>
      <xdr:rowOff>105834</xdr:rowOff>
    </xdr:to>
    <xdr:sp macro="" textlink="">
      <xdr:nvSpPr>
        <xdr:cNvPr id="65" name="Прямоугольник 64"/>
        <xdr:cNvSpPr/>
      </xdr:nvSpPr>
      <xdr:spPr>
        <a:xfrm>
          <a:off x="43295" y="84787895"/>
          <a:ext cx="4630690" cy="2979689"/>
        </a:xfrm>
        <a:prstGeom prst="rect">
          <a:avLst/>
        </a:prstGeom>
        <a:no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xdr:col>
      <xdr:colOff>311453</xdr:colOff>
      <xdr:row>353</xdr:row>
      <xdr:rowOff>52916</xdr:rowOff>
    </xdr:from>
    <xdr:to>
      <xdr:col>4</xdr:col>
      <xdr:colOff>3976688</xdr:colOff>
      <xdr:row>369</xdr:row>
      <xdr:rowOff>65616</xdr:rowOff>
    </xdr:to>
    <xdr:graphicFrame macro="">
      <xdr:nvGraphicFramePr>
        <xdr:cNvPr id="45" name="Диаграмма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300869</xdr:colOff>
      <xdr:row>369</xdr:row>
      <xdr:rowOff>127000</xdr:rowOff>
    </xdr:from>
    <xdr:to>
      <xdr:col>4</xdr:col>
      <xdr:colOff>3988594</xdr:colOff>
      <xdr:row>385</xdr:row>
      <xdr:rowOff>132142</xdr:rowOff>
    </xdr:to>
    <xdr:graphicFrame macro="">
      <xdr:nvGraphicFramePr>
        <xdr:cNvPr id="47" name="Диаграмма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333374</xdr:colOff>
      <xdr:row>326</xdr:row>
      <xdr:rowOff>324970</xdr:rowOff>
    </xdr:from>
    <xdr:to>
      <xdr:col>2</xdr:col>
      <xdr:colOff>2035968</xdr:colOff>
      <xdr:row>336</xdr:row>
      <xdr:rowOff>2402</xdr:rowOff>
    </xdr:to>
    <xdr:pic>
      <xdr:nvPicPr>
        <xdr:cNvPr id="48" name="Рисунок 47"/>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0999" y="93753314"/>
          <a:ext cx="2035969" cy="2582556"/>
        </a:xfrm>
        <a:prstGeom prst="rect">
          <a:avLst/>
        </a:prstGeom>
      </xdr:spPr>
    </xdr:pic>
    <xdr:clientData/>
  </xdr:twoCellAnchor>
  <xdr:twoCellAnchor>
    <xdr:from>
      <xdr:col>2</xdr:col>
      <xdr:colOff>2031467</xdr:colOff>
      <xdr:row>326</xdr:row>
      <xdr:rowOff>324970</xdr:rowOff>
    </xdr:from>
    <xdr:to>
      <xdr:col>3</xdr:col>
      <xdr:colOff>208110</xdr:colOff>
      <xdr:row>336</xdr:row>
      <xdr:rowOff>2401</xdr:rowOff>
    </xdr:to>
    <xdr:sp macro="" textlink="">
      <xdr:nvSpPr>
        <xdr:cNvPr id="5" name="Прямоугольник 4"/>
        <xdr:cNvSpPr/>
      </xdr:nvSpPr>
      <xdr:spPr>
        <a:xfrm>
          <a:off x="2412467" y="89389323"/>
          <a:ext cx="2009055" cy="259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editAs="oneCell">
    <xdr:from>
      <xdr:col>3</xdr:col>
      <xdr:colOff>1100667</xdr:colOff>
      <xdr:row>48</xdr:row>
      <xdr:rowOff>74849</xdr:rowOff>
    </xdr:from>
    <xdr:to>
      <xdr:col>3</xdr:col>
      <xdr:colOff>2043293</xdr:colOff>
      <xdr:row>48</xdr:row>
      <xdr:rowOff>894320</xdr:rowOff>
    </xdr:to>
    <xdr:pic>
      <xdr:nvPicPr>
        <xdr:cNvPr id="50" name="Рисунок 49" descr="Типовой проект I-447С-26 - планировка">
          <a:extLst>
            <a:ext uri="{FF2B5EF4-FFF2-40B4-BE49-F238E27FC236}">
              <a16:creationId xmlns=""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bright="-37000" contrast="68000"/>
                  </a14:imgEffect>
                </a14:imgLayer>
              </a14:imgProps>
            </a:ext>
            <a:ext uri="{28A0092B-C50C-407E-A947-70E740481C1C}">
              <a14:useLocalDpi xmlns:a14="http://schemas.microsoft.com/office/drawing/2010/main" val="0"/>
            </a:ext>
          </a:extLst>
        </a:blip>
        <a:srcRect/>
        <a:stretch>
          <a:fillRect/>
        </a:stretch>
      </xdr:blipFill>
      <xdr:spPr bwMode="auto">
        <a:xfrm rot="5400000">
          <a:off x="5384994" y="14205522"/>
          <a:ext cx="819471" cy="94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464343</xdr:colOff>
      <xdr:row>49</xdr:row>
      <xdr:rowOff>35719</xdr:rowOff>
    </xdr:from>
    <xdr:to>
      <xdr:col>3</xdr:col>
      <xdr:colOff>2619374</xdr:colOff>
      <xdr:row>49</xdr:row>
      <xdr:rowOff>904875</xdr:rowOff>
    </xdr:to>
    <xdr:pic>
      <xdr:nvPicPr>
        <xdr:cNvPr id="51" name="Рисунок 50" descr="планировка">
          <a:extLst>
            <a:ext uri="{FF2B5EF4-FFF2-40B4-BE49-F238E27FC236}">
              <a16:creationId xmlns="" xmlns:a16="http://schemas.microsoft.com/office/drawing/2014/main" id="{00000000-0008-0000-0100-00002C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900" t="4297" r="2611" b="5683"/>
        <a:stretch/>
      </xdr:blipFill>
      <xdr:spPr bwMode="auto">
        <a:xfrm>
          <a:off x="4679156" y="15359063"/>
          <a:ext cx="2155031" cy="869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xdr:colOff>
      <xdr:row>339</xdr:row>
      <xdr:rowOff>0</xdr:rowOff>
    </xdr:from>
    <xdr:to>
      <xdr:col>4</xdr:col>
      <xdr:colOff>4000501</xdr:colOff>
      <xdr:row>352</xdr:row>
      <xdr:rowOff>28638</xdr:rowOff>
    </xdr:to>
    <xdr:graphicFrame macro="">
      <xdr:nvGraphicFramePr>
        <xdr:cNvPr id="53" name="Диаграмма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38100</xdr:rowOff>
        </xdr:from>
        <xdr:to>
          <xdr:col>3</xdr:col>
          <xdr:colOff>1190625</xdr:colOff>
          <xdr:row>26</xdr:row>
          <xdr:rowOff>361950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имеется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26</xdr:row>
          <xdr:rowOff>38100</xdr:rowOff>
        </xdr:from>
        <xdr:to>
          <xdr:col>3</xdr:col>
          <xdr:colOff>2762250</xdr:colOff>
          <xdr:row>26</xdr:row>
          <xdr:rowOff>361950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143</xdr:row>
          <xdr:rowOff>9525</xdr:rowOff>
        </xdr:from>
        <xdr:to>
          <xdr:col>2</xdr:col>
          <xdr:colOff>1885950</xdr:colOff>
          <xdr:row>143</xdr:row>
          <xdr:rowOff>371475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143</xdr:row>
          <xdr:rowOff>19050</xdr:rowOff>
        </xdr:from>
        <xdr:to>
          <xdr:col>2</xdr:col>
          <xdr:colOff>3781425</xdr:colOff>
          <xdr:row>144</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100</xdr:row>
          <xdr:rowOff>57150</xdr:rowOff>
        </xdr:from>
        <xdr:to>
          <xdr:col>2</xdr:col>
          <xdr:colOff>3505200</xdr:colOff>
          <xdr:row>101</xdr:row>
          <xdr:rowOff>180975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19050</xdr:rowOff>
        </xdr:from>
        <xdr:to>
          <xdr:col>2</xdr:col>
          <xdr:colOff>3819525</xdr:colOff>
          <xdr:row>100</xdr:row>
          <xdr:rowOff>57150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38100</xdr:rowOff>
        </xdr:from>
        <xdr:to>
          <xdr:col>3</xdr:col>
          <xdr:colOff>1190625</xdr:colOff>
          <xdr:row>27</xdr:row>
          <xdr:rowOff>342900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имеется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27</xdr:row>
          <xdr:rowOff>66675</xdr:rowOff>
        </xdr:from>
        <xdr:to>
          <xdr:col>3</xdr:col>
          <xdr:colOff>2762250</xdr:colOff>
          <xdr:row>27</xdr:row>
          <xdr:rowOff>342900</xdr:rowOff>
        </xdr:to>
        <xdr:sp macro="" textlink="">
          <xdr:nvSpPr>
            <xdr:cNvPr id="5192" name="Check Box 72" descr="отапливаемый"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отапливаемый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98</xdr:row>
          <xdr:rowOff>152400</xdr:rowOff>
        </xdr:from>
        <xdr:to>
          <xdr:col>2</xdr:col>
          <xdr:colOff>1952625</xdr:colOff>
          <xdr:row>99</xdr:row>
          <xdr:rowOff>190500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2057400</xdr:colOff>
          <xdr:row>98</xdr:row>
          <xdr:rowOff>133350</xdr:rowOff>
        </xdr:from>
        <xdr:to>
          <xdr:col>2</xdr:col>
          <xdr:colOff>3686175</xdr:colOff>
          <xdr:row>99</xdr:row>
          <xdr:rowOff>180975</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9525</xdr:rowOff>
        </xdr:from>
        <xdr:to>
          <xdr:col>2</xdr:col>
          <xdr:colOff>3819525</xdr:colOff>
          <xdr:row>112</xdr:row>
          <xdr:rowOff>485775</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9525</xdr:rowOff>
        </xdr:from>
        <xdr:to>
          <xdr:col>4</xdr:col>
          <xdr:colOff>4000500</xdr:colOff>
          <xdr:row>114</xdr:row>
          <xdr:rowOff>200025</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190500</xdr:rowOff>
        </xdr:from>
        <xdr:to>
          <xdr:col>2</xdr:col>
          <xdr:colOff>3819525</xdr:colOff>
          <xdr:row>141</xdr:row>
          <xdr:rowOff>9525</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135</xdr:row>
          <xdr:rowOff>66675</xdr:rowOff>
        </xdr:from>
        <xdr:to>
          <xdr:col>2</xdr:col>
          <xdr:colOff>3676650</xdr:colOff>
          <xdr:row>136</xdr:row>
          <xdr:rowOff>114300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136</xdr:row>
          <xdr:rowOff>152400</xdr:rowOff>
        </xdr:from>
        <xdr:to>
          <xdr:col>2</xdr:col>
          <xdr:colOff>3667125</xdr:colOff>
          <xdr:row>137</xdr:row>
          <xdr:rowOff>190500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137</xdr:row>
          <xdr:rowOff>219075</xdr:rowOff>
        </xdr:from>
        <xdr:to>
          <xdr:col>2</xdr:col>
          <xdr:colOff>3676650</xdr:colOff>
          <xdr:row>139</xdr:row>
          <xdr:rowOff>47625</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139</xdr:row>
          <xdr:rowOff>76200</xdr:rowOff>
        </xdr:from>
        <xdr:to>
          <xdr:col>2</xdr:col>
          <xdr:colOff>3667125</xdr:colOff>
          <xdr:row>140</xdr:row>
          <xdr:rowOff>133350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144</xdr:row>
          <xdr:rowOff>28575</xdr:rowOff>
        </xdr:from>
        <xdr:to>
          <xdr:col>2</xdr:col>
          <xdr:colOff>3686175</xdr:colOff>
          <xdr:row>145</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3076575</xdr:colOff>
          <xdr:row>29</xdr:row>
          <xdr:rowOff>9525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3086100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38100</xdr:colOff>
          <xdr:row>31</xdr:row>
          <xdr:rowOff>28575</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28575</xdr:rowOff>
        </xdr:from>
        <xdr:to>
          <xdr:col>3</xdr:col>
          <xdr:colOff>3000375</xdr:colOff>
          <xdr:row>17</xdr:row>
          <xdr:rowOff>180975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3</xdr:col>
          <xdr:colOff>3028950</xdr:colOff>
          <xdr:row>35</xdr:row>
          <xdr:rowOff>257175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50</xdr:row>
          <xdr:rowOff>28575</xdr:rowOff>
        </xdr:from>
        <xdr:to>
          <xdr:col>3</xdr:col>
          <xdr:colOff>2914650</xdr:colOff>
          <xdr:row>50</xdr:row>
          <xdr:rowOff>333375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Высота потолков более 3-х метров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50</xdr:row>
          <xdr:rowOff>19050</xdr:rowOff>
        </xdr:from>
        <xdr:to>
          <xdr:col>4</xdr:col>
          <xdr:colOff>3800475</xdr:colOff>
          <xdr:row>50</xdr:row>
          <xdr:rowOff>342900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Витрины в нежилых помещениях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50</xdr:row>
          <xdr:rowOff>19050</xdr:rowOff>
        </xdr:from>
        <xdr:to>
          <xdr:col>2</xdr:col>
          <xdr:colOff>3733800</xdr:colOff>
          <xdr:row>50</xdr:row>
          <xdr:rowOff>352425</xdr:rowOff>
        </xdr:to>
        <xdr:sp macro="" textlink="">
          <xdr:nvSpPr>
            <xdr:cNvPr id="5323" name="Option Button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 не одноподъездная башня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48</xdr:row>
          <xdr:rowOff>57150</xdr:rowOff>
        </xdr:from>
        <xdr:to>
          <xdr:col>2</xdr:col>
          <xdr:colOff>3752850</xdr:colOff>
          <xdr:row>48</xdr:row>
          <xdr:rowOff>904875</xdr:rowOff>
        </xdr:to>
        <xdr:sp macro="" textlink="">
          <xdr:nvSpPr>
            <xdr:cNvPr id="5324" name="Option Button 204" descr="МКД - башня, вытянутая в сечении"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 одноподъездная башня, квадратная в сечении</a:t>
              </a:r>
            </a:p>
          </xdr:txBody>
        </xdr:sp>
        <xdr:clientData/>
      </xdr:twoCellAnchor>
    </mc:Choice>
    <mc:Fallback/>
  </mc:AlternateContent>
  <xdr:oneCellAnchor>
    <xdr:from>
      <xdr:col>2</xdr:col>
      <xdr:colOff>327165</xdr:colOff>
      <xdr:row>110</xdr:row>
      <xdr:rowOff>26688</xdr:rowOff>
    </xdr:from>
    <xdr:ext cx="3217792" cy="374077"/>
    <xdr:sp macro="" textlink="">
      <xdr:nvSpPr>
        <xdr:cNvPr id="2" name="TextBox 1"/>
        <xdr:cNvSpPr txBox="1"/>
      </xdr:nvSpPr>
      <xdr:spPr>
        <a:xfrm>
          <a:off x="708165" y="35352014"/>
          <a:ext cx="321779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900" b="0"/>
            <a:t>Централизованное,</a:t>
          </a:r>
          <a:r>
            <a:rPr lang="ru-RU" sz="900" b="0" baseline="0"/>
            <a:t> когда для приготовления горячей воды используется тепловая энергия от котельной или ТЭЦ</a:t>
          </a:r>
          <a:endParaRPr lang="ru-RU" sz="900" b="0"/>
        </a:p>
      </xdr:txBody>
    </xdr:sp>
    <xdr:clientData/>
  </xdr:oneCellAnchor>
  <xdr:oneCellAnchor>
    <xdr:from>
      <xdr:col>2</xdr:col>
      <xdr:colOff>330479</xdr:colOff>
      <xdr:row>111</xdr:row>
      <xdr:rowOff>336457</xdr:rowOff>
    </xdr:from>
    <xdr:ext cx="3217792" cy="514949"/>
    <xdr:sp macro="" textlink="">
      <xdr:nvSpPr>
        <xdr:cNvPr id="55" name="TextBox 54"/>
        <xdr:cNvSpPr txBox="1"/>
      </xdr:nvSpPr>
      <xdr:spPr>
        <a:xfrm>
          <a:off x="711479" y="35852283"/>
          <a:ext cx="3217792" cy="514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900" b="0"/>
            <a:t>Децентрализованное с приготовлением горячей воды в индивидуальных поквартирных газовых водонагревателях (газовых колонках)</a:t>
          </a:r>
        </a:p>
      </xdr:txBody>
    </xdr:sp>
    <xdr:clientData/>
  </xdr:oneCellAnchor>
  <mc:AlternateContent xmlns:mc="http://schemas.openxmlformats.org/markup-compatibility/2006">
    <mc:Choice xmlns:a14="http://schemas.microsoft.com/office/drawing/2010/main" Requires="a14">
      <xdr:twoCellAnchor editAs="oneCell">
        <xdr:from>
          <xdr:col>2</xdr:col>
          <xdr:colOff>200025</xdr:colOff>
          <xdr:row>49</xdr:row>
          <xdr:rowOff>85725</xdr:rowOff>
        </xdr:from>
        <xdr:to>
          <xdr:col>2</xdr:col>
          <xdr:colOff>3714750</xdr:colOff>
          <xdr:row>49</xdr:row>
          <xdr:rowOff>866775</xdr:rowOff>
        </xdr:to>
        <xdr:sp macro="" textlink="">
          <xdr:nvSpPr>
            <xdr:cNvPr id="5325" name="Option Button 205" descr="МКД - башня, вытянутая в сечении"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 одноподъездная башня, вытянутая в сечении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161925</xdr:rowOff>
        </xdr:from>
        <xdr:to>
          <xdr:col>2</xdr:col>
          <xdr:colOff>3752850</xdr:colOff>
          <xdr:row>111</xdr:row>
          <xdr:rowOff>285750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389284</xdr:colOff>
      <xdr:row>110</xdr:row>
      <xdr:rowOff>60741</xdr:rowOff>
    </xdr:from>
    <xdr:ext cx="3470412" cy="374077"/>
    <xdr:sp macro="" textlink="">
      <xdr:nvSpPr>
        <xdr:cNvPr id="3" name="TextBox 2"/>
        <xdr:cNvSpPr txBox="1"/>
      </xdr:nvSpPr>
      <xdr:spPr>
        <a:xfrm>
          <a:off x="7734117" y="35514908"/>
          <a:ext cx="347041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900"/>
            <a:t>Открытая с отбором сетевой</a:t>
          </a:r>
          <a:r>
            <a:rPr lang="ru-RU" sz="900" baseline="0"/>
            <a:t> воды на горячее водоснабжение из тепловой сети</a:t>
          </a:r>
          <a:endParaRPr lang="ru-RU" sz="900"/>
        </a:p>
      </xdr:txBody>
    </xdr:sp>
    <xdr:clientData/>
  </xdr:oneCellAnchor>
  <mc:AlternateContent xmlns:mc="http://schemas.openxmlformats.org/markup-compatibility/2006">
    <mc:Choice xmlns:a14="http://schemas.microsoft.com/office/drawing/2010/main" Requires="a14">
      <xdr:twoCellAnchor editAs="oneCell">
        <xdr:from>
          <xdr:col>2</xdr:col>
          <xdr:colOff>76200</xdr:colOff>
          <xdr:row>111</xdr:row>
          <xdr:rowOff>314325</xdr:rowOff>
        </xdr:from>
        <xdr:to>
          <xdr:col>2</xdr:col>
          <xdr:colOff>3752850</xdr:colOff>
          <xdr:row>112</xdr:row>
          <xdr:rowOff>390525</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380999</xdr:colOff>
      <xdr:row>112</xdr:row>
      <xdr:rowOff>41414</xdr:rowOff>
    </xdr:from>
    <xdr:ext cx="3470412" cy="374077"/>
    <xdr:sp macro="" textlink="">
      <xdr:nvSpPr>
        <xdr:cNvPr id="57" name="TextBox 56"/>
        <xdr:cNvSpPr txBox="1"/>
      </xdr:nvSpPr>
      <xdr:spPr>
        <a:xfrm>
          <a:off x="7711108" y="35996218"/>
          <a:ext cx="347041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900"/>
            <a:t>Закрытая с приготовлением горячей воды в центральном тепловом пункте (ЦТП)</a:t>
          </a:r>
        </a:p>
      </xdr:txBody>
    </xdr:sp>
    <xdr:clientData/>
  </xdr:oneCellAnchor>
  <xdr:oneCellAnchor>
    <xdr:from>
      <xdr:col>4</xdr:col>
      <xdr:colOff>389282</xdr:colOff>
      <xdr:row>113</xdr:row>
      <xdr:rowOff>207984</xdr:rowOff>
    </xdr:from>
    <xdr:ext cx="3470412" cy="374077"/>
    <xdr:sp macro="" textlink="">
      <xdr:nvSpPr>
        <xdr:cNvPr id="58" name="TextBox 57"/>
        <xdr:cNvSpPr txBox="1"/>
      </xdr:nvSpPr>
      <xdr:spPr>
        <a:xfrm>
          <a:off x="7734115" y="36783984"/>
          <a:ext cx="347041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900"/>
            <a:t>Закрытая с приготовлением горячей воды в индивидуальном тепловом пункте (ИТП)</a:t>
          </a:r>
        </a:p>
      </xdr:txBody>
    </xdr:sp>
    <xdr:clientData/>
  </xdr:oneCellAnchor>
  <mc:AlternateContent xmlns:mc="http://schemas.openxmlformats.org/markup-compatibility/2006">
    <mc:Choice xmlns:a14="http://schemas.microsoft.com/office/drawing/2010/main" Requires="a14">
      <xdr:twoCellAnchor editAs="oneCell">
        <xdr:from>
          <xdr:col>4</xdr:col>
          <xdr:colOff>76200</xdr:colOff>
          <xdr:row>109</xdr:row>
          <xdr:rowOff>161925</xdr:rowOff>
        </xdr:from>
        <xdr:to>
          <xdr:col>4</xdr:col>
          <xdr:colOff>3962400</xdr:colOff>
          <xdr:row>111</xdr:row>
          <xdr:rowOff>314325</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111</xdr:row>
          <xdr:rowOff>390525</xdr:rowOff>
        </xdr:from>
        <xdr:to>
          <xdr:col>4</xdr:col>
          <xdr:colOff>3962400</xdr:colOff>
          <xdr:row>113</xdr:row>
          <xdr:rowOff>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273789</xdr:colOff>
      <xdr:row>99</xdr:row>
      <xdr:rowOff>10587</xdr:rowOff>
    </xdr:from>
    <xdr:ext cx="3652631" cy="1266372"/>
    <xdr:sp macro="" textlink="">
      <xdr:nvSpPr>
        <xdr:cNvPr id="4" name="TextBox 3"/>
        <xdr:cNvSpPr txBox="1"/>
      </xdr:nvSpPr>
      <xdr:spPr>
        <a:xfrm>
          <a:off x="7618622" y="33274004"/>
          <a:ext cx="3652631" cy="12663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900"/>
            <a:t>Элеваторный узел</a:t>
          </a:r>
        </a:p>
        <a:p>
          <a:endParaRPr lang="ru-RU" sz="1100"/>
        </a:p>
        <a:p>
          <a:r>
            <a:rPr lang="ru-RU" sz="900"/>
            <a:t>Автоматизированный узел управления системой отопления</a:t>
          </a:r>
          <a:r>
            <a:rPr lang="ru-RU" sz="900" baseline="0"/>
            <a:t> (АУУ СО)</a:t>
          </a:r>
        </a:p>
        <a:p>
          <a:endParaRPr lang="ru-RU" sz="1200" baseline="0"/>
        </a:p>
        <a:p>
          <a:r>
            <a:rPr lang="ru-RU" sz="900" baseline="0"/>
            <a:t>Автоматизированный индивидуальный тепловой пункт (АИТП)</a:t>
          </a:r>
        </a:p>
        <a:p>
          <a:endParaRPr lang="ru-RU" sz="1400" baseline="0"/>
        </a:p>
        <a:p>
          <a:r>
            <a:rPr lang="ru-RU" sz="900" baseline="0"/>
            <a:t>Без смешивающих устройств (непосредственное подключение)</a:t>
          </a:r>
          <a:endParaRPr lang="ru-RU" sz="900"/>
        </a:p>
      </xdr:txBody>
    </xdr:sp>
    <xdr:clientData/>
  </xdr:oneCellAnchor>
  <mc:AlternateContent xmlns:mc="http://schemas.openxmlformats.org/markup-compatibility/2006">
    <mc:Choice xmlns:a14="http://schemas.microsoft.com/office/drawing/2010/main" Requires="a14">
      <xdr:twoCellAnchor editAs="oneCell">
        <xdr:from>
          <xdr:col>4</xdr:col>
          <xdr:colOff>85725</xdr:colOff>
          <xdr:row>113</xdr:row>
          <xdr:rowOff>123825</xdr:rowOff>
        </xdr:from>
        <xdr:to>
          <xdr:col>4</xdr:col>
          <xdr:colOff>3971925</xdr:colOff>
          <xdr:row>114</xdr:row>
          <xdr:rowOff>114300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1460499</xdr:colOff>
      <xdr:row>213</xdr:row>
      <xdr:rowOff>190500</xdr:rowOff>
    </xdr:from>
    <xdr:ext cx="963083" cy="280205"/>
    <xdr:sp macro="" textlink="">
      <xdr:nvSpPr>
        <xdr:cNvPr id="6" name="TextBox 5"/>
        <xdr:cNvSpPr txBox="1"/>
      </xdr:nvSpPr>
      <xdr:spPr>
        <a:xfrm>
          <a:off x="1852082" y="67807417"/>
          <a:ext cx="96308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1200" b="1"/>
            <a:t>Не выбран</a:t>
          </a:r>
        </a:p>
      </xdr:txBody>
    </xdr:sp>
    <xdr:clientData/>
  </xdr:oneCellAnchor>
  <xdr:oneCellAnchor>
    <xdr:from>
      <xdr:col>3</xdr:col>
      <xdr:colOff>406400</xdr:colOff>
      <xdr:row>213</xdr:row>
      <xdr:rowOff>173567</xdr:rowOff>
    </xdr:from>
    <xdr:ext cx="3575915" cy="280205"/>
    <xdr:sp macro="" textlink="">
      <xdr:nvSpPr>
        <xdr:cNvPr id="61" name="TextBox 60"/>
        <xdr:cNvSpPr txBox="1"/>
      </xdr:nvSpPr>
      <xdr:spPr>
        <a:xfrm>
          <a:off x="4629150" y="67790484"/>
          <a:ext cx="35759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ru-RU" sz="1200" b="1"/>
            <a:t>Совместный</a:t>
          </a:r>
          <a:r>
            <a:rPr lang="ru-RU" sz="1200"/>
            <a:t> учет теплоэнергии на отопление и ГВС</a:t>
          </a:r>
        </a:p>
      </xdr:txBody>
    </xdr:sp>
    <xdr:clientData/>
  </xdr:oneCellAnchor>
  <xdr:oneCellAnchor>
    <xdr:from>
      <xdr:col>4</xdr:col>
      <xdr:colOff>1775884</xdr:colOff>
      <xdr:row>213</xdr:row>
      <xdr:rowOff>177801</xdr:rowOff>
    </xdr:from>
    <xdr:ext cx="3571683" cy="280205"/>
    <xdr:sp macro="" textlink="">
      <xdr:nvSpPr>
        <xdr:cNvPr id="62" name="TextBox 61"/>
        <xdr:cNvSpPr txBox="1"/>
      </xdr:nvSpPr>
      <xdr:spPr>
        <a:xfrm>
          <a:off x="9120717" y="67794718"/>
          <a:ext cx="357168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ru-RU" sz="1200" b="1"/>
            <a:t>Раздельный</a:t>
          </a:r>
          <a:r>
            <a:rPr lang="ru-RU" sz="1200"/>
            <a:t> учет теплоэнергии на отопление и ГВС</a:t>
          </a:r>
        </a:p>
      </xdr:txBody>
    </xdr:sp>
    <xdr:clientData/>
  </xdr:oneCellAnchor>
  <mc:AlternateContent xmlns:mc="http://schemas.openxmlformats.org/markup-compatibility/2006">
    <mc:Choice xmlns:a14="http://schemas.microsoft.com/office/drawing/2010/main" Requires="a14">
      <xdr:twoCellAnchor>
        <xdr:from>
          <xdr:col>2</xdr:col>
          <xdr:colOff>33867</xdr:colOff>
          <xdr:row>213</xdr:row>
          <xdr:rowOff>55033</xdr:rowOff>
        </xdr:from>
        <xdr:to>
          <xdr:col>5</xdr:col>
          <xdr:colOff>2190750</xdr:colOff>
          <xdr:row>213</xdr:row>
          <xdr:rowOff>539750</xdr:rowOff>
        </xdr:to>
        <xdr:grpSp>
          <xdr:nvGrpSpPr>
            <xdr:cNvPr id="9" name="Группа 8"/>
            <xdr:cNvGrpSpPr/>
          </xdr:nvGrpSpPr>
          <xdr:grpSpPr>
            <a:xfrm>
              <a:off x="425450" y="68941950"/>
              <a:ext cx="13121217" cy="484717"/>
              <a:chOff x="425450" y="67671950"/>
              <a:chExt cx="13121217" cy="484717"/>
            </a:xfrm>
          </xdr:grpSpPr>
          <xdr:sp macro="" textlink="">
            <xdr:nvSpPr>
              <xdr:cNvPr id="5338" name="Group Box 218" descr="Тип учета" hidden="1">
                <a:extLst>
                  <a:ext uri="{63B3BB69-23CF-44E3-9099-C40C66FF867C}">
                    <a14:compatExt spid="_x0000_s5338"/>
                  </a:ext>
                </a:extLst>
              </xdr:cNvPr>
              <xdr:cNvSpPr/>
            </xdr:nvSpPr>
            <xdr:spPr bwMode="auto">
              <a:xfrm>
                <a:off x="425450" y="67671950"/>
                <a:ext cx="13121217" cy="48471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Тип учета</a:t>
                </a:r>
              </a:p>
            </xdr:txBody>
          </xdr:sp>
          <xdr:grpSp>
            <xdr:nvGrpSpPr>
              <xdr:cNvPr id="8" name="Группа 7"/>
              <xdr:cNvGrpSpPr/>
            </xdr:nvGrpSpPr>
            <xdr:grpSpPr>
              <a:xfrm>
                <a:off x="1661586" y="67722749"/>
                <a:ext cx="11810996" cy="426691"/>
                <a:chOff x="1661586" y="67722749"/>
                <a:chExt cx="11810996" cy="426691"/>
              </a:xfrm>
            </xdr:grpSpPr>
            <xdr:sp macro="" textlink="">
              <xdr:nvSpPr>
                <xdr:cNvPr id="5339" name="Option Button 219" hidden="1">
                  <a:extLst>
                    <a:ext uri="{63B3BB69-23CF-44E3-9099-C40C66FF867C}">
                      <a14:compatExt spid="_x0000_s5339"/>
                    </a:ext>
                  </a:extLst>
                </xdr:cNvPr>
                <xdr:cNvSpPr/>
              </xdr:nvSpPr>
              <xdr:spPr bwMode="auto">
                <a:xfrm>
                  <a:off x="4428066" y="67722749"/>
                  <a:ext cx="4186767" cy="426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0" name="Option Button 220" hidden="1">
                  <a:extLst>
                    <a:ext uri="{63B3BB69-23CF-44E3-9099-C40C66FF867C}">
                      <a14:compatExt spid="_x0000_s5340"/>
                    </a:ext>
                  </a:extLst>
                </xdr:cNvPr>
                <xdr:cNvSpPr/>
              </xdr:nvSpPr>
              <xdr:spPr bwMode="auto">
                <a:xfrm>
                  <a:off x="8909049" y="67725926"/>
                  <a:ext cx="4563533" cy="39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1" name="Option Button 221" hidden="1">
                  <a:extLst>
                    <a:ext uri="{63B3BB69-23CF-44E3-9099-C40C66FF867C}">
                      <a14:compatExt spid="_x0000_s5341"/>
                    </a:ext>
                  </a:extLst>
                </xdr:cNvPr>
                <xdr:cNvSpPr/>
              </xdr:nvSpPr>
              <xdr:spPr bwMode="auto">
                <a:xfrm>
                  <a:off x="1661586" y="67736507"/>
                  <a:ext cx="2518832" cy="39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19050</xdr:rowOff>
        </xdr:from>
        <xdr:to>
          <xdr:col>4</xdr:col>
          <xdr:colOff>4010025</xdr:colOff>
          <xdr:row>104</xdr:row>
          <xdr:rowOff>219075</xdr:rowOff>
        </xdr:to>
        <xdr:sp macro="" textlink="">
          <xdr:nvSpPr>
            <xdr:cNvPr id="5342" name="Group Box 222" hidden="1">
              <a:extLst>
                <a:ext uri="{63B3BB69-23CF-44E3-9099-C40C66FF867C}">
                  <a14:compatExt spid="_x0000_s5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133350</xdr:rowOff>
        </xdr:from>
        <xdr:to>
          <xdr:col>4</xdr:col>
          <xdr:colOff>4000500</xdr:colOff>
          <xdr:row>100</xdr:row>
          <xdr:rowOff>38100</xdr:rowOff>
        </xdr:to>
        <xdr:sp macro="" textlink="">
          <xdr:nvSpPr>
            <xdr:cNvPr id="5343" name="Option Button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38100</xdr:rowOff>
        </xdr:from>
        <xdr:to>
          <xdr:col>4</xdr:col>
          <xdr:colOff>3990975</xdr:colOff>
          <xdr:row>101</xdr:row>
          <xdr:rowOff>104775</xdr:rowOff>
        </xdr:to>
        <xdr:sp macro="" textlink="">
          <xdr:nvSpPr>
            <xdr:cNvPr id="5348" name="Option Button 228" hidden="1">
              <a:extLst>
                <a:ext uri="{63B3BB69-23CF-44E3-9099-C40C66FF867C}">
                  <a14:compatExt spid="_x0000_s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142875</xdr:rowOff>
        </xdr:from>
        <xdr:to>
          <xdr:col>4</xdr:col>
          <xdr:colOff>4000500</xdr:colOff>
          <xdr:row>102</xdr:row>
          <xdr:rowOff>200025</xdr:rowOff>
        </xdr:to>
        <xdr:sp macro="" textlink="">
          <xdr:nvSpPr>
            <xdr:cNvPr id="5349" name="Option Button 229" hidden="1">
              <a:extLst>
                <a:ext uri="{63B3BB69-23CF-44E3-9099-C40C66FF867C}">
                  <a14:compatExt spid="_x0000_s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38100</xdr:rowOff>
        </xdr:from>
        <xdr:to>
          <xdr:col>4</xdr:col>
          <xdr:colOff>4010025</xdr:colOff>
          <xdr:row>104</xdr:row>
          <xdr:rowOff>104775</xdr:rowOff>
        </xdr:to>
        <xdr:sp macro="" textlink="">
          <xdr:nvSpPr>
            <xdr:cNvPr id="5350" name="Option Button 230" hidden="1">
              <a:extLst>
                <a:ext uri="{63B3BB69-23CF-44E3-9099-C40C66FF867C}">
                  <a14:compatExt spid="_x0000_s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84666</xdr:colOff>
      <xdr:row>101</xdr:row>
      <xdr:rowOff>137584</xdr:rowOff>
    </xdr:from>
    <xdr:to>
      <xdr:col>4</xdr:col>
      <xdr:colOff>635000</xdr:colOff>
      <xdr:row>113</xdr:row>
      <xdr:rowOff>211667</xdr:rowOff>
    </xdr:to>
    <xdr:sp macro="" textlink="">
      <xdr:nvSpPr>
        <xdr:cNvPr id="2" name="Прямоугольник 1"/>
        <xdr:cNvSpPr/>
      </xdr:nvSpPr>
      <xdr:spPr>
        <a:xfrm>
          <a:off x="550333" y="35898667"/>
          <a:ext cx="4624917" cy="3365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editAs="oneCell">
    <xdr:from>
      <xdr:col>2</xdr:col>
      <xdr:colOff>391583</xdr:colOff>
      <xdr:row>103</xdr:row>
      <xdr:rowOff>328083</xdr:rowOff>
    </xdr:from>
    <xdr:to>
      <xdr:col>3</xdr:col>
      <xdr:colOff>2032000</xdr:colOff>
      <xdr:row>113</xdr:row>
      <xdr:rowOff>10584</xdr:rowOff>
    </xdr:to>
    <xdr:pic>
      <xdr:nvPicPr>
        <xdr:cNvPr id="42" name="Рисунок 4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38269333"/>
          <a:ext cx="2042583" cy="2592917"/>
        </a:xfrm>
        <a:prstGeom prst="rect">
          <a:avLst/>
        </a:prstGeom>
      </xdr:spPr>
    </xdr:pic>
    <xdr:clientData/>
  </xdr:twoCellAnchor>
  <xdr:twoCellAnchor>
    <xdr:from>
      <xdr:col>3</xdr:col>
      <xdr:colOff>2010834</xdr:colOff>
      <xdr:row>103</xdr:row>
      <xdr:rowOff>328083</xdr:rowOff>
    </xdr:from>
    <xdr:to>
      <xdr:col>4</xdr:col>
      <xdr:colOff>0</xdr:colOff>
      <xdr:row>113</xdr:row>
      <xdr:rowOff>0</xdr:rowOff>
    </xdr:to>
    <xdr:sp macro="" textlink="">
      <xdr:nvSpPr>
        <xdr:cNvPr id="3" name="Прямоугольник 2"/>
        <xdr:cNvSpPr/>
      </xdr:nvSpPr>
      <xdr:spPr>
        <a:xfrm>
          <a:off x="2878667" y="38269333"/>
          <a:ext cx="1661583" cy="25823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25</xdr:row>
          <xdr:rowOff>161925</xdr:rowOff>
        </xdr:from>
        <xdr:to>
          <xdr:col>2</xdr:col>
          <xdr:colOff>314325</xdr:colOff>
          <xdr:row>25</xdr:row>
          <xdr:rowOff>447675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342900</xdr:colOff>
          <xdr:row>11</xdr:row>
          <xdr:rowOff>295275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304800</xdr:rowOff>
        </xdr:from>
        <xdr:to>
          <xdr:col>2</xdr:col>
          <xdr:colOff>342900</xdr:colOff>
          <xdr:row>74</xdr:row>
          <xdr:rowOff>847725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33</xdr:row>
          <xdr:rowOff>180975</xdr:rowOff>
        </xdr:from>
        <xdr:to>
          <xdr:col>2</xdr:col>
          <xdr:colOff>314325</xdr:colOff>
          <xdr:row>33</xdr:row>
          <xdr:rowOff>590550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200025</xdr:rowOff>
        </xdr:from>
        <xdr:to>
          <xdr:col>2</xdr:col>
          <xdr:colOff>342900</xdr:colOff>
          <xdr:row>35</xdr:row>
          <xdr:rowOff>400050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104775</xdr:rowOff>
        </xdr:from>
        <xdr:to>
          <xdr:col>2</xdr:col>
          <xdr:colOff>371475</xdr:colOff>
          <xdr:row>38</xdr:row>
          <xdr:rowOff>438150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219075</xdr:rowOff>
        </xdr:from>
        <xdr:to>
          <xdr:col>2</xdr:col>
          <xdr:colOff>342900</xdr:colOff>
          <xdr:row>75</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79</xdr:row>
          <xdr:rowOff>28575</xdr:rowOff>
        </xdr:from>
        <xdr:to>
          <xdr:col>2</xdr:col>
          <xdr:colOff>342900</xdr:colOff>
          <xdr:row>80</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581025</xdr:rowOff>
        </xdr:from>
        <xdr:to>
          <xdr:col>2</xdr:col>
          <xdr:colOff>371475</xdr:colOff>
          <xdr:row>45</xdr:row>
          <xdr:rowOff>66675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161925</xdr:rowOff>
        </xdr:from>
        <xdr:to>
          <xdr:col>2</xdr:col>
          <xdr:colOff>342900</xdr:colOff>
          <xdr:row>36</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552450</xdr:rowOff>
        </xdr:from>
        <xdr:to>
          <xdr:col>2</xdr:col>
          <xdr:colOff>342900</xdr:colOff>
          <xdr:row>39</xdr:row>
          <xdr:rowOff>1009650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209550</xdr:rowOff>
        </xdr:from>
        <xdr:to>
          <xdr:col>2</xdr:col>
          <xdr:colOff>314325</xdr:colOff>
          <xdr:row>40</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209550</xdr:rowOff>
        </xdr:from>
        <xdr:to>
          <xdr:col>2</xdr:col>
          <xdr:colOff>342900</xdr:colOff>
          <xdr:row>57</xdr:row>
          <xdr:rowOff>9525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66675</xdr:rowOff>
        </xdr:from>
        <xdr:to>
          <xdr:col>3</xdr:col>
          <xdr:colOff>0</xdr:colOff>
          <xdr:row>57</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48</xdr:row>
          <xdr:rowOff>742950</xdr:rowOff>
        </xdr:from>
        <xdr:to>
          <xdr:col>2</xdr:col>
          <xdr:colOff>323850</xdr:colOff>
          <xdr:row>50</xdr:row>
          <xdr:rowOff>9525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123825</xdr:rowOff>
        </xdr:from>
        <xdr:to>
          <xdr:col>2</xdr:col>
          <xdr:colOff>381000</xdr:colOff>
          <xdr:row>54</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0</xdr:rowOff>
        </xdr:from>
        <xdr:to>
          <xdr:col>3</xdr:col>
          <xdr:colOff>9525</xdr:colOff>
          <xdr:row>50</xdr:row>
          <xdr:rowOff>228600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19050</xdr:rowOff>
        </xdr:from>
        <xdr:to>
          <xdr:col>2</xdr:col>
          <xdr:colOff>381000</xdr:colOff>
          <xdr:row>52</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28575</xdr:rowOff>
        </xdr:from>
        <xdr:to>
          <xdr:col>2</xdr:col>
          <xdr:colOff>390525</xdr:colOff>
          <xdr:row>46</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0</xdr:rowOff>
        </xdr:from>
        <xdr:to>
          <xdr:col>3</xdr:col>
          <xdr:colOff>0</xdr:colOff>
          <xdr:row>47</xdr:row>
          <xdr:rowOff>38100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3</xdr:col>
          <xdr:colOff>9525</xdr:colOff>
          <xdr:row>9</xdr:row>
          <xdr:rowOff>19050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295275</xdr:rowOff>
        </xdr:from>
        <xdr:to>
          <xdr:col>2</xdr:col>
          <xdr:colOff>381000</xdr:colOff>
          <xdr:row>22</xdr:row>
          <xdr:rowOff>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285750</xdr:rowOff>
        </xdr:from>
        <xdr:to>
          <xdr:col>2</xdr:col>
          <xdr:colOff>361950</xdr:colOff>
          <xdr:row>29</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200025</xdr:rowOff>
        </xdr:from>
        <xdr:to>
          <xdr:col>2</xdr:col>
          <xdr:colOff>342900</xdr:colOff>
          <xdr:row>64</xdr:row>
          <xdr:rowOff>9525</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9525</xdr:rowOff>
        </xdr:from>
        <xdr:to>
          <xdr:col>3</xdr:col>
          <xdr:colOff>0</xdr:colOff>
          <xdr:row>69</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85725</xdr:rowOff>
        </xdr:from>
        <xdr:to>
          <xdr:col>2</xdr:col>
          <xdr:colOff>381000</xdr:colOff>
          <xdr:row>59</xdr:row>
          <xdr:rowOff>342900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76200</xdr:rowOff>
        </xdr:from>
        <xdr:to>
          <xdr:col>3</xdr:col>
          <xdr:colOff>9525</xdr:colOff>
          <xdr:row>15</xdr:row>
          <xdr:rowOff>323850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77</xdr:row>
          <xdr:rowOff>104775</xdr:rowOff>
        </xdr:from>
        <xdr:to>
          <xdr:col>2</xdr:col>
          <xdr:colOff>342900</xdr:colOff>
          <xdr:row>77</xdr:row>
          <xdr:rowOff>381000</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0</xdr:rowOff>
        </xdr:from>
        <xdr:to>
          <xdr:col>2</xdr:col>
          <xdr:colOff>381000</xdr:colOff>
          <xdr:row>12</xdr:row>
          <xdr:rowOff>209550</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9525</xdr:colOff>
      <xdr:row>99</xdr:row>
      <xdr:rowOff>47626</xdr:rowOff>
    </xdr:from>
    <xdr:to>
      <xdr:col>9</xdr:col>
      <xdr:colOff>819150</xdr:colOff>
      <xdr:row>115</xdr:row>
      <xdr:rowOff>123826</xdr:rowOff>
    </xdr:to>
    <xdr:graphicFrame macro="">
      <xdr:nvGraphicFramePr>
        <xdr:cNvPr id="2" name="Диаграмма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41827</xdr:colOff>
      <xdr:row>99</xdr:row>
      <xdr:rowOff>47624</xdr:rowOff>
    </xdr:from>
    <xdr:to>
      <xdr:col>13</xdr:col>
      <xdr:colOff>809625</xdr:colOff>
      <xdr:row>115</xdr:row>
      <xdr:rowOff>133349</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226025</xdr:colOff>
      <xdr:row>3</xdr:row>
      <xdr:rowOff>12241</xdr:rowOff>
    </xdr:from>
    <xdr:to>
      <xdr:col>17</xdr:col>
      <xdr:colOff>603159</xdr:colOff>
      <xdr:row>29</xdr:row>
      <xdr:rowOff>350356</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0</xdr:colOff>
      <xdr:row>38</xdr:row>
      <xdr:rowOff>20108</xdr:rowOff>
    </xdr:from>
    <xdr:to>
      <xdr:col>4</xdr:col>
      <xdr:colOff>295050</xdr:colOff>
      <xdr:row>47</xdr:row>
      <xdr:rowOff>26633</xdr:rowOff>
    </xdr:to>
    <xdr:pic>
      <xdr:nvPicPr>
        <xdr:cNvPr id="6" name="Рисунок 5"/>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275" y="8964083"/>
          <a:ext cx="1800000" cy="2664000"/>
        </a:xfrm>
        <a:prstGeom prst="rect">
          <a:avLst/>
        </a:prstGeom>
      </xdr:spPr>
    </xdr:pic>
    <xdr:clientData/>
  </xdr:twoCellAnchor>
  <xdr:twoCellAnchor>
    <xdr:from>
      <xdr:col>0</xdr:col>
      <xdr:colOff>428626</xdr:colOff>
      <xdr:row>38</xdr:row>
      <xdr:rowOff>9526</xdr:rowOff>
    </xdr:from>
    <xdr:to>
      <xdr:col>2</xdr:col>
      <xdr:colOff>9525</xdr:colOff>
      <xdr:row>47</xdr:row>
      <xdr:rowOff>19050</xdr:rowOff>
    </xdr:to>
    <xdr:sp macro="" textlink="">
      <xdr:nvSpPr>
        <xdr:cNvPr id="7" name="Прямоугольник 6"/>
        <xdr:cNvSpPr/>
      </xdr:nvSpPr>
      <xdr:spPr>
        <a:xfrm>
          <a:off x="428626" y="8648701"/>
          <a:ext cx="257174" cy="26669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257174</xdr:colOff>
      <xdr:row>38</xdr:row>
      <xdr:rowOff>28575</xdr:rowOff>
    </xdr:from>
    <xdr:to>
      <xdr:col>4</xdr:col>
      <xdr:colOff>857249</xdr:colOff>
      <xdr:row>47</xdr:row>
      <xdr:rowOff>19050</xdr:rowOff>
    </xdr:to>
    <xdr:sp macro="" textlink="">
      <xdr:nvSpPr>
        <xdr:cNvPr id="8" name="Прямоугольник 7"/>
        <xdr:cNvSpPr/>
      </xdr:nvSpPr>
      <xdr:spPr>
        <a:xfrm>
          <a:off x="2438399" y="8667750"/>
          <a:ext cx="600075" cy="26479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5</xdr:col>
      <xdr:colOff>152401</xdr:colOff>
      <xdr:row>36</xdr:row>
      <xdr:rowOff>180975</xdr:rowOff>
    </xdr:from>
    <xdr:to>
      <xdr:col>17</xdr:col>
      <xdr:colOff>590551</xdr:colOff>
      <xdr:row>47</xdr:row>
      <xdr:rowOff>19050</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152400</xdr:colOff>
      <xdr:row>47</xdr:row>
      <xdr:rowOff>161925</xdr:rowOff>
    </xdr:from>
    <xdr:to>
      <xdr:col>17</xdr:col>
      <xdr:colOff>581025</xdr:colOff>
      <xdr:row>62</xdr:row>
      <xdr:rowOff>60779</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152401</xdr:colOff>
      <xdr:row>63</xdr:row>
      <xdr:rowOff>9525</xdr:rowOff>
    </xdr:from>
    <xdr:to>
      <xdr:col>17</xdr:col>
      <xdr:colOff>571501</xdr:colOff>
      <xdr:row>77</xdr:row>
      <xdr:rowOff>98425</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30541</xdr:colOff>
      <xdr:row>117</xdr:row>
      <xdr:rowOff>269874</xdr:rowOff>
    </xdr:from>
    <xdr:to>
      <xdr:col>5</xdr:col>
      <xdr:colOff>112184</xdr:colOff>
      <xdr:row>131</xdr:row>
      <xdr:rowOff>160866</xdr:rowOff>
    </xdr:to>
    <xdr:graphicFrame macro="">
      <xdr:nvGraphicFramePr>
        <xdr:cNvPr id="12" name="Диаграмма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15874</xdr:rowOff>
    </xdr:from>
    <xdr:to>
      <xdr:col>5</xdr:col>
      <xdr:colOff>81643</xdr:colOff>
      <xdr:row>130</xdr:row>
      <xdr:rowOff>101600</xdr:rowOff>
    </xdr:to>
    <xdr:graphicFrame macro="">
      <xdr:nvGraphicFramePr>
        <xdr:cNvPr id="10" name="Диаграмма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fondgkh.ru/finances/finansovaya-podderzhka-kapitalnogo-remonta-v-2017-godu/pomoshhnik-ekr/" TargetMode="External"/></Relationships>
</file>

<file path=xl/worksheets/_rels/sheet2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 Type="http://schemas.openxmlformats.org/officeDocument/2006/relationships/printerSettings" Target="../printerSettings/printerSettings4.bin"/><Relationship Id="rId21" Type="http://schemas.openxmlformats.org/officeDocument/2006/relationships/ctrlProp" Target="../ctrlProps/ctrlProp59.xml"/><Relationship Id="rId34" Type="http://schemas.openxmlformats.org/officeDocument/2006/relationships/ctrlProp" Target="../ctrlProps/ctrlProp72.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hyperlink" Target="http://fondgkh.ru/" TargetMode="External"/><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5" Type="http://schemas.openxmlformats.org/officeDocument/2006/relationships/vmlDrawing" Target="../drawings/vmlDrawing2.v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omments" Target="../comments1.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drawing" Target="../drawings/drawing3.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8"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fondgkh.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expert_ekr@fondgkh.ru?subject=&#1060;&#1086;&#1088;&#1084;&#1072;%20&#1086;&#1073;&#1088;&#1072;&#1090;&#1085;&#1086;&#1081;%20&#1089;&#1074;&#1103;&#1079;&#1080;%20&#1055;&#1086;&#1084;&#1086;&#1097;&#1085;&#1080;&#1082;&#1072;%20&#1069;&#1050;&#1056;" TargetMode="External"/><Relationship Id="rId1" Type="http://schemas.openxmlformats.org/officeDocument/2006/relationships/hyperlink" Target="http://fondgkh.ru/finances/finansovaya-podderzhka-kapitalnogo-remonta-v-2017-godu/pomoshhnik-ekr/"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X50"/>
  <sheetViews>
    <sheetView showGridLines="0" showRowColHeaders="0" tabSelected="1" zoomScaleNormal="100" workbookViewId="0">
      <pane ySplit="1" topLeftCell="A2" activePane="bottomLeft" state="frozen"/>
      <selection pane="bottomLeft" activeCell="D18" sqref="D18"/>
    </sheetView>
  </sheetViews>
  <sheetFormatPr defaultColWidth="0" defaultRowHeight="15" zeroHeight="1" x14ac:dyDescent="0.25"/>
  <cols>
    <col min="1" max="1" width="9.140625" style="1530" customWidth="1"/>
    <col min="2" max="2" width="4.7109375" style="1530" customWidth="1"/>
    <col min="3" max="3" width="4.28515625" style="1530" customWidth="1"/>
    <col min="4" max="4" width="127.42578125" style="1530" customWidth="1"/>
    <col min="5" max="5" width="9.140625" style="1530" customWidth="1"/>
    <col min="6" max="24" width="0" style="1530" hidden="1" customWidth="1"/>
    <col min="25" max="16384" width="9.140625" style="1530" hidden="1"/>
  </cols>
  <sheetData>
    <row r="1" spans="1:24" s="1529" customFormat="1" x14ac:dyDescent="0.25">
      <c r="A1" s="1527"/>
      <c r="B1" s="1528"/>
      <c r="D1" s="1526" t="s">
        <v>1571</v>
      </c>
      <c r="E1" s="1527"/>
      <c r="F1" s="1527"/>
      <c r="G1" s="1527"/>
      <c r="H1" s="1527"/>
      <c r="I1" s="1527"/>
      <c r="J1" s="1527"/>
      <c r="K1" s="1527"/>
      <c r="L1" s="1527"/>
      <c r="M1" s="1527"/>
      <c r="N1" s="1527"/>
      <c r="O1" s="1527"/>
      <c r="P1" s="1527"/>
      <c r="Q1" s="1527"/>
      <c r="R1" s="1527"/>
      <c r="S1" s="1527"/>
      <c r="T1" s="1527"/>
      <c r="U1" s="1527"/>
      <c r="V1" s="1527"/>
      <c r="W1" s="1527"/>
      <c r="X1" s="1527"/>
    </row>
    <row r="2" spans="1:24" x14ac:dyDescent="0.25">
      <c r="A2" s="50"/>
      <c r="B2" s="50"/>
      <c r="C2" s="1527"/>
      <c r="D2" s="1527"/>
      <c r="E2" s="1527"/>
      <c r="F2" s="1527"/>
      <c r="G2" s="1527"/>
      <c r="H2" s="1527"/>
      <c r="I2" s="1527"/>
      <c r="J2" s="1527"/>
      <c r="K2" s="1527"/>
      <c r="L2" s="1527"/>
      <c r="M2" s="1527"/>
      <c r="N2" s="1527"/>
      <c r="O2" s="1527"/>
      <c r="P2" s="1527"/>
      <c r="Q2" s="1527"/>
      <c r="R2" s="1527"/>
      <c r="S2" s="1527"/>
      <c r="T2" s="1527"/>
      <c r="U2" s="1527"/>
      <c r="V2" s="1527"/>
      <c r="W2" s="1527"/>
      <c r="X2" s="1527"/>
    </row>
    <row r="3" spans="1:24" ht="40.5" customHeight="1" x14ac:dyDescent="0.35">
      <c r="A3" s="1527"/>
      <c r="B3" s="1531"/>
      <c r="C3" s="1932" t="s">
        <v>1718</v>
      </c>
      <c r="D3" s="1932"/>
      <c r="E3" s="1527"/>
      <c r="F3" s="1527"/>
      <c r="G3" s="1527"/>
      <c r="H3" s="1527"/>
      <c r="I3" s="1527"/>
      <c r="J3" s="1527"/>
      <c r="K3" s="1527"/>
      <c r="L3" s="1527"/>
      <c r="M3" s="1527"/>
      <c r="N3" s="1527"/>
      <c r="O3" s="1527"/>
      <c r="P3" s="1527"/>
      <c r="Q3" s="1527"/>
      <c r="R3" s="1527"/>
      <c r="S3" s="1527"/>
      <c r="T3" s="1527"/>
      <c r="U3" s="1527"/>
      <c r="V3" s="1527"/>
      <c r="W3" s="1527"/>
      <c r="X3" s="1527"/>
    </row>
    <row r="4" spans="1:24" ht="65.25" customHeight="1" x14ac:dyDescent="0.3">
      <c r="A4" s="1527"/>
      <c r="B4" s="1531"/>
      <c r="C4" s="1933" t="s">
        <v>1719</v>
      </c>
      <c r="D4" s="1933"/>
      <c r="E4" s="1527"/>
      <c r="F4" s="1527"/>
      <c r="G4" s="1527"/>
      <c r="H4" s="1527"/>
      <c r="I4" s="1527"/>
      <c r="J4" s="1527"/>
      <c r="K4" s="1527"/>
      <c r="L4" s="1527"/>
      <c r="M4" s="1527"/>
      <c r="N4" s="1527"/>
      <c r="O4" s="1527"/>
      <c r="P4" s="1527"/>
      <c r="Q4" s="1527"/>
      <c r="R4" s="1527"/>
      <c r="S4" s="1527"/>
      <c r="T4" s="1527"/>
      <c r="U4" s="1527"/>
      <c r="V4" s="1527"/>
      <c r="W4" s="1527"/>
      <c r="X4" s="1527"/>
    </row>
    <row r="5" spans="1:24" ht="39" customHeight="1" x14ac:dyDescent="0.3">
      <c r="A5" s="1527"/>
      <c r="B5" s="1531"/>
      <c r="C5" s="1934" t="s">
        <v>1981</v>
      </c>
      <c r="D5" s="1934"/>
      <c r="E5" s="1532"/>
      <c r="F5" s="1527"/>
      <c r="G5" s="1527"/>
      <c r="H5" s="1527"/>
      <c r="I5" s="1527"/>
      <c r="J5" s="1527"/>
      <c r="K5" s="1527"/>
      <c r="L5" s="1527"/>
      <c r="M5" s="1527"/>
      <c r="N5" s="1527"/>
      <c r="O5" s="1527"/>
      <c r="P5" s="1527"/>
      <c r="Q5" s="1527"/>
      <c r="R5" s="1527"/>
      <c r="S5" s="1527"/>
      <c r="T5" s="1527"/>
      <c r="U5" s="1527"/>
      <c r="V5" s="1527"/>
      <c r="W5" s="1527"/>
      <c r="X5" s="1527"/>
    </row>
    <row r="6" spans="1:24" ht="33.75" customHeight="1" x14ac:dyDescent="0.25">
      <c r="A6" s="1527"/>
      <c r="B6" s="1531"/>
      <c r="C6" s="1533"/>
      <c r="D6" s="1534" t="s">
        <v>1985</v>
      </c>
      <c r="E6" s="1532"/>
      <c r="F6" s="1527"/>
      <c r="G6" s="1527"/>
      <c r="H6" s="1527"/>
      <c r="I6" s="1527"/>
      <c r="J6" s="1527"/>
      <c r="K6" s="1527"/>
      <c r="L6" s="1527"/>
      <c r="M6" s="1527"/>
      <c r="N6" s="1527"/>
      <c r="O6" s="1527"/>
      <c r="P6" s="1527"/>
      <c r="Q6" s="1527"/>
      <c r="R6" s="1527"/>
      <c r="S6" s="1527"/>
      <c r="T6" s="1527"/>
      <c r="U6" s="1527"/>
      <c r="V6" s="1527"/>
      <c r="W6" s="1527"/>
      <c r="X6" s="1527"/>
    </row>
    <row r="7" spans="1:24" ht="39" customHeight="1" x14ac:dyDescent="0.3">
      <c r="A7" s="1527"/>
      <c r="B7" s="1531"/>
      <c r="C7" s="1934" t="s">
        <v>1982</v>
      </c>
      <c r="D7" s="1934"/>
      <c r="E7" s="1532"/>
      <c r="F7" s="1527"/>
      <c r="G7" s="1527"/>
      <c r="H7" s="1527"/>
      <c r="I7" s="1527"/>
      <c r="J7" s="1527"/>
      <c r="K7" s="1527"/>
      <c r="L7" s="1527"/>
      <c r="M7" s="1527"/>
      <c r="N7" s="1527"/>
      <c r="O7" s="1527"/>
      <c r="P7" s="1527"/>
      <c r="Q7" s="1527"/>
      <c r="R7" s="1527"/>
      <c r="S7" s="1527"/>
      <c r="T7" s="1527"/>
      <c r="U7" s="1527"/>
      <c r="V7" s="1527"/>
      <c r="W7" s="1527"/>
      <c r="X7" s="1527"/>
    </row>
    <row r="8" spans="1:24" ht="33.75" customHeight="1" x14ac:dyDescent="0.25">
      <c r="A8" s="1527"/>
      <c r="B8" s="1531"/>
      <c r="C8" s="1533"/>
      <c r="D8" s="1534" t="s">
        <v>1986</v>
      </c>
      <c r="E8" s="1532"/>
      <c r="F8" s="1527"/>
      <c r="G8" s="1527"/>
      <c r="H8" s="1527"/>
      <c r="I8" s="1527"/>
      <c r="J8" s="1527"/>
      <c r="K8" s="1527"/>
      <c r="L8" s="1527"/>
      <c r="M8" s="1527"/>
      <c r="N8" s="1527"/>
      <c r="O8" s="1527"/>
      <c r="P8" s="1527"/>
      <c r="Q8" s="1527"/>
      <c r="R8" s="1527"/>
      <c r="S8" s="1527"/>
      <c r="T8" s="1527"/>
      <c r="U8" s="1527"/>
      <c r="V8" s="1527"/>
      <c r="W8" s="1527"/>
      <c r="X8" s="1527"/>
    </row>
    <row r="9" spans="1:24" ht="39" customHeight="1" x14ac:dyDescent="0.3">
      <c r="A9" s="1527"/>
      <c r="B9" s="1531"/>
      <c r="C9" s="1934" t="s">
        <v>1983</v>
      </c>
      <c r="D9" s="1934"/>
      <c r="E9" s="1532"/>
      <c r="F9" s="1527"/>
      <c r="G9" s="1527"/>
      <c r="H9" s="1527"/>
      <c r="I9" s="1527"/>
      <c r="J9" s="1527"/>
      <c r="K9" s="1527"/>
      <c r="L9" s="1527"/>
      <c r="M9" s="1527"/>
      <c r="N9" s="1527"/>
      <c r="O9" s="1527"/>
      <c r="P9" s="1527"/>
      <c r="Q9" s="1527"/>
      <c r="R9" s="1527"/>
      <c r="S9" s="1527"/>
      <c r="T9" s="1527"/>
      <c r="U9" s="1527"/>
      <c r="V9" s="1527"/>
      <c r="W9" s="1527"/>
      <c r="X9" s="1527"/>
    </row>
    <row r="10" spans="1:24" ht="33.75" customHeight="1" x14ac:dyDescent="0.25">
      <c r="A10" s="1527"/>
      <c r="B10" s="1531"/>
      <c r="C10" s="1533"/>
      <c r="D10" s="1535" t="s">
        <v>1984</v>
      </c>
      <c r="E10" s="1536"/>
      <c r="F10" s="1527"/>
      <c r="G10" s="1527"/>
      <c r="H10" s="1527"/>
      <c r="I10" s="1527"/>
      <c r="J10" s="1527"/>
      <c r="K10" s="1527"/>
      <c r="L10" s="1527"/>
      <c r="M10" s="1527"/>
      <c r="N10" s="1527"/>
      <c r="O10" s="1527"/>
      <c r="P10" s="1527"/>
      <c r="Q10" s="1527"/>
      <c r="R10" s="1527"/>
      <c r="S10" s="1527"/>
      <c r="T10" s="1527"/>
      <c r="U10" s="1527"/>
      <c r="V10" s="1527"/>
      <c r="W10" s="1527"/>
      <c r="X10" s="1527"/>
    </row>
    <row r="11" spans="1:24" ht="39" customHeight="1" x14ac:dyDescent="0.3">
      <c r="A11" s="1527"/>
      <c r="B11" s="1531"/>
      <c r="C11" s="1934" t="s">
        <v>1993</v>
      </c>
      <c r="D11" s="1934"/>
      <c r="E11" s="1532"/>
      <c r="F11" s="1527"/>
      <c r="G11" s="1527"/>
      <c r="H11" s="1527"/>
      <c r="I11" s="1527"/>
      <c r="J11" s="1527"/>
      <c r="K11" s="1527"/>
      <c r="L11" s="1527"/>
      <c r="M11" s="1527"/>
      <c r="N11" s="1527"/>
      <c r="O11" s="1527"/>
      <c r="P11" s="1527"/>
      <c r="Q11" s="1527"/>
      <c r="R11" s="1527"/>
      <c r="S11" s="1527"/>
      <c r="T11" s="1527"/>
      <c r="U11" s="1527"/>
      <c r="V11" s="1527"/>
      <c r="W11" s="1527"/>
      <c r="X11" s="1527"/>
    </row>
    <row r="12" spans="1:24" ht="33.75" customHeight="1" x14ac:dyDescent="0.25">
      <c r="A12" s="1527"/>
      <c r="B12" s="1531"/>
      <c r="C12" s="1533"/>
      <c r="D12" s="1535" t="s">
        <v>2482</v>
      </c>
      <c r="E12" s="1532"/>
      <c r="F12" s="1527"/>
      <c r="G12" s="1527"/>
      <c r="H12" s="1527"/>
      <c r="I12" s="1527"/>
      <c r="J12" s="1527"/>
      <c r="K12" s="1527"/>
      <c r="L12" s="1527"/>
      <c r="M12" s="1527"/>
      <c r="N12" s="1527"/>
      <c r="O12" s="1527"/>
      <c r="P12" s="1527"/>
      <c r="Q12" s="1527"/>
      <c r="R12" s="1527"/>
      <c r="S12" s="1527"/>
      <c r="T12" s="1527"/>
      <c r="U12" s="1527"/>
      <c r="V12" s="1527"/>
      <c r="W12" s="1527"/>
      <c r="X12" s="1527"/>
    </row>
    <row r="13" spans="1:24" ht="39" customHeight="1" x14ac:dyDescent="0.3">
      <c r="A13" s="1527"/>
      <c r="B13" s="1531"/>
      <c r="C13" s="1931" t="s">
        <v>1572</v>
      </c>
      <c r="D13" s="1931"/>
      <c r="E13" s="1532"/>
      <c r="F13" s="1527"/>
      <c r="G13" s="1527"/>
      <c r="H13" s="1527"/>
      <c r="I13" s="1527"/>
      <c r="J13" s="1527"/>
      <c r="K13" s="1527"/>
      <c r="L13" s="1527"/>
      <c r="M13" s="1527"/>
      <c r="N13" s="1527"/>
      <c r="O13" s="1527"/>
      <c r="P13" s="1527"/>
      <c r="Q13" s="1527"/>
      <c r="R13" s="1527"/>
      <c r="S13" s="1527"/>
      <c r="T13" s="1527"/>
      <c r="U13" s="1527"/>
      <c r="V13" s="1527"/>
      <c r="W13" s="1527"/>
      <c r="X13" s="1527"/>
    </row>
    <row r="14" spans="1:24" ht="33.75" customHeight="1" x14ac:dyDescent="0.25">
      <c r="A14" s="1527"/>
      <c r="B14" s="1531"/>
      <c r="C14" s="1533"/>
      <c r="D14" s="1535" t="s">
        <v>1720</v>
      </c>
      <c r="E14" s="1527"/>
      <c r="F14" s="1527"/>
      <c r="G14" s="1527"/>
      <c r="H14" s="1527"/>
      <c r="I14" s="1527"/>
      <c r="J14" s="1527"/>
      <c r="K14" s="1527"/>
      <c r="L14" s="1527"/>
      <c r="M14" s="1527"/>
      <c r="N14" s="1527"/>
      <c r="O14" s="1527"/>
      <c r="P14" s="1527"/>
      <c r="Q14" s="1527"/>
      <c r="R14" s="1527"/>
      <c r="S14" s="1527"/>
      <c r="T14" s="1527"/>
      <c r="U14" s="1527"/>
      <c r="V14" s="1527"/>
      <c r="W14" s="1527"/>
      <c r="X14" s="1527"/>
    </row>
    <row r="15" spans="1:24" x14ac:dyDescent="0.25">
      <c r="A15" s="1527"/>
      <c r="B15" s="1531"/>
      <c r="C15" s="1531"/>
      <c r="D15" s="1537" t="s">
        <v>2492</v>
      </c>
      <c r="E15" s="1527"/>
      <c r="F15" s="1527"/>
      <c r="G15" s="1527"/>
      <c r="H15" s="1527"/>
      <c r="I15" s="1527"/>
      <c r="J15" s="1527"/>
      <c r="K15" s="1527"/>
      <c r="L15" s="1527"/>
      <c r="M15" s="1527"/>
      <c r="N15" s="1527"/>
      <c r="O15" s="1527"/>
      <c r="P15" s="1527"/>
      <c r="Q15" s="1527"/>
      <c r="R15" s="1527"/>
      <c r="S15" s="1527"/>
      <c r="T15" s="1527"/>
      <c r="U15" s="1527"/>
      <c r="V15" s="1527"/>
      <c r="W15" s="1527"/>
      <c r="X15" s="1527"/>
    </row>
    <row r="16" spans="1:24" ht="19.5" customHeight="1" x14ac:dyDescent="0.25">
      <c r="A16" s="1527"/>
      <c r="B16" s="1527"/>
      <c r="C16" s="1527"/>
      <c r="D16" s="1538" t="s">
        <v>2137</v>
      </c>
      <c r="E16" s="1527"/>
      <c r="F16" s="1527"/>
      <c r="G16" s="1527"/>
      <c r="H16" s="1527"/>
      <c r="I16" s="1527"/>
      <c r="J16" s="1527"/>
      <c r="K16" s="1527"/>
      <c r="L16" s="1527"/>
      <c r="M16" s="1527"/>
      <c r="N16" s="1527"/>
      <c r="O16" s="1527"/>
      <c r="P16" s="1527"/>
      <c r="Q16" s="1527"/>
      <c r="R16" s="1527"/>
      <c r="S16" s="1527"/>
      <c r="T16" s="1527"/>
      <c r="U16" s="1527"/>
      <c r="V16" s="1527"/>
      <c r="W16" s="1527"/>
      <c r="X16" s="1527"/>
    </row>
    <row r="17" spans="1:24" x14ac:dyDescent="0.25">
      <c r="A17" s="1527"/>
      <c r="B17" s="1527"/>
      <c r="C17" s="1527"/>
      <c r="D17" s="1527"/>
      <c r="E17" s="1527"/>
      <c r="F17" s="1527"/>
      <c r="G17" s="1527"/>
      <c r="H17" s="1527"/>
      <c r="I17" s="1527"/>
      <c r="J17" s="1527"/>
      <c r="K17" s="1527"/>
      <c r="L17" s="1527"/>
      <c r="M17" s="1527"/>
      <c r="N17" s="1527"/>
      <c r="O17" s="1527"/>
      <c r="P17" s="1527"/>
      <c r="Q17" s="1527"/>
      <c r="R17" s="1527"/>
      <c r="S17" s="1527"/>
      <c r="T17" s="1527"/>
      <c r="U17" s="1527"/>
      <c r="V17" s="1527"/>
      <c r="W17" s="1527"/>
      <c r="X17" s="1527"/>
    </row>
    <row r="18" spans="1:24" x14ac:dyDescent="0.25">
      <c r="A18" s="1527"/>
      <c r="B18" s="1527"/>
      <c r="C18" s="1527"/>
      <c r="D18" s="1527"/>
      <c r="E18" s="1527"/>
      <c r="F18" s="1527"/>
      <c r="G18" s="1527"/>
      <c r="H18" s="1527"/>
      <c r="I18" s="1527"/>
      <c r="J18" s="1527"/>
      <c r="K18" s="1527"/>
      <c r="L18" s="1527"/>
      <c r="M18" s="1527"/>
      <c r="N18" s="1527"/>
      <c r="O18" s="1527"/>
      <c r="P18" s="1527"/>
      <c r="Q18" s="1527"/>
      <c r="R18" s="1527"/>
      <c r="S18" s="1527"/>
      <c r="T18" s="1527"/>
      <c r="U18" s="1527"/>
      <c r="V18" s="1527"/>
      <c r="W18" s="1527"/>
      <c r="X18" s="1527"/>
    </row>
    <row r="19" spans="1:24" hidden="1" x14ac:dyDescent="0.25">
      <c r="A19" s="1527"/>
      <c r="B19" s="1527"/>
      <c r="C19" s="1527"/>
      <c r="D19" s="1527"/>
      <c r="E19" s="1527"/>
      <c r="F19" s="1527"/>
      <c r="G19" s="1527"/>
      <c r="H19" s="1527"/>
      <c r="I19" s="1527"/>
      <c r="J19" s="1527"/>
      <c r="K19" s="1527"/>
      <c r="L19" s="1527"/>
      <c r="M19" s="1527"/>
      <c r="N19" s="1527"/>
      <c r="O19" s="1527"/>
      <c r="P19" s="1527"/>
      <c r="Q19" s="1527"/>
      <c r="R19" s="1527"/>
      <c r="S19" s="1527"/>
      <c r="T19" s="1527"/>
      <c r="U19" s="1527"/>
      <c r="V19" s="1527"/>
      <c r="W19" s="1527"/>
      <c r="X19" s="1527"/>
    </row>
    <row r="20" spans="1:24" hidden="1" x14ac:dyDescent="0.25">
      <c r="A20" s="1527"/>
      <c r="B20" s="1527"/>
      <c r="C20" s="1527"/>
      <c r="D20" s="1527"/>
      <c r="E20" s="1527"/>
      <c r="F20" s="1527"/>
      <c r="G20" s="1527"/>
      <c r="H20" s="1527"/>
      <c r="I20" s="1527"/>
      <c r="J20" s="1527"/>
      <c r="K20" s="1527"/>
      <c r="L20" s="1527"/>
      <c r="M20" s="1527"/>
      <c r="N20" s="1527"/>
      <c r="O20" s="1527"/>
      <c r="P20" s="1527"/>
      <c r="Q20" s="1527"/>
      <c r="R20" s="1527"/>
      <c r="S20" s="1527"/>
      <c r="T20" s="1527"/>
      <c r="U20" s="1527"/>
      <c r="V20" s="1527"/>
      <c r="W20" s="1527"/>
      <c r="X20" s="1527"/>
    </row>
    <row r="21" spans="1:24" hidden="1" x14ac:dyDescent="0.25">
      <c r="A21" s="1527"/>
      <c r="B21" s="1527"/>
      <c r="C21" s="1527"/>
      <c r="D21" s="1527"/>
      <c r="E21" s="1527"/>
      <c r="F21" s="1527"/>
      <c r="G21" s="1527"/>
      <c r="H21" s="1527"/>
      <c r="I21" s="1527"/>
      <c r="J21" s="1527"/>
      <c r="K21" s="1527"/>
      <c r="L21" s="1527"/>
      <c r="M21" s="1527"/>
      <c r="N21" s="1527"/>
      <c r="O21" s="1527"/>
      <c r="P21" s="1527"/>
      <c r="Q21" s="1527"/>
      <c r="R21" s="1527"/>
      <c r="S21" s="1527"/>
      <c r="T21" s="1527"/>
      <c r="U21" s="1527"/>
      <c r="V21" s="1527"/>
      <c r="W21" s="1527"/>
      <c r="X21" s="1527"/>
    </row>
    <row r="22" spans="1:24" hidden="1" x14ac:dyDescent="0.25">
      <c r="A22" s="1527"/>
      <c r="B22" s="1527"/>
      <c r="C22" s="1527"/>
      <c r="D22" s="1527"/>
      <c r="E22" s="1527"/>
      <c r="F22" s="1527"/>
      <c r="G22" s="1527"/>
      <c r="H22" s="1527"/>
      <c r="I22" s="1527"/>
      <c r="J22" s="1527"/>
      <c r="K22" s="1527"/>
      <c r="L22" s="1527"/>
      <c r="M22" s="1527"/>
      <c r="N22" s="1527"/>
      <c r="O22" s="1527"/>
      <c r="P22" s="1527"/>
      <c r="Q22" s="1527"/>
      <c r="R22" s="1527"/>
      <c r="S22" s="1527"/>
      <c r="T22" s="1527"/>
      <c r="U22" s="1527"/>
      <c r="V22" s="1527"/>
      <c r="W22" s="1527"/>
      <c r="X22" s="1527"/>
    </row>
    <row r="23" spans="1:24" hidden="1" x14ac:dyDescent="0.25">
      <c r="A23" s="1527"/>
      <c r="B23" s="1527"/>
      <c r="C23" s="1527"/>
      <c r="D23" s="1527"/>
      <c r="E23" s="1527"/>
      <c r="F23" s="1527"/>
      <c r="G23" s="1527"/>
      <c r="H23" s="1527"/>
      <c r="I23" s="1527"/>
      <c r="J23" s="1527"/>
      <c r="K23" s="1527"/>
      <c r="L23" s="1527"/>
      <c r="M23" s="1527"/>
      <c r="N23" s="1527"/>
      <c r="O23" s="1527"/>
      <c r="P23" s="1527"/>
      <c r="Q23" s="1527"/>
      <c r="R23" s="1527"/>
      <c r="S23" s="1527"/>
      <c r="T23" s="1527"/>
      <c r="U23" s="1527"/>
      <c r="V23" s="1527"/>
      <c r="W23" s="1527"/>
      <c r="X23" s="1527"/>
    </row>
    <row r="24" spans="1:24" hidden="1" x14ac:dyDescent="0.25">
      <c r="A24" s="1527"/>
      <c r="B24" s="1527"/>
      <c r="C24" s="1527"/>
      <c r="D24" s="1527"/>
      <c r="E24" s="1527"/>
      <c r="F24" s="1527"/>
      <c r="G24" s="1527"/>
      <c r="H24" s="1527"/>
      <c r="I24" s="1527"/>
      <c r="J24" s="1527"/>
      <c r="K24" s="1527"/>
      <c r="L24" s="1527"/>
      <c r="M24" s="1527"/>
      <c r="N24" s="1527"/>
      <c r="O24" s="1527"/>
      <c r="P24" s="1527"/>
      <c r="Q24" s="1527"/>
      <c r="R24" s="1527"/>
      <c r="S24" s="1527"/>
      <c r="T24" s="1527"/>
      <c r="U24" s="1527"/>
      <c r="V24" s="1527"/>
      <c r="W24" s="1527"/>
      <c r="X24" s="1527"/>
    </row>
    <row r="25" spans="1:24" hidden="1" x14ac:dyDescent="0.25">
      <c r="A25" s="1527"/>
      <c r="B25" s="1527"/>
      <c r="C25" s="1527"/>
      <c r="D25" s="1527"/>
      <c r="E25" s="1527"/>
      <c r="F25" s="1527"/>
      <c r="G25" s="1527"/>
      <c r="H25" s="1527"/>
      <c r="I25" s="1527"/>
      <c r="J25" s="1527"/>
      <c r="K25" s="1527"/>
      <c r="L25" s="1527"/>
      <c r="M25" s="1527"/>
      <c r="N25" s="1527"/>
      <c r="O25" s="1527"/>
      <c r="P25" s="1527"/>
      <c r="Q25" s="1527"/>
      <c r="R25" s="1527"/>
      <c r="S25" s="1527"/>
      <c r="T25" s="1527"/>
      <c r="U25" s="1527"/>
      <c r="V25" s="1527"/>
      <c r="W25" s="1527"/>
      <c r="X25" s="1527"/>
    </row>
    <row r="26" spans="1:24" hidden="1" x14ac:dyDescent="0.25">
      <c r="A26" s="1527"/>
      <c r="B26" s="1527"/>
      <c r="C26" s="1527"/>
      <c r="D26" s="1527"/>
      <c r="E26" s="1527"/>
      <c r="F26" s="1527"/>
      <c r="G26" s="1527"/>
      <c r="H26" s="1527"/>
      <c r="I26" s="1527"/>
      <c r="J26" s="1527"/>
      <c r="K26" s="1527"/>
      <c r="L26" s="1527"/>
      <c r="M26" s="1527"/>
      <c r="N26" s="1527"/>
      <c r="O26" s="1527"/>
      <c r="P26" s="1527"/>
      <c r="Q26" s="1527"/>
      <c r="R26" s="1527"/>
      <c r="S26" s="1527"/>
      <c r="T26" s="1527"/>
      <c r="U26" s="1527"/>
      <c r="V26" s="1527"/>
      <c r="W26" s="1527"/>
      <c r="X26" s="1527"/>
    </row>
    <row r="27" spans="1:24" hidden="1" x14ac:dyDescent="0.25">
      <c r="A27" s="1527"/>
      <c r="B27" s="1527"/>
      <c r="C27" s="1527"/>
      <c r="D27" s="1527"/>
      <c r="E27" s="1527"/>
      <c r="F27" s="1527"/>
      <c r="G27" s="1527"/>
      <c r="H27" s="1527"/>
      <c r="I27" s="1527"/>
      <c r="J27" s="1527"/>
      <c r="K27" s="1527"/>
      <c r="L27" s="1527"/>
      <c r="M27" s="1527"/>
      <c r="N27" s="1527"/>
      <c r="O27" s="1527"/>
      <c r="P27" s="1527"/>
      <c r="Q27" s="1527"/>
      <c r="R27" s="1527"/>
      <c r="S27" s="1527"/>
      <c r="T27" s="1527"/>
      <c r="U27" s="1527"/>
      <c r="V27" s="1527"/>
      <c r="W27" s="1527"/>
      <c r="X27" s="1527"/>
    </row>
    <row r="28" spans="1:24" hidden="1" x14ac:dyDescent="0.25">
      <c r="A28" s="1527"/>
      <c r="B28" s="1527"/>
      <c r="C28" s="1527"/>
      <c r="D28" s="1527"/>
      <c r="E28" s="1527"/>
      <c r="F28" s="1527"/>
      <c r="G28" s="1527"/>
      <c r="H28" s="1527"/>
      <c r="I28" s="1527"/>
      <c r="J28" s="1527"/>
      <c r="K28" s="1527"/>
      <c r="L28" s="1527"/>
      <c r="M28" s="1527"/>
      <c r="N28" s="1527"/>
      <c r="O28" s="1527"/>
      <c r="P28" s="1527"/>
      <c r="Q28" s="1527"/>
      <c r="R28" s="1527"/>
      <c r="S28" s="1527"/>
      <c r="T28" s="1527"/>
      <c r="U28" s="1527"/>
      <c r="V28" s="1527"/>
      <c r="W28" s="1527"/>
      <c r="X28" s="1527"/>
    </row>
    <row r="29" spans="1:24" hidden="1" x14ac:dyDescent="0.25">
      <c r="A29" s="1527"/>
      <c r="B29" s="1527"/>
      <c r="C29" s="1527"/>
      <c r="D29" s="1527"/>
      <c r="E29" s="1527"/>
      <c r="F29" s="1527"/>
      <c r="G29" s="1527"/>
      <c r="H29" s="1527"/>
      <c r="I29" s="1527"/>
      <c r="J29" s="1527"/>
      <c r="K29" s="1527"/>
      <c r="L29" s="1527"/>
      <c r="M29" s="1527"/>
      <c r="N29" s="1527"/>
      <c r="O29" s="1527"/>
      <c r="P29" s="1527"/>
      <c r="Q29" s="1527"/>
      <c r="R29" s="1527"/>
      <c r="S29" s="1527"/>
      <c r="T29" s="1527"/>
      <c r="U29" s="1527"/>
      <c r="V29" s="1527"/>
      <c r="W29" s="1527"/>
      <c r="X29" s="1527"/>
    </row>
    <row r="30" spans="1:24" hidden="1" x14ac:dyDescent="0.25">
      <c r="A30" s="1527"/>
      <c r="B30" s="1527"/>
      <c r="C30" s="1527"/>
      <c r="D30" s="1527"/>
      <c r="E30" s="1527"/>
      <c r="F30" s="1527"/>
      <c r="G30" s="1527"/>
      <c r="H30" s="1527"/>
      <c r="I30" s="1527"/>
      <c r="J30" s="1527"/>
      <c r="K30" s="1527"/>
      <c r="L30" s="1527"/>
      <c r="M30" s="1527"/>
      <c r="N30" s="1527"/>
      <c r="O30" s="1527"/>
      <c r="P30" s="1527"/>
      <c r="Q30" s="1527"/>
      <c r="R30" s="1527"/>
      <c r="S30" s="1527"/>
      <c r="T30" s="1527"/>
      <c r="U30" s="1527"/>
      <c r="V30" s="1527"/>
      <c r="W30" s="1527"/>
      <c r="X30" s="1527"/>
    </row>
    <row r="31" spans="1:24" hidden="1" x14ac:dyDescent="0.25">
      <c r="A31" s="1527"/>
      <c r="B31" s="1527"/>
      <c r="C31" s="1527"/>
      <c r="D31" s="1527"/>
      <c r="E31" s="1527"/>
      <c r="F31" s="1527"/>
      <c r="G31" s="1527"/>
      <c r="H31" s="1527"/>
      <c r="I31" s="1527"/>
      <c r="J31" s="1527"/>
      <c r="K31" s="1527"/>
      <c r="L31" s="1527"/>
      <c r="M31" s="1527"/>
      <c r="N31" s="1527"/>
      <c r="O31" s="1527"/>
      <c r="P31" s="1527"/>
      <c r="Q31" s="1527"/>
      <c r="R31" s="1527"/>
      <c r="S31" s="1527"/>
      <c r="T31" s="1527"/>
      <c r="U31" s="1527"/>
      <c r="V31" s="1527"/>
      <c r="W31" s="1527"/>
      <c r="X31" s="1527"/>
    </row>
    <row r="32" spans="1:24" hidden="1" x14ac:dyDescent="0.25">
      <c r="A32" s="1527"/>
      <c r="B32" s="1527"/>
      <c r="C32" s="1527"/>
      <c r="D32" s="1527"/>
      <c r="E32" s="1527"/>
      <c r="F32" s="1527"/>
      <c r="G32" s="1527"/>
      <c r="H32" s="1527"/>
      <c r="I32" s="1527"/>
      <c r="J32" s="1527"/>
      <c r="K32" s="1527"/>
      <c r="L32" s="1527"/>
      <c r="M32" s="1527"/>
      <c r="N32" s="1527"/>
      <c r="O32" s="1527"/>
      <c r="P32" s="1527"/>
      <c r="Q32" s="1527"/>
      <c r="R32" s="1527"/>
      <c r="S32" s="1527"/>
      <c r="T32" s="1527"/>
      <c r="U32" s="1527"/>
      <c r="V32" s="1527"/>
      <c r="W32" s="1527"/>
      <c r="X32" s="1527"/>
    </row>
    <row r="33" spans="1:24" hidden="1" x14ac:dyDescent="0.25">
      <c r="A33" s="1527"/>
      <c r="B33" s="1527"/>
      <c r="C33" s="1527"/>
      <c r="D33" s="1527"/>
      <c r="E33" s="1527"/>
      <c r="F33" s="1527"/>
      <c r="G33" s="1527"/>
      <c r="H33" s="1527"/>
      <c r="I33" s="1527"/>
      <c r="J33" s="1527"/>
      <c r="K33" s="1527"/>
      <c r="L33" s="1527"/>
      <c r="M33" s="1527"/>
      <c r="N33" s="1527"/>
      <c r="O33" s="1527"/>
      <c r="P33" s="1527"/>
      <c r="Q33" s="1527"/>
      <c r="R33" s="1527"/>
      <c r="S33" s="1527"/>
      <c r="T33" s="1527"/>
      <c r="U33" s="1527"/>
      <c r="V33" s="1527"/>
      <c r="W33" s="1527"/>
      <c r="X33" s="1527"/>
    </row>
    <row r="34" spans="1:24" hidden="1" x14ac:dyDescent="0.25">
      <c r="A34" s="1527"/>
      <c r="B34" s="1527"/>
      <c r="C34" s="1527"/>
      <c r="D34" s="1527"/>
      <c r="E34" s="1527"/>
      <c r="F34" s="1527"/>
      <c r="G34" s="1527"/>
      <c r="H34" s="1527"/>
      <c r="I34" s="1527"/>
      <c r="J34" s="1527"/>
      <c r="K34" s="1527"/>
      <c r="L34" s="1527"/>
      <c r="M34" s="1527"/>
      <c r="N34" s="1527"/>
      <c r="O34" s="1527"/>
      <c r="P34" s="1527"/>
      <c r="Q34" s="1527"/>
      <c r="R34" s="1527"/>
      <c r="S34" s="1527"/>
      <c r="T34" s="1527"/>
      <c r="U34" s="1527"/>
      <c r="V34" s="1527"/>
      <c r="W34" s="1527"/>
      <c r="X34" s="1527"/>
    </row>
    <row r="35" spans="1:24" hidden="1" x14ac:dyDescent="0.25">
      <c r="A35" s="1527"/>
      <c r="B35" s="1527"/>
      <c r="C35" s="1527"/>
      <c r="D35" s="1527"/>
      <c r="E35" s="1527"/>
      <c r="F35" s="1527"/>
      <c r="G35" s="1527"/>
      <c r="H35" s="1527"/>
      <c r="I35" s="1527"/>
      <c r="J35" s="1527"/>
      <c r="K35" s="1527"/>
      <c r="L35" s="1527"/>
      <c r="M35" s="1527"/>
      <c r="N35" s="1527"/>
      <c r="O35" s="1527"/>
      <c r="P35" s="1527"/>
      <c r="Q35" s="1527"/>
      <c r="R35" s="1527"/>
      <c r="S35" s="1527"/>
      <c r="T35" s="1527"/>
      <c r="U35" s="1527"/>
      <c r="V35" s="1527"/>
      <c r="W35" s="1527"/>
      <c r="X35" s="1527"/>
    </row>
    <row r="36" spans="1:24" hidden="1" x14ac:dyDescent="0.25">
      <c r="A36" s="1527"/>
      <c r="B36" s="1527"/>
      <c r="C36" s="1527"/>
      <c r="D36" s="1527"/>
      <c r="E36" s="1527"/>
      <c r="F36" s="1527"/>
      <c r="G36" s="1527"/>
      <c r="H36" s="1527"/>
      <c r="I36" s="1527"/>
      <c r="J36" s="1527"/>
      <c r="K36" s="1527"/>
      <c r="L36" s="1527"/>
      <c r="M36" s="1527"/>
      <c r="N36" s="1527"/>
      <c r="O36" s="1527"/>
      <c r="P36" s="1527"/>
      <c r="Q36" s="1527"/>
      <c r="R36" s="1527"/>
      <c r="S36" s="1527"/>
      <c r="T36" s="1527"/>
      <c r="U36" s="1527"/>
      <c r="V36" s="1527"/>
      <c r="W36" s="1527"/>
      <c r="X36" s="1527"/>
    </row>
    <row r="37" spans="1:24" hidden="1" x14ac:dyDescent="0.25">
      <c r="A37" s="1527"/>
      <c r="B37" s="1527"/>
      <c r="C37" s="1527"/>
      <c r="D37" s="1527"/>
      <c r="E37" s="1527"/>
      <c r="F37" s="1527"/>
      <c r="G37" s="1527"/>
      <c r="H37" s="1527"/>
      <c r="I37" s="1527"/>
      <c r="J37" s="1527"/>
      <c r="K37" s="1527"/>
      <c r="L37" s="1527"/>
      <c r="M37" s="1527"/>
      <c r="N37" s="1527"/>
      <c r="O37" s="1527"/>
      <c r="P37" s="1527"/>
      <c r="Q37" s="1527"/>
      <c r="R37" s="1527"/>
      <c r="S37" s="1527"/>
      <c r="T37" s="1527"/>
      <c r="U37" s="1527"/>
      <c r="V37" s="1527"/>
      <c r="W37" s="1527"/>
      <c r="X37" s="1527"/>
    </row>
    <row r="38" spans="1:24" hidden="1" x14ac:dyDescent="0.25">
      <c r="A38" s="1527"/>
      <c r="B38" s="1527"/>
      <c r="C38" s="1527"/>
      <c r="D38" s="1527"/>
      <c r="E38" s="1527"/>
      <c r="F38" s="1527"/>
      <c r="G38" s="1527"/>
      <c r="H38" s="1527"/>
      <c r="I38" s="1527"/>
      <c r="J38" s="1527"/>
      <c r="K38" s="1527"/>
      <c r="L38" s="1527"/>
      <c r="M38" s="1527"/>
      <c r="N38" s="1527"/>
      <c r="O38" s="1527"/>
      <c r="P38" s="1527"/>
      <c r="Q38" s="1527"/>
      <c r="R38" s="1527"/>
      <c r="S38" s="1527"/>
      <c r="T38" s="1527"/>
      <c r="U38" s="1527"/>
      <c r="V38" s="1527"/>
      <c r="W38" s="1527"/>
      <c r="X38" s="1527"/>
    </row>
    <row r="39" spans="1:24" hidden="1" x14ac:dyDescent="0.25">
      <c r="A39" s="1527"/>
      <c r="B39" s="1527"/>
      <c r="C39" s="1527"/>
      <c r="D39" s="1527"/>
      <c r="E39" s="1527"/>
      <c r="F39" s="1527"/>
      <c r="G39" s="1527"/>
      <c r="H39" s="1527"/>
      <c r="I39" s="1527"/>
      <c r="J39" s="1527"/>
      <c r="K39" s="1527"/>
      <c r="L39" s="1527"/>
      <c r="M39" s="1527"/>
      <c r="N39" s="1527"/>
      <c r="O39" s="1527"/>
      <c r="P39" s="1527"/>
      <c r="Q39" s="1527"/>
      <c r="R39" s="1527"/>
      <c r="S39" s="1527"/>
      <c r="T39" s="1527"/>
      <c r="U39" s="1527"/>
      <c r="V39" s="1527"/>
      <c r="W39" s="1527"/>
      <c r="X39" s="1527"/>
    </row>
    <row r="40" spans="1:24" hidden="1" x14ac:dyDescent="0.25">
      <c r="A40" s="1527"/>
      <c r="B40" s="1527"/>
      <c r="C40" s="1527"/>
      <c r="D40" s="1527"/>
      <c r="E40" s="1527"/>
      <c r="F40" s="1527"/>
      <c r="G40" s="1527"/>
      <c r="H40" s="1527"/>
      <c r="I40" s="1527"/>
      <c r="J40" s="1527"/>
      <c r="K40" s="1527"/>
      <c r="L40" s="1527"/>
      <c r="M40" s="1527"/>
      <c r="N40" s="1527"/>
      <c r="O40" s="1527"/>
      <c r="P40" s="1527"/>
      <c r="Q40" s="1527"/>
      <c r="R40" s="1527"/>
      <c r="S40" s="1527"/>
      <c r="T40" s="1527"/>
      <c r="U40" s="1527"/>
      <c r="V40" s="1527"/>
      <c r="W40" s="1527"/>
      <c r="X40" s="1527"/>
    </row>
    <row r="41" spans="1:24" hidden="1" x14ac:dyDescent="0.25">
      <c r="A41" s="1527"/>
      <c r="B41" s="1527"/>
      <c r="C41" s="1527"/>
      <c r="D41" s="1527"/>
      <c r="E41" s="1527"/>
      <c r="F41" s="1527"/>
      <c r="G41" s="1527"/>
      <c r="H41" s="1527"/>
      <c r="I41" s="1527"/>
      <c r="J41" s="1527"/>
      <c r="K41" s="1527"/>
      <c r="L41" s="1527"/>
      <c r="M41" s="1527"/>
      <c r="N41" s="1527"/>
      <c r="O41" s="1527"/>
      <c r="P41" s="1527"/>
      <c r="Q41" s="1527"/>
      <c r="R41" s="1527"/>
      <c r="S41" s="1527"/>
      <c r="T41" s="1527"/>
      <c r="U41" s="1527"/>
      <c r="V41" s="1527"/>
      <c r="W41" s="1527"/>
      <c r="X41" s="1527"/>
    </row>
    <row r="42" spans="1:24" hidden="1" x14ac:dyDescent="0.25">
      <c r="A42" s="1527"/>
      <c r="B42" s="1527"/>
      <c r="C42" s="1527"/>
      <c r="D42" s="1527"/>
      <c r="E42" s="1527"/>
      <c r="F42" s="1527"/>
      <c r="G42" s="1527"/>
      <c r="H42" s="1527"/>
      <c r="I42" s="1527"/>
      <c r="J42" s="1527"/>
      <c r="K42" s="1527"/>
      <c r="L42" s="1527"/>
      <c r="M42" s="1527"/>
      <c r="N42" s="1527"/>
      <c r="O42" s="1527"/>
      <c r="P42" s="1527"/>
      <c r="Q42" s="1527"/>
      <c r="R42" s="1527"/>
      <c r="S42" s="1527"/>
      <c r="T42" s="1527"/>
      <c r="U42" s="1527"/>
      <c r="V42" s="1527"/>
      <c r="W42" s="1527"/>
      <c r="X42" s="1527"/>
    </row>
    <row r="43" spans="1:24" hidden="1" x14ac:dyDescent="0.25">
      <c r="A43" s="1527"/>
      <c r="B43" s="1527"/>
      <c r="C43" s="1527"/>
      <c r="D43" s="1527"/>
      <c r="E43" s="1527"/>
      <c r="F43" s="1527"/>
      <c r="G43" s="1527"/>
      <c r="H43" s="1527"/>
      <c r="I43" s="1527"/>
      <c r="J43" s="1527"/>
      <c r="K43" s="1527"/>
      <c r="L43" s="1527"/>
      <c r="M43" s="1527"/>
      <c r="N43" s="1527"/>
      <c r="O43" s="1527"/>
      <c r="P43" s="1527"/>
      <c r="Q43" s="1527"/>
      <c r="R43" s="1527"/>
      <c r="S43" s="1527"/>
      <c r="T43" s="1527"/>
      <c r="U43" s="1527"/>
      <c r="V43" s="1527"/>
      <c r="W43" s="1527"/>
      <c r="X43" s="1527"/>
    </row>
    <row r="44" spans="1:24" hidden="1" x14ac:dyDescent="0.25">
      <c r="A44" s="1527"/>
      <c r="B44" s="1527"/>
      <c r="C44" s="1527"/>
      <c r="D44" s="1527"/>
      <c r="E44" s="1527"/>
      <c r="F44" s="1527"/>
      <c r="G44" s="1527"/>
      <c r="H44" s="1527"/>
      <c r="I44" s="1527"/>
      <c r="J44" s="1527"/>
      <c r="K44" s="1527"/>
      <c r="L44" s="1527"/>
      <c r="M44" s="1527"/>
      <c r="N44" s="1527"/>
      <c r="O44" s="1527"/>
      <c r="P44" s="1527"/>
      <c r="Q44" s="1527"/>
      <c r="R44" s="1527"/>
      <c r="S44" s="1527"/>
      <c r="T44" s="1527"/>
      <c r="U44" s="1527"/>
      <c r="V44" s="1527"/>
      <c r="W44" s="1527"/>
      <c r="X44" s="1527"/>
    </row>
    <row r="45" spans="1:24" hidden="1" x14ac:dyDescent="0.25">
      <c r="A45" s="1527"/>
      <c r="B45" s="1527"/>
      <c r="C45" s="1527"/>
      <c r="D45" s="1527"/>
      <c r="E45" s="1527"/>
      <c r="F45" s="1527"/>
      <c r="G45" s="1527"/>
      <c r="H45" s="1527"/>
      <c r="I45" s="1527"/>
      <c r="J45" s="1527"/>
      <c r="K45" s="1527"/>
      <c r="L45" s="1527"/>
      <c r="M45" s="1527"/>
      <c r="N45" s="1527"/>
      <c r="O45" s="1527"/>
      <c r="P45" s="1527"/>
      <c r="Q45" s="1527"/>
      <c r="R45" s="1527"/>
      <c r="S45" s="1527"/>
      <c r="T45" s="1527"/>
      <c r="U45" s="1527"/>
      <c r="V45" s="1527"/>
      <c r="W45" s="1527"/>
      <c r="X45" s="1527"/>
    </row>
    <row r="46" spans="1:24" hidden="1" x14ac:dyDescent="0.25">
      <c r="A46" s="1527"/>
      <c r="B46" s="1527"/>
      <c r="C46" s="1527"/>
      <c r="D46" s="1527"/>
      <c r="E46" s="1527"/>
      <c r="F46" s="1527"/>
      <c r="G46" s="1527"/>
      <c r="H46" s="1527"/>
      <c r="I46" s="1527"/>
      <c r="J46" s="1527"/>
      <c r="K46" s="1527"/>
      <c r="L46" s="1527"/>
      <c r="M46" s="1527"/>
      <c r="N46" s="1527"/>
      <c r="O46" s="1527"/>
      <c r="P46" s="1527"/>
      <c r="Q46" s="1527"/>
      <c r="R46" s="1527"/>
      <c r="S46" s="1527"/>
      <c r="T46" s="1527"/>
      <c r="U46" s="1527"/>
      <c r="V46" s="1527"/>
      <c r="W46" s="1527"/>
      <c r="X46" s="1527"/>
    </row>
    <row r="47" spans="1:24" hidden="1" x14ac:dyDescent="0.25">
      <c r="A47" s="1527"/>
      <c r="B47" s="1527"/>
      <c r="C47" s="1527"/>
      <c r="D47" s="1527"/>
      <c r="E47" s="1527"/>
      <c r="F47" s="1527"/>
      <c r="G47" s="1527"/>
      <c r="H47" s="1527"/>
      <c r="I47" s="1527"/>
      <c r="J47" s="1527"/>
      <c r="K47" s="1527"/>
      <c r="L47" s="1527"/>
      <c r="M47" s="1527"/>
      <c r="N47" s="1527"/>
      <c r="O47" s="1527"/>
      <c r="P47" s="1527"/>
      <c r="Q47" s="1527"/>
      <c r="R47" s="1527"/>
      <c r="S47" s="1527"/>
      <c r="T47" s="1527"/>
      <c r="U47" s="1527"/>
      <c r="V47" s="1527"/>
      <c r="W47" s="1527"/>
      <c r="X47" s="1527"/>
    </row>
    <row r="48" spans="1:24" hidden="1" x14ac:dyDescent="0.25"/>
    <row r="49" hidden="1" x14ac:dyDescent="0.25"/>
    <row r="50" hidden="1" x14ac:dyDescent="0.25"/>
  </sheetData>
  <sheetProtection password="ECB1" sheet="1" objects="1" scenarios="1"/>
  <mergeCells count="7">
    <mergeCell ref="C13:D13"/>
    <mergeCell ref="C3:D3"/>
    <mergeCell ref="C4:D4"/>
    <mergeCell ref="C7:D7"/>
    <mergeCell ref="C9:D9"/>
    <mergeCell ref="C11:D11"/>
    <mergeCell ref="C5:D5"/>
  </mergeCells>
  <hyperlinks>
    <hyperlink ref="C13" location="'Форма обратной связи'!A1" display="Форма обратной связи"/>
    <hyperlink ref="C11:D11" location="'Экономический расчет'!A1" tooltip="перейти..." display="4. Оценка повышения энергоэффективнсти"/>
    <hyperlink ref="C9:D9" location="'Список мероприятий'!A1" tooltip="перейти..." display="3. Выбор мероприятий по повышению энергетической эффективности"/>
    <hyperlink ref="C7:D7" location="'Ввод исходных данных'!D9" tooltip="перейти..." display="2.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 ref="C5:D5" location="'Рейтинг МКД'!A1" tooltip="перейти..." display="1. Рейтинг многоквартирного дома"/>
  </hyperlinks>
  <printOptions horizontalCentered="1" verticalCentered="1"/>
  <pageMargins left="0.23622047244094491" right="0.23622047244094491" top="0.74803149606299213" bottom="0.74803149606299213" header="0.31496062992125984" footer="0.31496062992125984"/>
  <pageSetup paperSize="9" orientation="landscape"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H198"/>
  <sheetViews>
    <sheetView topLeftCell="A115" zoomScale="75" zoomScaleNormal="75" workbookViewId="0">
      <selection activeCell="C133" sqref="C133"/>
    </sheetView>
  </sheetViews>
  <sheetFormatPr defaultColWidth="9.140625" defaultRowHeight="15" x14ac:dyDescent="0.25"/>
  <cols>
    <col min="1" max="1" width="38.28515625" style="51" customWidth="1"/>
    <col min="2" max="2" width="9.28515625" style="51" customWidth="1"/>
    <col min="3" max="3" width="15.5703125" style="51" customWidth="1"/>
    <col min="4" max="4" width="16.140625" style="51" customWidth="1"/>
    <col min="5" max="5" width="15.140625" style="51" customWidth="1"/>
    <col min="6" max="6" width="12" style="51" customWidth="1"/>
    <col min="7" max="7" width="34.5703125" style="51" customWidth="1"/>
    <col min="8" max="8" width="7.7109375" style="51" customWidth="1"/>
    <col min="9" max="9" width="12.7109375" style="51" customWidth="1"/>
    <col min="10" max="10" width="13.42578125" style="51" customWidth="1"/>
    <col min="11" max="11" width="12.28515625" style="51" customWidth="1"/>
    <col min="12" max="12" width="13.140625" style="51" customWidth="1"/>
    <col min="13" max="13" width="12.7109375" style="51" customWidth="1"/>
    <col min="14" max="14" width="11.28515625" style="51" customWidth="1"/>
    <col min="15" max="15" width="15.7109375" style="51" customWidth="1"/>
    <col min="16" max="16" width="11.7109375" style="51" customWidth="1"/>
    <col min="17" max="17" width="11.42578125" style="51" customWidth="1"/>
    <col min="18" max="19" width="12.42578125" style="51" customWidth="1"/>
    <col min="20" max="20" width="12.5703125" style="51" customWidth="1"/>
    <col min="21" max="21" width="11.5703125" style="51" customWidth="1"/>
    <col min="22" max="22" width="12" style="51" customWidth="1"/>
    <col min="23" max="23" width="12.42578125" style="51" customWidth="1"/>
    <col min="24" max="24" width="14.140625" style="51" customWidth="1"/>
    <col min="25" max="25" width="12" style="51" customWidth="1"/>
    <col min="26" max="26" width="10.42578125" style="51" customWidth="1"/>
    <col min="27" max="27" width="11.7109375" style="51" customWidth="1"/>
    <col min="28" max="28" width="12.5703125" style="51" customWidth="1"/>
    <col min="29" max="29" width="12.7109375" style="51" customWidth="1"/>
    <col min="30" max="30" width="12.42578125" style="51" customWidth="1"/>
    <col min="31" max="31" width="12.5703125" style="51" customWidth="1"/>
    <col min="32" max="32" width="13.28515625" style="51" customWidth="1"/>
    <col min="33" max="16384" width="9.140625" style="51"/>
  </cols>
  <sheetData>
    <row r="1" spans="1:60"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1:60" ht="34.5" customHeight="1" thickBot="1" x14ac:dyDescent="0.3">
      <c r="A3" s="2483" t="s">
        <v>1156</v>
      </c>
      <c r="B3" s="2483"/>
      <c r="C3" s="2483"/>
      <c r="D3" s="2483"/>
      <c r="E3" s="2483"/>
      <c r="F3" s="265"/>
      <c r="G3" s="266" t="s">
        <v>1157</v>
      </c>
      <c r="H3" s="266"/>
      <c r="I3" s="267"/>
      <c r="J3" s="267"/>
      <c r="K3" s="268"/>
      <c r="L3" s="268"/>
      <c r="M3" s="268"/>
      <c r="N3" s="268"/>
      <c r="O3" s="268"/>
      <c r="P3" s="268"/>
      <c r="Q3" s="265"/>
      <c r="R3" s="265"/>
      <c r="S3" s="265"/>
      <c r="T3" s="265"/>
      <c r="U3" s="265"/>
      <c r="V3" s="265"/>
      <c r="W3" s="265"/>
      <c r="X3" s="265"/>
      <c r="Y3" s="265"/>
      <c r="Z3" s="265"/>
      <c r="AA3" s="265"/>
      <c r="AB3" s="265"/>
      <c r="AC3" s="265"/>
      <c r="AD3" s="265"/>
      <c r="AE3" s="265"/>
      <c r="AF3" s="265"/>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row>
    <row r="4" spans="1:60" ht="29.25" customHeight="1" x14ac:dyDescent="0.25">
      <c r="A4" s="2458" t="s">
        <v>829</v>
      </c>
      <c r="B4" s="2460" t="s">
        <v>1158</v>
      </c>
      <c r="C4" s="2475" t="s">
        <v>1302</v>
      </c>
      <c r="D4" s="2484" t="s">
        <v>1301</v>
      </c>
      <c r="E4" s="50"/>
      <c r="F4" s="50"/>
      <c r="G4" s="2501" t="s">
        <v>829</v>
      </c>
      <c r="H4" s="2502" t="s">
        <v>1158</v>
      </c>
      <c r="I4" s="2502" t="s">
        <v>488</v>
      </c>
      <c r="J4" s="2502"/>
      <c r="K4" s="2502" t="s">
        <v>489</v>
      </c>
      <c r="L4" s="2502"/>
      <c r="M4" s="2502" t="s">
        <v>490</v>
      </c>
      <c r="N4" s="2502"/>
      <c r="O4" s="2502" t="s">
        <v>491</v>
      </c>
      <c r="P4" s="2502"/>
      <c r="Q4" s="2502" t="s">
        <v>800</v>
      </c>
      <c r="R4" s="2502"/>
      <c r="S4" s="2502" t="s">
        <v>801</v>
      </c>
      <c r="T4" s="2502"/>
      <c r="U4" s="2502" t="s">
        <v>802</v>
      </c>
      <c r="V4" s="2502"/>
      <c r="W4" s="2502" t="s">
        <v>803</v>
      </c>
      <c r="X4" s="2502"/>
      <c r="Y4" s="2502" t="s">
        <v>804</v>
      </c>
      <c r="Z4" s="2502"/>
      <c r="AA4" s="2502" t="s">
        <v>482</v>
      </c>
      <c r="AB4" s="2502"/>
      <c r="AC4" s="2502" t="s">
        <v>486</v>
      </c>
      <c r="AD4" s="2502"/>
      <c r="AE4" s="2502" t="s">
        <v>487</v>
      </c>
      <c r="AF4" s="2502"/>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row>
    <row r="5" spans="1:60" ht="72.95" customHeight="1" x14ac:dyDescent="0.25">
      <c r="A5" s="2509"/>
      <c r="B5" s="2510"/>
      <c r="C5" s="2508"/>
      <c r="D5" s="2507"/>
      <c r="E5" s="50"/>
      <c r="F5" s="50"/>
      <c r="G5" s="2505"/>
      <c r="H5" s="2506"/>
      <c r="I5" s="269" t="s">
        <v>1302</v>
      </c>
      <c r="J5" s="270" t="s">
        <v>1301</v>
      </c>
      <c r="K5" s="269" t="s">
        <v>1302</v>
      </c>
      <c r="L5" s="270" t="s">
        <v>1301</v>
      </c>
      <c r="M5" s="269" t="s">
        <v>1302</v>
      </c>
      <c r="N5" s="270" t="s">
        <v>1301</v>
      </c>
      <c r="O5" s="269" t="s">
        <v>1302</v>
      </c>
      <c r="P5" s="270" t="s">
        <v>1301</v>
      </c>
      <c r="Q5" s="269" t="s">
        <v>1302</v>
      </c>
      <c r="R5" s="270" t="s">
        <v>1301</v>
      </c>
      <c r="S5" s="269" t="s">
        <v>1302</v>
      </c>
      <c r="T5" s="270" t="s">
        <v>1301</v>
      </c>
      <c r="U5" s="269" t="s">
        <v>1302</v>
      </c>
      <c r="V5" s="270" t="s">
        <v>1301</v>
      </c>
      <c r="W5" s="269" t="s">
        <v>1302</v>
      </c>
      <c r="X5" s="270" t="s">
        <v>1301</v>
      </c>
      <c r="Y5" s="269" t="s">
        <v>1302</v>
      </c>
      <c r="Z5" s="270" t="s">
        <v>1301</v>
      </c>
      <c r="AA5" s="269" t="s">
        <v>1302</v>
      </c>
      <c r="AB5" s="270" t="s">
        <v>1301</v>
      </c>
      <c r="AC5" s="269" t="s">
        <v>1302</v>
      </c>
      <c r="AD5" s="270" t="s">
        <v>1301</v>
      </c>
      <c r="AE5" s="269" t="s">
        <v>1302</v>
      </c>
      <c r="AF5" s="270" t="s">
        <v>1301</v>
      </c>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row>
    <row r="6" spans="1:60" ht="25.5" customHeight="1" x14ac:dyDescent="0.25">
      <c r="A6" s="271" t="s">
        <v>1162</v>
      </c>
      <c r="B6" s="272" t="s">
        <v>837</v>
      </c>
      <c r="C6" s="273">
        <f ca="1">'Расчет базового уровня'!D6</f>
        <v>0</v>
      </c>
      <c r="D6" s="273" t="e">
        <f ca="1">D12+D15+D18</f>
        <v>#N/A</v>
      </c>
      <c r="E6" s="50"/>
      <c r="F6" s="50"/>
      <c r="G6" s="271" t="s">
        <v>1162</v>
      </c>
      <c r="H6" s="272" t="s">
        <v>837</v>
      </c>
      <c r="I6" s="274">
        <f ca="1">'Расчет базового уровня'!J6</f>
        <v>0</v>
      </c>
      <c r="J6" s="274" t="e">
        <f ca="1">J12+J15+J18</f>
        <v>#N/A</v>
      </c>
      <c r="K6" s="274">
        <f ca="1">'Расчет базового уровня'!M6</f>
        <v>0</v>
      </c>
      <c r="L6" s="274" t="e">
        <f ca="1">L12+L15+L18</f>
        <v>#N/A</v>
      </c>
      <c r="M6" s="274">
        <f ca="1">'Расчет базового уровня'!P6</f>
        <v>0</v>
      </c>
      <c r="N6" s="274" t="e">
        <f ca="1">N12+N15+N18</f>
        <v>#N/A</v>
      </c>
      <c r="O6" s="274">
        <f ca="1">'Расчет базового уровня'!S6</f>
        <v>0</v>
      </c>
      <c r="P6" s="274" t="e">
        <f ca="1">P12+P15+P18</f>
        <v>#N/A</v>
      </c>
      <c r="Q6" s="274">
        <f ca="1">'Расчет базового уровня'!V6</f>
        <v>0</v>
      </c>
      <c r="R6" s="274" t="e">
        <f ca="1">R12+R15+R18</f>
        <v>#N/A</v>
      </c>
      <c r="S6" s="274">
        <f ca="1">'Расчет базового уровня'!Y6</f>
        <v>0</v>
      </c>
      <c r="T6" s="274" t="e">
        <f ca="1">T12+T15+T18</f>
        <v>#N/A</v>
      </c>
      <c r="U6" s="274">
        <f ca="1">'Расчет базового уровня'!AB6</f>
        <v>0</v>
      </c>
      <c r="V6" s="274" t="e">
        <f ca="1">V12+V15+V18</f>
        <v>#N/A</v>
      </c>
      <c r="W6" s="274">
        <f ca="1">'Расчет базового уровня'!AE6</f>
        <v>0</v>
      </c>
      <c r="X6" s="274" t="e">
        <f ca="1">X12+X15+X18</f>
        <v>#N/A</v>
      </c>
      <c r="Y6" s="274">
        <f ca="1">'Расчет базового уровня'!AH6</f>
        <v>0</v>
      </c>
      <c r="Z6" s="274" t="e">
        <f ca="1">Z12+Z15+Z18</f>
        <v>#N/A</v>
      </c>
      <c r="AA6" s="274">
        <f ca="1">'Расчет базового уровня'!AK6</f>
        <v>0</v>
      </c>
      <c r="AB6" s="274" t="e">
        <f ca="1">AB12+AB15+AB18</f>
        <v>#N/A</v>
      </c>
      <c r="AC6" s="274">
        <f ca="1">'Расчет базового уровня'!AN6</f>
        <v>0</v>
      </c>
      <c r="AD6" s="274" t="e">
        <f ca="1">AD12+AD15+AD18</f>
        <v>#N/A</v>
      </c>
      <c r="AE6" s="274">
        <f ca="1">'Расчет базового уровня'!AQ6</f>
        <v>0</v>
      </c>
      <c r="AF6" s="274" t="e">
        <f ca="1">AF12+AF15+AF18</f>
        <v>#N/A</v>
      </c>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row>
    <row r="7" spans="1:60" ht="19.5" customHeight="1" x14ac:dyDescent="0.25">
      <c r="A7" s="275" t="s">
        <v>1303</v>
      </c>
      <c r="B7" s="272" t="s">
        <v>837</v>
      </c>
      <c r="C7" s="276"/>
      <c r="D7" s="276" t="e">
        <f ca="1">C6-D6</f>
        <v>#N/A</v>
      </c>
      <c r="E7" s="50"/>
      <c r="F7" s="50"/>
      <c r="G7" s="275" t="s">
        <v>1303</v>
      </c>
      <c r="H7" s="272" t="s">
        <v>837</v>
      </c>
      <c r="I7" s="276"/>
      <c r="J7" s="276" t="e">
        <f ca="1">I6-J6</f>
        <v>#N/A</v>
      </c>
      <c r="K7" s="276"/>
      <c r="L7" s="276" t="e">
        <f ca="1">K6-L6</f>
        <v>#N/A</v>
      </c>
      <c r="M7" s="276"/>
      <c r="N7" s="276" t="e">
        <f ca="1">M6-N6</f>
        <v>#N/A</v>
      </c>
      <c r="O7" s="276"/>
      <c r="P7" s="276" t="e">
        <f ca="1">O6-P6</f>
        <v>#N/A</v>
      </c>
      <c r="Q7" s="276"/>
      <c r="R7" s="276" t="e">
        <f ca="1">Q6-R6</f>
        <v>#N/A</v>
      </c>
      <c r="S7" s="276"/>
      <c r="T7" s="276" t="e">
        <f ca="1">S6-T6</f>
        <v>#N/A</v>
      </c>
      <c r="U7" s="276"/>
      <c r="V7" s="276" t="e">
        <f ca="1">U6-V6</f>
        <v>#N/A</v>
      </c>
      <c r="W7" s="276"/>
      <c r="X7" s="276" t="e">
        <f ca="1">W6-X6</f>
        <v>#N/A</v>
      </c>
      <c r="Y7" s="276"/>
      <c r="Z7" s="276" t="e">
        <f ca="1">Y6-Z6</f>
        <v>#N/A</v>
      </c>
      <c r="AA7" s="276"/>
      <c r="AB7" s="276" t="e">
        <f ca="1">AA6-AB6</f>
        <v>#N/A</v>
      </c>
      <c r="AC7" s="276"/>
      <c r="AD7" s="276" t="e">
        <f ca="1">AC6-AD6</f>
        <v>#N/A</v>
      </c>
      <c r="AE7" s="276"/>
      <c r="AF7" s="276" t="e">
        <f ca="1">AE6-AF6</f>
        <v>#N/A</v>
      </c>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row>
    <row r="8" spans="1:60" ht="14.25" customHeight="1" x14ac:dyDescent="0.25">
      <c r="A8" s="275" t="s">
        <v>868</v>
      </c>
      <c r="B8" s="277" t="s">
        <v>1165</v>
      </c>
      <c r="C8" s="278"/>
      <c r="D8" s="278" t="e">
        <f ca="1">D7/C6</f>
        <v>#N/A</v>
      </c>
      <c r="E8" s="50"/>
      <c r="F8" s="50"/>
      <c r="G8" s="275" t="s">
        <v>868</v>
      </c>
      <c r="H8" s="277" t="s">
        <v>1165</v>
      </c>
      <c r="I8" s="278"/>
      <c r="J8" s="278">
        <f ca="1">IF(I6=0,0,J7/I6)</f>
        <v>0</v>
      </c>
      <c r="K8" s="278"/>
      <c r="L8" s="278">
        <f ca="1">IF(K6=0,0,L7/K6)</f>
        <v>0</v>
      </c>
      <c r="M8" s="278"/>
      <c r="N8" s="278">
        <f ca="1">IF(M6=0,0,N7/M6)</f>
        <v>0</v>
      </c>
      <c r="O8" s="278"/>
      <c r="P8" s="278">
        <f ca="1">IF(O6=0,0,P7/O6)</f>
        <v>0</v>
      </c>
      <c r="Q8" s="278"/>
      <c r="R8" s="278">
        <f ca="1">IF(Q6=0,0,R7/Q6)</f>
        <v>0</v>
      </c>
      <c r="S8" s="278"/>
      <c r="T8" s="278">
        <f ca="1">IF(S6=0,0,T7/S6)</f>
        <v>0</v>
      </c>
      <c r="U8" s="278"/>
      <c r="V8" s="278">
        <f ca="1">IF(U6=0,0,V7/U6)</f>
        <v>0</v>
      </c>
      <c r="W8" s="278"/>
      <c r="X8" s="278">
        <f ca="1">IF(W6=0,0,X7/W6)</f>
        <v>0</v>
      </c>
      <c r="Y8" s="278"/>
      <c r="Z8" s="278">
        <f ca="1">IF(Y6=0,0,Z7/Y6)</f>
        <v>0</v>
      </c>
      <c r="AA8" s="278"/>
      <c r="AB8" s="278">
        <f ca="1">IF(AA6=0,0,AB7/AA6)</f>
        <v>0</v>
      </c>
      <c r="AC8" s="278"/>
      <c r="AD8" s="278">
        <f ca="1">IF(AC6=0,0,AD7/AC6)</f>
        <v>0</v>
      </c>
      <c r="AE8" s="278"/>
      <c r="AF8" s="278">
        <f ca="1">IF(AE6=0,0,AF7/AE6)</f>
        <v>0</v>
      </c>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row>
    <row r="9" spans="1:60" ht="30" customHeight="1" x14ac:dyDescent="0.25">
      <c r="A9" s="279" t="s">
        <v>1166</v>
      </c>
      <c r="B9" s="272" t="s">
        <v>837</v>
      </c>
      <c r="C9" s="273">
        <f ca="1">'Расчет базового уровня'!D9</f>
        <v>0</v>
      </c>
      <c r="D9" s="273" t="e">
        <f ca="1">D12+D15</f>
        <v>#N/A</v>
      </c>
      <c r="E9" s="50"/>
      <c r="F9" s="50"/>
      <c r="G9" s="279" t="s">
        <v>1166</v>
      </c>
      <c r="H9" s="272" t="s">
        <v>837</v>
      </c>
      <c r="I9" s="274">
        <f ca="1">'Расчет базового уровня'!J9</f>
        <v>0</v>
      </c>
      <c r="J9" s="274" t="e">
        <f ca="1">J12+J15</f>
        <v>#N/A</v>
      </c>
      <c r="K9" s="274">
        <f ca="1">'Расчет базового уровня'!M9</f>
        <v>0</v>
      </c>
      <c r="L9" s="274" t="e">
        <f ca="1">L12+L15</f>
        <v>#N/A</v>
      </c>
      <c r="M9" s="274">
        <f ca="1">'Расчет базового уровня'!P9</f>
        <v>0</v>
      </c>
      <c r="N9" s="274" t="e">
        <f ca="1">N12+N15</f>
        <v>#N/A</v>
      </c>
      <c r="O9" s="274">
        <f ca="1">'Расчет базового уровня'!S9</f>
        <v>0</v>
      </c>
      <c r="P9" s="274" t="e">
        <f ca="1">P12+P15</f>
        <v>#N/A</v>
      </c>
      <c r="Q9" s="274">
        <f ca="1">'Расчет базового уровня'!V9</f>
        <v>0</v>
      </c>
      <c r="R9" s="274" t="e">
        <f ca="1">R12+R15</f>
        <v>#N/A</v>
      </c>
      <c r="S9" s="274">
        <f ca="1">'Расчет базового уровня'!Y9</f>
        <v>0</v>
      </c>
      <c r="T9" s="274" t="e">
        <f ca="1">T12+T15</f>
        <v>#N/A</v>
      </c>
      <c r="U9" s="274">
        <f ca="1">'Расчет базового уровня'!AB9</f>
        <v>0</v>
      </c>
      <c r="V9" s="274" t="e">
        <f ca="1">V12+V15</f>
        <v>#N/A</v>
      </c>
      <c r="W9" s="274">
        <f ca="1">'Расчет базового уровня'!AE9</f>
        <v>0</v>
      </c>
      <c r="X9" s="274" t="e">
        <f ca="1">X12+X15</f>
        <v>#N/A</v>
      </c>
      <c r="Y9" s="274">
        <f ca="1">'Расчет базового уровня'!AH9</f>
        <v>0</v>
      </c>
      <c r="Z9" s="274" t="e">
        <f ca="1">Z12+Z15</f>
        <v>#N/A</v>
      </c>
      <c r="AA9" s="274">
        <f ca="1">'Расчет базового уровня'!AK9</f>
        <v>0</v>
      </c>
      <c r="AB9" s="274" t="e">
        <f ca="1">AB12+AB15</f>
        <v>#N/A</v>
      </c>
      <c r="AC9" s="274">
        <f ca="1">'Расчет базового уровня'!AN9</f>
        <v>0</v>
      </c>
      <c r="AD9" s="274" t="e">
        <f ca="1">AD12+AD15</f>
        <v>#N/A</v>
      </c>
      <c r="AE9" s="274">
        <f ca="1">'Расчет базового уровня'!AQ9</f>
        <v>0</v>
      </c>
      <c r="AF9" s="274" t="e">
        <f ca="1">AF12+AF15</f>
        <v>#N/A</v>
      </c>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row>
    <row r="10" spans="1:60" ht="16.5" customHeight="1" x14ac:dyDescent="0.25">
      <c r="A10" s="275" t="s">
        <v>1303</v>
      </c>
      <c r="B10" s="272" t="s">
        <v>837</v>
      </c>
      <c r="C10" s="276"/>
      <c r="D10" s="276" t="e">
        <f ca="1">C9-D9</f>
        <v>#N/A</v>
      </c>
      <c r="E10" s="50"/>
      <c r="F10" s="50"/>
      <c r="G10" s="275" t="s">
        <v>1303</v>
      </c>
      <c r="H10" s="272" t="s">
        <v>837</v>
      </c>
      <c r="I10" s="276"/>
      <c r="J10" s="276" t="e">
        <f ca="1">I9-J9</f>
        <v>#N/A</v>
      </c>
      <c r="K10" s="276"/>
      <c r="L10" s="276" t="e">
        <f ca="1">K9-L9</f>
        <v>#N/A</v>
      </c>
      <c r="M10" s="276"/>
      <c r="N10" s="276" t="e">
        <f ca="1">M9-N9</f>
        <v>#N/A</v>
      </c>
      <c r="O10" s="276"/>
      <c r="P10" s="276" t="e">
        <f ca="1">O9-P9</f>
        <v>#N/A</v>
      </c>
      <c r="Q10" s="276"/>
      <c r="R10" s="276" t="e">
        <f ca="1">Q9-R9</f>
        <v>#N/A</v>
      </c>
      <c r="S10" s="276"/>
      <c r="T10" s="276" t="e">
        <f ca="1">S9-T9</f>
        <v>#N/A</v>
      </c>
      <c r="U10" s="276"/>
      <c r="V10" s="276" t="e">
        <f ca="1">U9-V9</f>
        <v>#N/A</v>
      </c>
      <c r="W10" s="276"/>
      <c r="X10" s="276" t="e">
        <f ca="1">W9-X9</f>
        <v>#N/A</v>
      </c>
      <c r="Y10" s="276"/>
      <c r="Z10" s="276" t="e">
        <f ca="1">Y9-Z9</f>
        <v>#N/A</v>
      </c>
      <c r="AA10" s="276"/>
      <c r="AB10" s="276" t="e">
        <f ca="1">AA9-AB9</f>
        <v>#N/A</v>
      </c>
      <c r="AC10" s="276"/>
      <c r="AD10" s="276" t="e">
        <f ca="1">AC9-AD9</f>
        <v>#N/A</v>
      </c>
      <c r="AE10" s="276"/>
      <c r="AF10" s="276" t="e">
        <f ca="1">AE9-AF9</f>
        <v>#N/A</v>
      </c>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row>
    <row r="11" spans="1:60" ht="15.75" customHeight="1" x14ac:dyDescent="0.25">
      <c r="A11" s="275" t="s">
        <v>868</v>
      </c>
      <c r="B11" s="277" t="s">
        <v>1165</v>
      </c>
      <c r="C11" s="278"/>
      <c r="D11" s="278" t="e">
        <f ca="1">D10/C9</f>
        <v>#N/A</v>
      </c>
      <c r="E11" s="50"/>
      <c r="F11" s="50"/>
      <c r="G11" s="275" t="s">
        <v>868</v>
      </c>
      <c r="H11" s="277" t="s">
        <v>1165</v>
      </c>
      <c r="I11" s="278"/>
      <c r="J11" s="278">
        <f ca="1">IF(I9=0,0,J10/I9)</f>
        <v>0</v>
      </c>
      <c r="K11" s="278"/>
      <c r="L11" s="278">
        <f ca="1">IF(K9=0,0,L10/K9)</f>
        <v>0</v>
      </c>
      <c r="M11" s="278"/>
      <c r="N11" s="278">
        <f ca="1">IF(M9=0,0,N10/M9)</f>
        <v>0</v>
      </c>
      <c r="O11" s="278"/>
      <c r="P11" s="278">
        <f ca="1">IF(O9=0,0,P10/O9)</f>
        <v>0</v>
      </c>
      <c r="Q11" s="278"/>
      <c r="R11" s="278">
        <f ca="1">IF(Q9=0,0,R10/Q9)</f>
        <v>0</v>
      </c>
      <c r="S11" s="278"/>
      <c r="T11" s="278">
        <f ca="1">IF(S9=0,0,T10/S9)</f>
        <v>0</v>
      </c>
      <c r="U11" s="278"/>
      <c r="V11" s="278">
        <f ca="1">IF(U9=0,0,V10/U9)</f>
        <v>0</v>
      </c>
      <c r="W11" s="278"/>
      <c r="X11" s="278">
        <f ca="1">IF(W9=0,0,X10/W9)</f>
        <v>0</v>
      </c>
      <c r="Y11" s="278"/>
      <c r="Z11" s="278">
        <f ca="1">IF(Y9=0,0,Z10/Y9)</f>
        <v>0</v>
      </c>
      <c r="AA11" s="278"/>
      <c r="AB11" s="278">
        <f ca="1">IF(AA9=0,0,AB10/AA9)</f>
        <v>0</v>
      </c>
      <c r="AC11" s="278"/>
      <c r="AD11" s="278">
        <f ca="1">IF(AC9=0,0,AD10/AC9)</f>
        <v>0</v>
      </c>
      <c r="AE11" s="278"/>
      <c r="AF11" s="278">
        <f ca="1">IF(AE9=0,0,AF10/AE9)</f>
        <v>0</v>
      </c>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row>
    <row r="12" spans="1:60" ht="20.25" customHeight="1" x14ac:dyDescent="0.25">
      <c r="A12" s="280" t="s">
        <v>1169</v>
      </c>
      <c r="B12" s="272" t="s">
        <v>837</v>
      </c>
      <c r="C12" s="273">
        <f ca="1">'Расчет базового уровня'!D12</f>
        <v>0</v>
      </c>
      <c r="D12" s="273" t="e">
        <f ca="1">D35</f>
        <v>#N/A</v>
      </c>
      <c r="E12" s="50"/>
      <c r="F12" s="50"/>
      <c r="G12" s="280" t="s">
        <v>1169</v>
      </c>
      <c r="H12" s="272" t="s">
        <v>837</v>
      </c>
      <c r="I12" s="274">
        <f>'Расчет базового уровня'!J12</f>
        <v>0</v>
      </c>
      <c r="J12" s="274" t="e">
        <f ca="1">J35</f>
        <v>#N/A</v>
      </c>
      <c r="K12" s="274">
        <f>'Расчет базового уровня'!M12</f>
        <v>0</v>
      </c>
      <c r="L12" s="274" t="e">
        <f ca="1">L35</f>
        <v>#N/A</v>
      </c>
      <c r="M12" s="274">
        <f>'Расчет базового уровня'!P12</f>
        <v>0</v>
      </c>
      <c r="N12" s="274" t="e">
        <f ca="1">N35</f>
        <v>#N/A</v>
      </c>
      <c r="O12" s="274">
        <f>'Расчет базового уровня'!S12</f>
        <v>0</v>
      </c>
      <c r="P12" s="274" t="e">
        <f ca="1">P35</f>
        <v>#N/A</v>
      </c>
      <c r="Q12" s="274">
        <f>'Расчет базового уровня'!V12</f>
        <v>0</v>
      </c>
      <c r="R12" s="274" t="e">
        <f ca="1">R35</f>
        <v>#N/A</v>
      </c>
      <c r="S12" s="274">
        <f>'Расчет базового уровня'!Y12</f>
        <v>0</v>
      </c>
      <c r="T12" s="274" t="e">
        <f ca="1">T35</f>
        <v>#N/A</v>
      </c>
      <c r="U12" s="274">
        <f>'Расчет базового уровня'!AB12</f>
        <v>0</v>
      </c>
      <c r="V12" s="274" t="e">
        <f ca="1">V35</f>
        <v>#N/A</v>
      </c>
      <c r="W12" s="274">
        <f>'Расчет базового уровня'!AE12</f>
        <v>0</v>
      </c>
      <c r="X12" s="274" t="e">
        <f ca="1">X35</f>
        <v>#N/A</v>
      </c>
      <c r="Y12" s="274">
        <f>'Расчет базового уровня'!AH12</f>
        <v>0</v>
      </c>
      <c r="Z12" s="274" t="e">
        <f ca="1">Z35</f>
        <v>#N/A</v>
      </c>
      <c r="AA12" s="274">
        <f>'Расчет базового уровня'!AK12</f>
        <v>0</v>
      </c>
      <c r="AB12" s="274" t="e">
        <f ca="1">AB35</f>
        <v>#N/A</v>
      </c>
      <c r="AC12" s="274">
        <f>'Расчет базового уровня'!AN12</f>
        <v>0</v>
      </c>
      <c r="AD12" s="274" t="e">
        <f ca="1">AD35</f>
        <v>#N/A</v>
      </c>
      <c r="AE12" s="274">
        <f>'Расчет базового уровня'!AQ12</f>
        <v>0</v>
      </c>
      <c r="AF12" s="274" t="e">
        <f ca="1">AF35</f>
        <v>#N/A</v>
      </c>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row>
    <row r="13" spans="1:60" x14ac:dyDescent="0.25">
      <c r="A13" s="275" t="s">
        <v>1303</v>
      </c>
      <c r="B13" s="272" t="s">
        <v>837</v>
      </c>
      <c r="C13" s="276"/>
      <c r="D13" s="276" t="e">
        <f ca="1">C12-D12</f>
        <v>#N/A</v>
      </c>
      <c r="E13" s="50"/>
      <c r="F13" s="50"/>
      <c r="G13" s="275" t="s">
        <v>1303</v>
      </c>
      <c r="H13" s="272" t="s">
        <v>837</v>
      </c>
      <c r="I13" s="276"/>
      <c r="J13" s="276" t="e">
        <f ca="1">I12-J12</f>
        <v>#N/A</v>
      </c>
      <c r="K13" s="276"/>
      <c r="L13" s="276" t="e">
        <f ca="1">K12-L12</f>
        <v>#N/A</v>
      </c>
      <c r="M13" s="276"/>
      <c r="N13" s="276" t="e">
        <f ca="1">M12-N12</f>
        <v>#N/A</v>
      </c>
      <c r="O13" s="276"/>
      <c r="P13" s="276" t="e">
        <f ca="1">O12-P12</f>
        <v>#N/A</v>
      </c>
      <c r="Q13" s="276"/>
      <c r="R13" s="276" t="e">
        <f ca="1">Q12-R12</f>
        <v>#N/A</v>
      </c>
      <c r="S13" s="276"/>
      <c r="T13" s="276" t="e">
        <f ca="1">S12-T12</f>
        <v>#N/A</v>
      </c>
      <c r="U13" s="276"/>
      <c r="V13" s="276" t="e">
        <f ca="1">U12-V12</f>
        <v>#N/A</v>
      </c>
      <c r="W13" s="276"/>
      <c r="X13" s="276" t="e">
        <f ca="1">W12-X12</f>
        <v>#N/A</v>
      </c>
      <c r="Y13" s="276"/>
      <c r="Z13" s="276" t="e">
        <f ca="1">Y12-Z12</f>
        <v>#N/A</v>
      </c>
      <c r="AA13" s="276"/>
      <c r="AB13" s="276" t="e">
        <f ca="1">AA12-AB12</f>
        <v>#N/A</v>
      </c>
      <c r="AC13" s="276"/>
      <c r="AD13" s="276" t="e">
        <f ca="1">AC12-AD12</f>
        <v>#N/A</v>
      </c>
      <c r="AE13" s="276"/>
      <c r="AF13" s="276" t="e">
        <f ca="1">AE12-AF12</f>
        <v>#N/A</v>
      </c>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row>
    <row r="14" spans="1:60" x14ac:dyDescent="0.25">
      <c r="A14" s="275" t="s">
        <v>868</v>
      </c>
      <c r="B14" s="277" t="s">
        <v>1165</v>
      </c>
      <c r="C14" s="278"/>
      <c r="D14" s="278" t="e">
        <f ca="1">D13/C12</f>
        <v>#N/A</v>
      </c>
      <c r="E14" s="50"/>
      <c r="F14" s="50"/>
      <c r="G14" s="275" t="s">
        <v>868</v>
      </c>
      <c r="H14" s="277" t="s">
        <v>1165</v>
      </c>
      <c r="I14" s="278"/>
      <c r="J14" s="278">
        <f>IF(I12=0,0,J13/I12)</f>
        <v>0</v>
      </c>
      <c r="K14" s="278"/>
      <c r="L14" s="278">
        <f>IF(K12=0,0,L13/K12)</f>
        <v>0</v>
      </c>
      <c r="M14" s="278"/>
      <c r="N14" s="278">
        <f>IF(M12=0,0,N13/M12)</f>
        <v>0</v>
      </c>
      <c r="O14" s="278"/>
      <c r="P14" s="278">
        <f>IF(O12=0,0,P13/O12)</f>
        <v>0</v>
      </c>
      <c r="Q14" s="278"/>
      <c r="R14" s="278">
        <f>IF(Q12=0,0,R13/Q12)</f>
        <v>0</v>
      </c>
      <c r="S14" s="278"/>
      <c r="T14" s="278">
        <f>IF(S12=0,0,T13/S12)</f>
        <v>0</v>
      </c>
      <c r="U14" s="278"/>
      <c r="V14" s="278">
        <f>IF(U12=0,0,V13/U12)</f>
        <v>0</v>
      </c>
      <c r="W14" s="278"/>
      <c r="X14" s="278">
        <f>IF(W12=0,0,X13/W12)</f>
        <v>0</v>
      </c>
      <c r="Y14" s="278"/>
      <c r="Z14" s="278">
        <f>IF(Y12=0,0,Z13/Y12)</f>
        <v>0</v>
      </c>
      <c r="AA14" s="278"/>
      <c r="AB14" s="278">
        <f>IF(AA12=0,0,AB13/AA12)</f>
        <v>0</v>
      </c>
      <c r="AC14" s="278"/>
      <c r="AD14" s="278">
        <f>IF(AC12=0,0,AD13/AC12)</f>
        <v>0</v>
      </c>
      <c r="AE14" s="278"/>
      <c r="AF14" s="278">
        <f>IF(AE12=0,0,AF13/AE12)</f>
        <v>0</v>
      </c>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row>
    <row r="15" spans="1:60" ht="16.5" customHeight="1" x14ac:dyDescent="0.25">
      <c r="A15" s="280" t="s">
        <v>983</v>
      </c>
      <c r="B15" s="272" t="s">
        <v>837</v>
      </c>
      <c r="C15" s="273">
        <f ca="1">'Расчет базового уровня'!D15</f>
        <v>0</v>
      </c>
      <c r="D15" s="274" t="e">
        <f ca="1">D85</f>
        <v>#DIV/0!</v>
      </c>
      <c r="E15" s="50"/>
      <c r="F15" s="50"/>
      <c r="G15" s="280" t="s">
        <v>983</v>
      </c>
      <c r="H15" s="272" t="s">
        <v>837</v>
      </c>
      <c r="I15" s="274">
        <f ca="1">'Расчет базового уровня'!J15</f>
        <v>0</v>
      </c>
      <c r="J15" s="274" t="e">
        <f ca="1">J85</f>
        <v>#DIV/0!</v>
      </c>
      <c r="K15" s="274">
        <f ca="1">'Расчет базового уровня'!M15</f>
        <v>0</v>
      </c>
      <c r="L15" s="274" t="e">
        <f ca="1">L85</f>
        <v>#DIV/0!</v>
      </c>
      <c r="M15" s="274">
        <f ca="1">'Расчет базового уровня'!P15</f>
        <v>0</v>
      </c>
      <c r="N15" s="274" t="e">
        <f ca="1">N85</f>
        <v>#DIV/0!</v>
      </c>
      <c r="O15" s="274">
        <f ca="1">'Расчет базового уровня'!S15</f>
        <v>0</v>
      </c>
      <c r="P15" s="274" t="e">
        <f ca="1">P85</f>
        <v>#DIV/0!</v>
      </c>
      <c r="Q15" s="274">
        <f ca="1">'Расчет базового уровня'!V15</f>
        <v>0</v>
      </c>
      <c r="R15" s="274" t="e">
        <f ca="1">R85</f>
        <v>#DIV/0!</v>
      </c>
      <c r="S15" s="274">
        <f ca="1">'Расчет базового уровня'!Y15</f>
        <v>0</v>
      </c>
      <c r="T15" s="274" t="e">
        <f ca="1">T85</f>
        <v>#DIV/0!</v>
      </c>
      <c r="U15" s="274">
        <f ca="1">'Расчет базового уровня'!AB15</f>
        <v>0</v>
      </c>
      <c r="V15" s="274" t="e">
        <f ca="1">V85</f>
        <v>#DIV/0!</v>
      </c>
      <c r="W15" s="274">
        <f ca="1">'Расчет базового уровня'!AE15</f>
        <v>0</v>
      </c>
      <c r="X15" s="274" t="e">
        <f ca="1">X85</f>
        <v>#DIV/0!</v>
      </c>
      <c r="Y15" s="274">
        <f ca="1">'Расчет базового уровня'!AH15</f>
        <v>0</v>
      </c>
      <c r="Z15" s="274" t="e">
        <f ca="1">Z85</f>
        <v>#DIV/0!</v>
      </c>
      <c r="AA15" s="274">
        <f ca="1">'Расчет базового уровня'!AK15</f>
        <v>0</v>
      </c>
      <c r="AB15" s="274" t="e">
        <f ca="1">AB85</f>
        <v>#DIV/0!</v>
      </c>
      <c r="AC15" s="274">
        <f ca="1">'Расчет базового уровня'!AN15</f>
        <v>0</v>
      </c>
      <c r="AD15" s="274" t="e">
        <f ca="1">AD85</f>
        <v>#DIV/0!</v>
      </c>
      <c r="AE15" s="274">
        <f ca="1">'Расчет базового уровня'!AQ15</f>
        <v>0</v>
      </c>
      <c r="AF15" s="274" t="e">
        <f ca="1">AF85</f>
        <v>#DIV/0!</v>
      </c>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row>
    <row r="16" spans="1:60" x14ac:dyDescent="0.25">
      <c r="A16" s="275" t="s">
        <v>1303</v>
      </c>
      <c r="B16" s="272" t="s">
        <v>837</v>
      </c>
      <c r="C16" s="276"/>
      <c r="D16" s="276" t="e">
        <f ca="1">C15-D15</f>
        <v>#DIV/0!</v>
      </c>
      <c r="E16" s="50"/>
      <c r="F16" s="50"/>
      <c r="G16" s="275" t="s">
        <v>1303</v>
      </c>
      <c r="H16" s="272" t="s">
        <v>837</v>
      </c>
      <c r="I16" s="276"/>
      <c r="J16" s="276" t="e">
        <f ca="1">I15-J15</f>
        <v>#DIV/0!</v>
      </c>
      <c r="K16" s="276"/>
      <c r="L16" s="276" t="e">
        <f ca="1">K15-L15</f>
        <v>#DIV/0!</v>
      </c>
      <c r="M16" s="276"/>
      <c r="N16" s="276" t="e">
        <f ca="1">M15-N15</f>
        <v>#DIV/0!</v>
      </c>
      <c r="O16" s="276"/>
      <c r="P16" s="276" t="e">
        <f ca="1">O15-P15</f>
        <v>#DIV/0!</v>
      </c>
      <c r="Q16" s="276"/>
      <c r="R16" s="276" t="e">
        <f ca="1">Q15-R15</f>
        <v>#DIV/0!</v>
      </c>
      <c r="S16" s="276"/>
      <c r="T16" s="276" t="e">
        <f ca="1">S15-T15</f>
        <v>#DIV/0!</v>
      </c>
      <c r="U16" s="276"/>
      <c r="V16" s="276" t="e">
        <f ca="1">U15-V15</f>
        <v>#DIV/0!</v>
      </c>
      <c r="W16" s="276"/>
      <c r="X16" s="276" t="e">
        <f ca="1">W15-X15</f>
        <v>#DIV/0!</v>
      </c>
      <c r="Y16" s="276"/>
      <c r="Z16" s="276" t="e">
        <f ca="1">Y15-Z15</f>
        <v>#DIV/0!</v>
      </c>
      <c r="AA16" s="276"/>
      <c r="AB16" s="276" t="e">
        <f ca="1">AA15-AB15</f>
        <v>#DIV/0!</v>
      </c>
      <c r="AC16" s="276"/>
      <c r="AD16" s="276" t="e">
        <f ca="1">AC15-AD15</f>
        <v>#DIV/0!</v>
      </c>
      <c r="AE16" s="276"/>
      <c r="AF16" s="276" t="e">
        <f ca="1">AE15-AF15</f>
        <v>#DIV/0!</v>
      </c>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row>
    <row r="17" spans="1:60" ht="14.25" customHeight="1" x14ac:dyDescent="0.25">
      <c r="A17" s="275" t="s">
        <v>868</v>
      </c>
      <c r="B17" s="277" t="s">
        <v>1165</v>
      </c>
      <c r="C17" s="278"/>
      <c r="D17" s="278" t="e">
        <f ca="1">D16/C15</f>
        <v>#DIV/0!</v>
      </c>
      <c r="E17" s="50"/>
      <c r="F17" s="50"/>
      <c r="G17" s="275" t="s">
        <v>868</v>
      </c>
      <c r="H17" s="277" t="s">
        <v>1165</v>
      </c>
      <c r="I17" s="278"/>
      <c r="J17" s="278">
        <f ca="1">IF(I15=0,0,J16/I15)</f>
        <v>0</v>
      </c>
      <c r="K17" s="278"/>
      <c r="L17" s="278">
        <f ca="1">IF(K15=0,0,L16/K15)</f>
        <v>0</v>
      </c>
      <c r="M17" s="278"/>
      <c r="N17" s="278">
        <f ca="1">IF(M15=0,0,N16/M15)</f>
        <v>0</v>
      </c>
      <c r="O17" s="278"/>
      <c r="P17" s="278">
        <f ca="1">IF(O15=0,0,P16/O15)</f>
        <v>0</v>
      </c>
      <c r="Q17" s="278"/>
      <c r="R17" s="278">
        <f ca="1">IF(Q15=0,0,R16/Q15)</f>
        <v>0</v>
      </c>
      <c r="S17" s="278"/>
      <c r="T17" s="278">
        <f ca="1">IF(S15=0,0,T16/S15)</f>
        <v>0</v>
      </c>
      <c r="U17" s="278"/>
      <c r="V17" s="278">
        <f ca="1">IF(U15=0,0,V16/U15)</f>
        <v>0</v>
      </c>
      <c r="W17" s="278"/>
      <c r="X17" s="278">
        <f ca="1">IF(W15=0,0,X16/W15)</f>
        <v>0</v>
      </c>
      <c r="Y17" s="278"/>
      <c r="Z17" s="278">
        <f ca="1">IF(Y15=0,0,Z16/Y15)</f>
        <v>0</v>
      </c>
      <c r="AA17" s="278"/>
      <c r="AB17" s="278">
        <f ca="1">IF(AA15=0,0,AB16/AA15)</f>
        <v>0</v>
      </c>
      <c r="AC17" s="278"/>
      <c r="AD17" s="278">
        <f ca="1">IF(AC15=0,0,AD16/AC15)</f>
        <v>0</v>
      </c>
      <c r="AE17" s="278"/>
      <c r="AF17" s="278">
        <f ca="1">IF(AE15=0,0,AF16/AE15)</f>
        <v>0</v>
      </c>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row>
    <row r="18" spans="1:60" ht="40.5" customHeight="1" x14ac:dyDescent="0.25">
      <c r="A18" s="271" t="s">
        <v>1172</v>
      </c>
      <c r="B18" s="272" t="s">
        <v>837</v>
      </c>
      <c r="C18" s="273">
        <f>'Расчет базового уровня'!D18</f>
        <v>0</v>
      </c>
      <c r="D18" s="273" t="e">
        <f ca="1">D100</f>
        <v>#N/A</v>
      </c>
      <c r="E18" s="50"/>
      <c r="F18" s="50"/>
      <c r="G18" s="271" t="s">
        <v>1172</v>
      </c>
      <c r="H18" s="272" t="s">
        <v>837</v>
      </c>
      <c r="I18" s="274">
        <f>'Расчет базового уровня'!J18</f>
        <v>0</v>
      </c>
      <c r="J18" s="274" t="e">
        <f ca="1">J100</f>
        <v>#N/A</v>
      </c>
      <c r="K18" s="274">
        <f>'Расчет базового уровня'!M18</f>
        <v>0</v>
      </c>
      <c r="L18" s="274" t="e">
        <f ca="1">L100</f>
        <v>#N/A</v>
      </c>
      <c r="M18" s="274">
        <f>'Расчет базового уровня'!P18</f>
        <v>0</v>
      </c>
      <c r="N18" s="274" t="e">
        <f ca="1">N100</f>
        <v>#N/A</v>
      </c>
      <c r="O18" s="274">
        <f>'Расчет базового уровня'!S18</f>
        <v>0</v>
      </c>
      <c r="P18" s="274" t="e">
        <f ca="1">P100</f>
        <v>#N/A</v>
      </c>
      <c r="Q18" s="274">
        <f>'Расчет базового уровня'!V18</f>
        <v>0</v>
      </c>
      <c r="R18" s="274" t="e">
        <f ca="1">R100</f>
        <v>#N/A</v>
      </c>
      <c r="S18" s="274">
        <f>'Расчет базового уровня'!Y18</f>
        <v>0</v>
      </c>
      <c r="T18" s="274" t="e">
        <f ca="1">T100</f>
        <v>#N/A</v>
      </c>
      <c r="U18" s="274">
        <f>'Расчет базового уровня'!AB18</f>
        <v>0</v>
      </c>
      <c r="V18" s="274" t="e">
        <f ca="1">V100</f>
        <v>#N/A</v>
      </c>
      <c r="W18" s="274">
        <f>'Расчет базового уровня'!AE18</f>
        <v>0</v>
      </c>
      <c r="X18" s="274" t="e">
        <f ca="1">X100</f>
        <v>#N/A</v>
      </c>
      <c r="Y18" s="274">
        <f>'Расчет базового уровня'!AH18</f>
        <v>0</v>
      </c>
      <c r="Z18" s="274" t="e">
        <f ca="1">Z100</f>
        <v>#N/A</v>
      </c>
      <c r="AA18" s="274">
        <f>'Расчет базового уровня'!AK18</f>
        <v>0</v>
      </c>
      <c r="AB18" s="274" t="e">
        <f ca="1">AB100</f>
        <v>#N/A</v>
      </c>
      <c r="AC18" s="274">
        <f>'Расчет базового уровня'!AN18</f>
        <v>0</v>
      </c>
      <c r="AD18" s="274" t="e">
        <f ca="1">AD100</f>
        <v>#N/A</v>
      </c>
      <c r="AE18" s="274">
        <f>'Расчет базового уровня'!AQ18</f>
        <v>0</v>
      </c>
      <c r="AF18" s="274" t="e">
        <f ca="1">AF100</f>
        <v>#N/A</v>
      </c>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row>
    <row r="19" spans="1:60" ht="15.75" customHeight="1" x14ac:dyDescent="0.25">
      <c r="A19" s="275" t="s">
        <v>1303</v>
      </c>
      <c r="B19" s="272" t="s">
        <v>837</v>
      </c>
      <c r="C19" s="276"/>
      <c r="D19" s="276" t="e">
        <f ca="1">C18-D18</f>
        <v>#N/A</v>
      </c>
      <c r="E19" s="50"/>
      <c r="F19" s="50"/>
      <c r="G19" s="275" t="s">
        <v>1303</v>
      </c>
      <c r="H19" s="272" t="s">
        <v>837</v>
      </c>
      <c r="I19" s="276"/>
      <c r="J19" s="276" t="e">
        <f ca="1">I18-J18</f>
        <v>#N/A</v>
      </c>
      <c r="K19" s="276"/>
      <c r="L19" s="276" t="e">
        <f ca="1">K18-L18</f>
        <v>#N/A</v>
      </c>
      <c r="M19" s="276"/>
      <c r="N19" s="276" t="e">
        <f ca="1">M18-N18</f>
        <v>#N/A</v>
      </c>
      <c r="O19" s="276"/>
      <c r="P19" s="276" t="e">
        <f ca="1">O18-P18</f>
        <v>#N/A</v>
      </c>
      <c r="Q19" s="276"/>
      <c r="R19" s="276" t="e">
        <f ca="1">Q18-R18</f>
        <v>#N/A</v>
      </c>
      <c r="S19" s="276"/>
      <c r="T19" s="276" t="e">
        <f ca="1">S18-T18</f>
        <v>#N/A</v>
      </c>
      <c r="U19" s="276"/>
      <c r="V19" s="276" t="e">
        <f ca="1">U18-V18</f>
        <v>#N/A</v>
      </c>
      <c r="W19" s="276"/>
      <c r="X19" s="276" t="e">
        <f ca="1">W18-X18</f>
        <v>#N/A</v>
      </c>
      <c r="Y19" s="276"/>
      <c r="Z19" s="276" t="e">
        <f ca="1">Y18-Z18</f>
        <v>#N/A</v>
      </c>
      <c r="AA19" s="276"/>
      <c r="AB19" s="276" t="e">
        <f ca="1">AA18-AB18</f>
        <v>#N/A</v>
      </c>
      <c r="AC19" s="276"/>
      <c r="AD19" s="276" t="e">
        <f ca="1">AC18-AD18</f>
        <v>#N/A</v>
      </c>
      <c r="AE19" s="276"/>
      <c r="AF19" s="276" t="e">
        <f ca="1">AE18-AF18</f>
        <v>#N/A</v>
      </c>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row>
    <row r="20" spans="1:60" ht="15" customHeight="1" x14ac:dyDescent="0.25">
      <c r="A20" s="275" t="s">
        <v>868</v>
      </c>
      <c r="B20" s="277" t="s">
        <v>1165</v>
      </c>
      <c r="C20" s="278"/>
      <c r="D20" s="278" t="e">
        <f ca="1">D19/C18</f>
        <v>#N/A</v>
      </c>
      <c r="E20" s="50"/>
      <c r="F20" s="50"/>
      <c r="G20" s="275" t="s">
        <v>868</v>
      </c>
      <c r="H20" s="277" t="s">
        <v>1165</v>
      </c>
      <c r="I20" s="278"/>
      <c r="J20" s="278">
        <f>IF(I18=0,0,J19/I18)</f>
        <v>0</v>
      </c>
      <c r="K20" s="278"/>
      <c r="L20" s="278">
        <f>IF(K18=0,0,L19/K18)</f>
        <v>0</v>
      </c>
      <c r="M20" s="278"/>
      <c r="N20" s="278">
        <f>IF(M18=0,0,N19/M18)</f>
        <v>0</v>
      </c>
      <c r="O20" s="278"/>
      <c r="P20" s="278">
        <f>IF(O18=0,0,P19/O18)</f>
        <v>0</v>
      </c>
      <c r="Q20" s="278"/>
      <c r="R20" s="278">
        <f>IF(Q18=0,0,R19/Q18)</f>
        <v>0</v>
      </c>
      <c r="S20" s="278"/>
      <c r="T20" s="278">
        <f>IF(S18=0,0,T19/S18)</f>
        <v>0</v>
      </c>
      <c r="U20" s="278"/>
      <c r="V20" s="278">
        <f>IF(U18=0,0,V19/U18)</f>
        <v>0</v>
      </c>
      <c r="W20" s="278"/>
      <c r="X20" s="278">
        <f>IF(W18=0,0,X19/W18)</f>
        <v>0</v>
      </c>
      <c r="Y20" s="278"/>
      <c r="Z20" s="278">
        <f>IF(Y18=0,0,Z19/Y18)</f>
        <v>0</v>
      </c>
      <c r="AA20" s="278"/>
      <c r="AB20" s="278">
        <f>IF(AA18=0,0,AB19/AA18)</f>
        <v>0</v>
      </c>
      <c r="AC20" s="278"/>
      <c r="AD20" s="278">
        <f>IF(AC18=0,0,AD19/AC18)</f>
        <v>0</v>
      </c>
      <c r="AE20" s="278"/>
      <c r="AF20" s="278">
        <f>IF(AE18=0,0,AF19/AE18)</f>
        <v>0</v>
      </c>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row>
    <row r="21" spans="1:60" ht="15" customHeight="1" x14ac:dyDescent="0.25">
      <c r="A21" s="275"/>
      <c r="B21" s="277"/>
      <c r="C21" s="281"/>
      <c r="D21" s="71"/>
      <c r="E21" s="50"/>
      <c r="F21" s="50"/>
      <c r="G21" s="275"/>
      <c r="H21" s="277"/>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row>
    <row r="22" spans="1:60" ht="15" customHeight="1" x14ac:dyDescent="0.25">
      <c r="A22" s="275"/>
      <c r="B22" s="277"/>
      <c r="C22" s="282"/>
      <c r="D22" s="71"/>
      <c r="E22" s="50"/>
      <c r="F22" s="50"/>
      <c r="G22" s="275"/>
      <c r="H22" s="277"/>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row>
    <row r="23" spans="1:60" ht="24" customHeight="1" x14ac:dyDescent="0.25">
      <c r="A23" s="283" t="s">
        <v>1173</v>
      </c>
      <c r="B23" s="272" t="s">
        <v>1174</v>
      </c>
      <c r="C23" s="273" t="e">
        <f ca="1">'Расчет базового уровня'!D23</f>
        <v>#DIV/0!</v>
      </c>
      <c r="D23" s="273" t="e">
        <f ca="1">D6/('Ввод исходных данных'!$G$56+'Ввод исходных данных'!$D$23)</f>
        <v>#N/A</v>
      </c>
      <c r="E23" s="50"/>
      <c r="F23" s="50"/>
      <c r="G23" s="283" t="s">
        <v>1173</v>
      </c>
      <c r="H23" s="272" t="s">
        <v>1174</v>
      </c>
      <c r="I23" s="274">
        <f>'Расчет базового уровня'!J23</f>
        <v>0</v>
      </c>
      <c r="J23" s="274" t="e">
        <f ca="1">J6/'Ввод исходных данных'!$G$55</f>
        <v>#N/A</v>
      </c>
      <c r="K23" s="274">
        <f>'Расчет базового уровня'!M23</f>
        <v>0</v>
      </c>
      <c r="L23" s="274" t="e">
        <f ca="1">L6/'Ввод исходных данных'!$G$55</f>
        <v>#N/A</v>
      </c>
      <c r="M23" s="274">
        <f>'Расчет базового уровня'!P23</f>
        <v>0</v>
      </c>
      <c r="N23" s="274" t="e">
        <f ca="1">N6/'Ввод исходных данных'!$G$55</f>
        <v>#N/A</v>
      </c>
      <c r="O23" s="274">
        <f>'Расчет базового уровня'!S23</f>
        <v>0</v>
      </c>
      <c r="P23" s="274" t="e">
        <f ca="1">P6/'Ввод исходных данных'!$G$55</f>
        <v>#N/A</v>
      </c>
      <c r="Q23" s="274">
        <f>'Расчет базового уровня'!V23</f>
        <v>0</v>
      </c>
      <c r="R23" s="274" t="e">
        <f ca="1">R6/'Ввод исходных данных'!$G$55</f>
        <v>#N/A</v>
      </c>
      <c r="S23" s="274">
        <f>'Расчет базового уровня'!Y23</f>
        <v>0</v>
      </c>
      <c r="T23" s="274" t="e">
        <f ca="1">T6/'Ввод исходных данных'!$G$55</f>
        <v>#N/A</v>
      </c>
      <c r="U23" s="274">
        <f>'Расчет базового уровня'!AB23</f>
        <v>0</v>
      </c>
      <c r="V23" s="274" t="e">
        <f ca="1">V6/'Ввод исходных данных'!$G$55</f>
        <v>#N/A</v>
      </c>
      <c r="W23" s="274">
        <f>'Расчет базового уровня'!AE23</f>
        <v>0</v>
      </c>
      <c r="X23" s="274" t="e">
        <f ca="1">X6/'Ввод исходных данных'!$G$55</f>
        <v>#N/A</v>
      </c>
      <c r="Y23" s="274">
        <f>'Расчет базового уровня'!AH23</f>
        <v>0</v>
      </c>
      <c r="Z23" s="274" t="e">
        <f ca="1">Z6/'Ввод исходных данных'!$G$55</f>
        <v>#N/A</v>
      </c>
      <c r="AA23" s="274">
        <f>'Расчет базового уровня'!AK23</f>
        <v>0</v>
      </c>
      <c r="AB23" s="274" t="e">
        <f ca="1">AB6/'Ввод исходных данных'!$G$55</f>
        <v>#N/A</v>
      </c>
      <c r="AC23" s="274">
        <f>'Расчет базового уровня'!AN23</f>
        <v>0</v>
      </c>
      <c r="AD23" s="274" t="e">
        <f ca="1">AD6/'Ввод исходных данных'!$G$55</f>
        <v>#N/A</v>
      </c>
      <c r="AE23" s="274">
        <f>'Расчет базового уровня'!AQ23</f>
        <v>0</v>
      </c>
      <c r="AF23" s="274" t="e">
        <f ca="1">AF6/'Ввод исходных данных'!$G$55</f>
        <v>#N/A</v>
      </c>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row>
    <row r="24" spans="1:60" x14ac:dyDescent="0.25">
      <c r="A24" s="275" t="s">
        <v>868</v>
      </c>
      <c r="B24" s="277" t="s">
        <v>1175</v>
      </c>
      <c r="C24" s="276"/>
      <c r="D24" s="284" t="e">
        <f ca="1">D7*1000/('Ввод исходных данных'!$G$56+'Ввод исходных данных'!$D$23)</f>
        <v>#N/A</v>
      </c>
      <c r="E24" s="50"/>
      <c r="F24" s="50"/>
      <c r="G24" s="275" t="s">
        <v>868</v>
      </c>
      <c r="H24" s="277" t="s">
        <v>1175</v>
      </c>
      <c r="I24" s="71"/>
      <c r="J24" s="261" t="e">
        <f ca="1">0.123*J23</f>
        <v>#N/A</v>
      </c>
      <c r="K24" s="71"/>
      <c r="L24" s="261" t="e">
        <f ca="1">0.123*L23</f>
        <v>#N/A</v>
      </c>
      <c r="M24" s="71"/>
      <c r="N24" s="261" t="e">
        <f ca="1">0.123*N23</f>
        <v>#N/A</v>
      </c>
      <c r="O24" s="71"/>
      <c r="P24" s="261" t="e">
        <f ca="1">0.123*P23</f>
        <v>#N/A</v>
      </c>
      <c r="Q24" s="71"/>
      <c r="R24" s="261" t="e">
        <f ca="1">0.123*R23</f>
        <v>#N/A</v>
      </c>
      <c r="S24" s="71"/>
      <c r="T24" s="261" t="e">
        <f ca="1">0.123*T23</f>
        <v>#N/A</v>
      </c>
      <c r="U24" s="71"/>
      <c r="V24" s="261" t="e">
        <f ca="1">0.123*V23</f>
        <v>#N/A</v>
      </c>
      <c r="W24" s="71"/>
      <c r="X24" s="261" t="e">
        <f ca="1">0.123*X23</f>
        <v>#N/A</v>
      </c>
      <c r="Y24" s="71"/>
      <c r="Z24" s="261" t="e">
        <f ca="1">0.123*Z23</f>
        <v>#N/A</v>
      </c>
      <c r="AA24" s="71"/>
      <c r="AB24" s="261" t="e">
        <f ca="1">0.123*AB23</f>
        <v>#N/A</v>
      </c>
      <c r="AC24" s="71"/>
      <c r="AD24" s="261" t="e">
        <f ca="1">0.123*AD23</f>
        <v>#N/A</v>
      </c>
      <c r="AE24" s="71"/>
      <c r="AF24" s="261" t="e">
        <f ca="1">0.123*AF23</f>
        <v>#N/A</v>
      </c>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row>
    <row r="25" spans="1:60" x14ac:dyDescent="0.2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row>
    <row r="26" spans="1:60" ht="10.5" customHeight="1" x14ac:dyDescent="0.25">
      <c r="A26" s="50"/>
      <c r="B26" s="50" t="str">
        <f>A12</f>
        <v>Отопление и вентиляция</v>
      </c>
      <c r="C26" s="50" t="s">
        <v>1216</v>
      </c>
      <c r="D26" s="50" t="str">
        <f>A15</f>
        <v>Горячее водоснабжение</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row>
    <row r="27" spans="1:60" ht="10.5" customHeight="1" x14ac:dyDescent="0.25">
      <c r="A27" s="50"/>
      <c r="B27" s="285" t="e">
        <f ca="1">D12</f>
        <v>#N/A</v>
      </c>
      <c r="C27" s="285" t="e">
        <f ca="1">D18</f>
        <v>#N/A</v>
      </c>
      <c r="D27" s="285" t="e">
        <f ca="1">D15</f>
        <v>#DIV/0!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row>
    <row r="28" spans="1:60" ht="10.5" customHeight="1" x14ac:dyDescent="0.25">
      <c r="A28" s="50"/>
      <c r="B28" s="285">
        <f ca="1">C12</f>
        <v>0</v>
      </c>
      <c r="C28" s="285">
        <f>C18</f>
        <v>0</v>
      </c>
      <c r="D28" s="285">
        <f ca="1">C15</f>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row>
    <row r="29" spans="1:60" ht="10.5" customHeight="1" x14ac:dyDescent="0.25">
      <c r="A29" s="50"/>
      <c r="B29" s="285">
        <f>E12</f>
        <v>0</v>
      </c>
      <c r="C29" s="285">
        <f>E18</f>
        <v>0</v>
      </c>
      <c r="D29" s="285">
        <f>E15</f>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row>
    <row r="30" spans="1:60" ht="275.25" customHeight="1" x14ac:dyDescent="0.25">
      <c r="A30" s="50"/>
      <c r="B30" s="285"/>
      <c r="C30" s="285"/>
      <c r="D30" s="285"/>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row>
    <row r="31" spans="1:60" ht="15" customHeight="1"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row>
    <row r="32" spans="1:60" ht="15" customHeight="1" thickBot="1" x14ac:dyDescent="0.3">
      <c r="A32" s="2482" t="s">
        <v>1176</v>
      </c>
      <c r="B32" s="2482"/>
      <c r="C32" s="2482"/>
      <c r="D32" s="2482"/>
      <c r="E32" s="50"/>
      <c r="F32" s="50"/>
      <c r="G32" s="286" t="s">
        <v>1177</v>
      </c>
      <c r="H32" s="286"/>
      <c r="I32" s="286"/>
      <c r="J32" s="286"/>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row>
    <row r="33" spans="1:60" ht="24" customHeight="1" x14ac:dyDescent="0.25">
      <c r="A33" s="2462" t="s">
        <v>829</v>
      </c>
      <c r="B33" s="2460" t="s">
        <v>1158</v>
      </c>
      <c r="C33" s="2475" t="s">
        <v>1302</v>
      </c>
      <c r="D33" s="2484" t="s">
        <v>1301</v>
      </c>
      <c r="E33" s="50"/>
      <c r="F33" s="50"/>
      <c r="G33" s="2503" t="s">
        <v>829</v>
      </c>
      <c r="H33" s="2471" t="s">
        <v>1158</v>
      </c>
      <c r="I33" s="2448" t="s">
        <v>488</v>
      </c>
      <c r="J33" s="2449"/>
      <c r="K33" s="2448" t="s">
        <v>489</v>
      </c>
      <c r="L33" s="2449"/>
      <c r="M33" s="2448" t="s">
        <v>490</v>
      </c>
      <c r="N33" s="2449"/>
      <c r="O33" s="2448" t="s">
        <v>491</v>
      </c>
      <c r="P33" s="2449"/>
      <c r="Q33" s="2448" t="s">
        <v>800</v>
      </c>
      <c r="R33" s="2449"/>
      <c r="S33" s="2448" t="s">
        <v>801</v>
      </c>
      <c r="T33" s="2449"/>
      <c r="U33" s="2448" t="s">
        <v>802</v>
      </c>
      <c r="V33" s="2449"/>
      <c r="W33" s="2448" t="s">
        <v>803</v>
      </c>
      <c r="X33" s="2449"/>
      <c r="Y33" s="2448" t="s">
        <v>804</v>
      </c>
      <c r="Z33" s="2449"/>
      <c r="AA33" s="2448" t="s">
        <v>482</v>
      </c>
      <c r="AB33" s="2449"/>
      <c r="AC33" s="2448" t="s">
        <v>486</v>
      </c>
      <c r="AD33" s="2449"/>
      <c r="AE33" s="2448" t="s">
        <v>487</v>
      </c>
      <c r="AF33" s="2449"/>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row>
    <row r="34" spans="1:60" ht="74.45" customHeight="1" thickBot="1" x14ac:dyDescent="0.3">
      <c r="A34" s="2463"/>
      <c r="B34" s="2461"/>
      <c r="C34" s="2508"/>
      <c r="D34" s="2507"/>
      <c r="E34" s="50"/>
      <c r="F34" s="50"/>
      <c r="G34" s="2504"/>
      <c r="H34" s="2472"/>
      <c r="I34" s="287" t="s">
        <v>1302</v>
      </c>
      <c r="J34" s="288" t="s">
        <v>1301</v>
      </c>
      <c r="K34" s="287" t="s">
        <v>1302</v>
      </c>
      <c r="L34" s="288" t="s">
        <v>1301</v>
      </c>
      <c r="M34" s="287" t="s">
        <v>1302</v>
      </c>
      <c r="N34" s="288" t="s">
        <v>1301</v>
      </c>
      <c r="O34" s="287" t="s">
        <v>1302</v>
      </c>
      <c r="P34" s="288" t="s">
        <v>1301</v>
      </c>
      <c r="Q34" s="287" t="s">
        <v>1302</v>
      </c>
      <c r="R34" s="288" t="s">
        <v>1301</v>
      </c>
      <c r="S34" s="287" t="s">
        <v>1302</v>
      </c>
      <c r="T34" s="288" t="s">
        <v>1301</v>
      </c>
      <c r="U34" s="287" t="s">
        <v>1302</v>
      </c>
      <c r="V34" s="288" t="s">
        <v>1301</v>
      </c>
      <c r="W34" s="287" t="s">
        <v>1302</v>
      </c>
      <c r="X34" s="288" t="s">
        <v>1301</v>
      </c>
      <c r="Y34" s="287" t="s">
        <v>1302</v>
      </c>
      <c r="Z34" s="288" t="s">
        <v>1301</v>
      </c>
      <c r="AA34" s="287" t="s">
        <v>1302</v>
      </c>
      <c r="AB34" s="288" t="s">
        <v>1301</v>
      </c>
      <c r="AC34" s="287" t="s">
        <v>1302</v>
      </c>
      <c r="AD34" s="288" t="s">
        <v>1301</v>
      </c>
      <c r="AE34" s="287" t="s">
        <v>1302</v>
      </c>
      <c r="AF34" s="288" t="s">
        <v>1301</v>
      </c>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row>
    <row r="35" spans="1:60" ht="31.5" customHeight="1" x14ac:dyDescent="0.25">
      <c r="A35" s="289" t="s">
        <v>1178</v>
      </c>
      <c r="B35" s="290" t="s">
        <v>837</v>
      </c>
      <c r="C35" s="291">
        <f ca="1">'Расчет базового уровня'!D35</f>
        <v>0</v>
      </c>
      <c r="D35" s="292" t="e">
        <f ca="1">D38+D62+D65+D68-D71</f>
        <v>#N/A</v>
      </c>
      <c r="E35" s="50"/>
      <c r="F35" s="50"/>
      <c r="G35" s="293" t="s">
        <v>1176</v>
      </c>
      <c r="H35" s="294" t="s">
        <v>837</v>
      </c>
      <c r="I35" s="291">
        <f>'Расчет базового уровня'!J35</f>
        <v>0</v>
      </c>
      <c r="J35" s="295" t="e">
        <f ca="1">J38+J62+J65+J68-J71</f>
        <v>#N/A</v>
      </c>
      <c r="K35" s="291">
        <f>'Расчет базового уровня'!M35</f>
        <v>0</v>
      </c>
      <c r="L35" s="296" t="e">
        <f ca="1">L38+L62+L65+L68-L71</f>
        <v>#N/A</v>
      </c>
      <c r="M35" s="291">
        <f>'Расчет базового уровня'!P35</f>
        <v>0</v>
      </c>
      <c r="N35" s="295" t="e">
        <f ca="1">N38+N62+N65+N68-N71</f>
        <v>#N/A</v>
      </c>
      <c r="O35" s="291">
        <f>'Расчет базового уровня'!S35</f>
        <v>0</v>
      </c>
      <c r="P35" s="296" t="e">
        <f ca="1">P38+P62+P65+P68-P71</f>
        <v>#N/A</v>
      </c>
      <c r="Q35" s="291">
        <f>'Расчет базового уровня'!V35</f>
        <v>0</v>
      </c>
      <c r="R35" s="295" t="e">
        <f ca="1">R38+R62+R65+R68-R71</f>
        <v>#N/A</v>
      </c>
      <c r="S35" s="291">
        <f>'Расчет базового уровня'!Y35</f>
        <v>0</v>
      </c>
      <c r="T35" s="295" t="e">
        <f ca="1">T38+T62+T65+T68-T71</f>
        <v>#N/A</v>
      </c>
      <c r="U35" s="291">
        <f>'Расчет базового уровня'!AB35</f>
        <v>0</v>
      </c>
      <c r="V35" s="295" t="e">
        <f ca="1">V38+V62+V65+V68-V71</f>
        <v>#N/A</v>
      </c>
      <c r="W35" s="291">
        <f>'Расчет базового уровня'!AE35</f>
        <v>0</v>
      </c>
      <c r="X35" s="295" t="e">
        <f ca="1">X38+X62+X65+X68-X71</f>
        <v>#N/A</v>
      </c>
      <c r="Y35" s="291">
        <f>'Расчет базового уровня'!AH35</f>
        <v>0</v>
      </c>
      <c r="Z35" s="295" t="e">
        <f ca="1">Z38+Z62+Z65+Z68-Z71</f>
        <v>#N/A</v>
      </c>
      <c r="AA35" s="291">
        <f>'Расчет базового уровня'!AK35</f>
        <v>0</v>
      </c>
      <c r="AB35" s="295" t="e">
        <f ca="1">AB38+AB62+AB65+AB68-AB71</f>
        <v>#N/A</v>
      </c>
      <c r="AC35" s="291">
        <f>'Расчет базового уровня'!AN35</f>
        <v>0</v>
      </c>
      <c r="AD35" s="295" t="e">
        <f ca="1">AD38+AD62+AD65+AD68-AD71</f>
        <v>#N/A</v>
      </c>
      <c r="AE35" s="291">
        <f>'Расчет базового уровня'!AQ35</f>
        <v>0</v>
      </c>
      <c r="AF35" s="295" t="e">
        <f ca="1">AF38+AF62+AF65+AF68-AF71</f>
        <v>#N/A</v>
      </c>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row>
    <row r="36" spans="1:60" ht="11.25" customHeight="1" x14ac:dyDescent="0.25">
      <c r="A36" s="275" t="s">
        <v>1303</v>
      </c>
      <c r="B36" s="272" t="s">
        <v>837</v>
      </c>
      <c r="C36" s="276"/>
      <c r="D36" s="276" t="e">
        <f ca="1">C35-D35</f>
        <v>#N/A</v>
      </c>
      <c r="E36" s="50"/>
      <c r="F36" s="50"/>
      <c r="G36" s="275" t="s">
        <v>1303</v>
      </c>
      <c r="H36" s="272" t="s">
        <v>837</v>
      </c>
      <c r="I36" s="276"/>
      <c r="J36" s="276" t="e">
        <f ca="1">I35-J35</f>
        <v>#N/A</v>
      </c>
      <c r="K36" s="276"/>
      <c r="L36" s="276" t="e">
        <f ca="1">K35-L35</f>
        <v>#N/A</v>
      </c>
      <c r="M36" s="276"/>
      <c r="N36" s="276" t="e">
        <f ca="1">M35-N35</f>
        <v>#N/A</v>
      </c>
      <c r="O36" s="276"/>
      <c r="P36" s="276" t="e">
        <f ca="1">O35-P35</f>
        <v>#N/A</v>
      </c>
      <c r="Q36" s="276"/>
      <c r="R36" s="276" t="e">
        <f ca="1">Q35-R35</f>
        <v>#N/A</v>
      </c>
      <c r="S36" s="276"/>
      <c r="T36" s="276" t="e">
        <f ca="1">S35-T35</f>
        <v>#N/A</v>
      </c>
      <c r="U36" s="276"/>
      <c r="V36" s="276" t="e">
        <f ca="1">U35-V35</f>
        <v>#N/A</v>
      </c>
      <c r="W36" s="276"/>
      <c r="X36" s="276" t="e">
        <f ca="1">W35-X35</f>
        <v>#N/A</v>
      </c>
      <c r="Y36" s="276"/>
      <c r="Z36" s="276" t="e">
        <f ca="1">Y35-Z35</f>
        <v>#N/A</v>
      </c>
      <c r="AA36" s="276"/>
      <c r="AB36" s="276" t="e">
        <f ca="1">AA35-AB35</f>
        <v>#N/A</v>
      </c>
      <c r="AC36" s="276"/>
      <c r="AD36" s="276" t="e">
        <f ca="1">AC35-AD35</f>
        <v>#N/A</v>
      </c>
      <c r="AE36" s="276"/>
      <c r="AF36" s="276" t="e">
        <f ca="1">AE35-AF35</f>
        <v>#N/A</v>
      </c>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row>
    <row r="37" spans="1:60" ht="15.75" thickBot="1" x14ac:dyDescent="0.3">
      <c r="A37" s="275" t="s">
        <v>868</v>
      </c>
      <c r="B37" s="277" t="s">
        <v>1165</v>
      </c>
      <c r="C37" s="278"/>
      <c r="D37" s="278">
        <f ca="1">IF(C35=0,0,D36/C35)</f>
        <v>0</v>
      </c>
      <c r="E37" s="50"/>
      <c r="F37" s="50"/>
      <c r="G37" s="275" t="s">
        <v>868</v>
      </c>
      <c r="H37" s="277" t="s">
        <v>1165</v>
      </c>
      <c r="I37" s="278"/>
      <c r="J37" s="278">
        <f>IF(I35=0,0,J36/I35)</f>
        <v>0</v>
      </c>
      <c r="K37" s="278"/>
      <c r="L37" s="278">
        <f>IF(K35=0,0,L36/K35)</f>
        <v>0</v>
      </c>
      <c r="M37" s="278"/>
      <c r="N37" s="278">
        <f>IF(M35=0,0,N36/M35)</f>
        <v>0</v>
      </c>
      <c r="O37" s="278"/>
      <c r="P37" s="278">
        <f>IF(O35=0,0,P36/O35)</f>
        <v>0</v>
      </c>
      <c r="Q37" s="278"/>
      <c r="R37" s="278">
        <f>IF(Q35=0,0,R36/Q35)</f>
        <v>0</v>
      </c>
      <c r="S37" s="278"/>
      <c r="T37" s="278">
        <f>IF(S35=0,0,T36/S35)</f>
        <v>0</v>
      </c>
      <c r="U37" s="278"/>
      <c r="V37" s="278">
        <f>IF(U35=0,0,V36/U35)</f>
        <v>0</v>
      </c>
      <c r="W37" s="278"/>
      <c r="X37" s="278">
        <f>IF(W35=0,0,X36/W35)</f>
        <v>0</v>
      </c>
      <c r="Y37" s="278"/>
      <c r="Z37" s="278">
        <f>IF(Y35=0,0,Z36/Y35)</f>
        <v>0</v>
      </c>
      <c r="AA37" s="278"/>
      <c r="AB37" s="278">
        <f>IF(AA35=0,0,AB36/AA35)</f>
        <v>0</v>
      </c>
      <c r="AC37" s="278"/>
      <c r="AD37" s="278">
        <f>IF(AC35=0,0,AD36/AC35)</f>
        <v>0</v>
      </c>
      <c r="AE37" s="278"/>
      <c r="AF37" s="278">
        <f>IF(AE35=0,0,AF36/AE35)</f>
        <v>0</v>
      </c>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row>
    <row r="38" spans="1:60" ht="29.25" customHeight="1" x14ac:dyDescent="0.25">
      <c r="A38" s="297" t="s">
        <v>1179</v>
      </c>
      <c r="B38" s="290" t="s">
        <v>837</v>
      </c>
      <c r="C38" s="291" t="e">
        <f ca="1">'Расчет базового уровня'!D38</f>
        <v>#N/A</v>
      </c>
      <c r="D38" s="298" t="e">
        <f ca="1">D41+D44+D47+D50+D53+D56+D59</f>
        <v>#N/A</v>
      </c>
      <c r="E38" s="50"/>
      <c r="F38" s="50"/>
      <c r="G38" s="293" t="s">
        <v>1180</v>
      </c>
      <c r="H38" s="299" t="s">
        <v>837</v>
      </c>
      <c r="I38" s="291" t="e">
        <f ca="1">'Расчет базового уровня'!J38</f>
        <v>#N/A</v>
      </c>
      <c r="J38" s="298" t="e">
        <f ca="1">J41+J44+J47+J50+J53+J56+J59</f>
        <v>#N/A</v>
      </c>
      <c r="K38" s="291" t="e">
        <f ca="1">'Расчет базового уровня'!M38</f>
        <v>#N/A</v>
      </c>
      <c r="L38" s="298" t="e">
        <f ca="1">L41+L44+L47+L50+L53+L56+L59</f>
        <v>#N/A</v>
      </c>
      <c r="M38" s="291" t="e">
        <f ca="1">'Расчет базового уровня'!P38</f>
        <v>#N/A</v>
      </c>
      <c r="N38" s="298" t="e">
        <f ca="1">N41+N44+N47+N50+N53+N56+N59</f>
        <v>#N/A</v>
      </c>
      <c r="O38" s="291" t="e">
        <f ca="1">'Расчет базового уровня'!S38</f>
        <v>#N/A</v>
      </c>
      <c r="P38" s="298" t="e">
        <f ca="1">P41+P44+P47+P50+P53+P56+P59</f>
        <v>#N/A</v>
      </c>
      <c r="Q38" s="291">
        <f>'Расчет базового уровня'!V38</f>
        <v>0</v>
      </c>
      <c r="R38" s="298" t="e">
        <f ca="1">R41+R44+R47+R50+R53+R56+R59</f>
        <v>#N/A</v>
      </c>
      <c r="S38" s="291">
        <f>'Расчет базового уровня'!Y38</f>
        <v>0</v>
      </c>
      <c r="T38" s="298" t="e">
        <f ca="1">T41+T44+T47+T50+T53+T56+T59</f>
        <v>#N/A</v>
      </c>
      <c r="U38" s="291">
        <f>'Расчет базового уровня'!AB38</f>
        <v>0</v>
      </c>
      <c r="V38" s="298" t="e">
        <f ca="1">V41+V44+V47+V50+V53+V56+V59</f>
        <v>#N/A</v>
      </c>
      <c r="W38" s="291">
        <f>'Расчет базового уровня'!AE38</f>
        <v>0</v>
      </c>
      <c r="X38" s="298" t="e">
        <f ca="1">X41+X44+X47+X50+X53+X56+X59</f>
        <v>#N/A</v>
      </c>
      <c r="Y38" s="291">
        <f>'Расчет базового уровня'!AH38</f>
        <v>0</v>
      </c>
      <c r="Z38" s="298" t="e">
        <f ca="1">Z41+Z44+Z47+Z50+Z53+Z56+Z59</f>
        <v>#N/A</v>
      </c>
      <c r="AA38" s="291">
        <f ca="1">'Расчет базового уровня'!AK38</f>
        <v>0</v>
      </c>
      <c r="AB38" s="298" t="e">
        <f ca="1">AB41+AB44+AB47+AB50+AB53+AB56+AB59</f>
        <v>#N/A</v>
      </c>
      <c r="AC38" s="291">
        <f ca="1">'Расчет базового уровня'!AN38</f>
        <v>0</v>
      </c>
      <c r="AD38" s="298" t="e">
        <f ca="1">AD41+AD44+AD47+AD50+AD53+AD56+AD59</f>
        <v>#N/A</v>
      </c>
      <c r="AE38" s="291">
        <f ca="1">'Расчет базового уровня'!AQ38</f>
        <v>0</v>
      </c>
      <c r="AF38" s="298" t="e">
        <f ca="1">AF41+AF44+AF47+AF50+AF53+AF56+AF59</f>
        <v>#N/A</v>
      </c>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row>
    <row r="39" spans="1:60" x14ac:dyDescent="0.25">
      <c r="A39" s="275" t="s">
        <v>1303</v>
      </c>
      <c r="B39" s="272" t="s">
        <v>837</v>
      </c>
      <c r="C39" s="276"/>
      <c r="D39" s="276" t="e">
        <f ca="1">C38-D38</f>
        <v>#N/A</v>
      </c>
      <c r="E39" s="50"/>
      <c r="F39" s="50"/>
      <c r="G39" s="275" t="s">
        <v>1303</v>
      </c>
      <c r="H39" s="272" t="s">
        <v>837</v>
      </c>
      <c r="I39" s="276"/>
      <c r="J39" s="276" t="e">
        <f ca="1">I38-J38</f>
        <v>#N/A</v>
      </c>
      <c r="K39" s="276"/>
      <c r="L39" s="276" t="e">
        <f ca="1">K38-L38</f>
        <v>#N/A</v>
      </c>
      <c r="M39" s="276"/>
      <c r="N39" s="276" t="e">
        <f ca="1">M38-N38</f>
        <v>#N/A</v>
      </c>
      <c r="O39" s="276"/>
      <c r="P39" s="276" t="e">
        <f ca="1">O38-P38</f>
        <v>#N/A</v>
      </c>
      <c r="Q39" s="276"/>
      <c r="R39" s="276" t="e">
        <f ca="1">Q38-R38</f>
        <v>#N/A</v>
      </c>
      <c r="S39" s="276"/>
      <c r="T39" s="276" t="e">
        <f ca="1">S38-T38</f>
        <v>#N/A</v>
      </c>
      <c r="U39" s="276"/>
      <c r="V39" s="276" t="e">
        <f ca="1">U38-V38</f>
        <v>#N/A</v>
      </c>
      <c r="W39" s="276"/>
      <c r="X39" s="276" t="e">
        <f ca="1">W38-X38</f>
        <v>#N/A</v>
      </c>
      <c r="Y39" s="276"/>
      <c r="Z39" s="276" t="e">
        <f ca="1">Y38-Z38</f>
        <v>#N/A</v>
      </c>
      <c r="AA39" s="276"/>
      <c r="AB39" s="276" t="e">
        <f ca="1">AA38-AB38</f>
        <v>#N/A</v>
      </c>
      <c r="AC39" s="276"/>
      <c r="AD39" s="276" t="e">
        <f ca="1">AC38-AD38</f>
        <v>#N/A</v>
      </c>
      <c r="AE39" s="276"/>
      <c r="AF39" s="276" t="e">
        <f ca="1">AE38-AF38</f>
        <v>#N/A</v>
      </c>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row>
    <row r="40" spans="1:60" ht="15.75" thickBot="1" x14ac:dyDescent="0.3">
      <c r="A40" s="275" t="s">
        <v>868</v>
      </c>
      <c r="B40" s="277" t="s">
        <v>1165</v>
      </c>
      <c r="C40" s="278"/>
      <c r="D40" s="278" t="e">
        <f ca="1">IF(C38=0,0,D39/C38)</f>
        <v>#N/A</v>
      </c>
      <c r="E40" s="50"/>
      <c r="F40" s="50"/>
      <c r="G40" s="275" t="s">
        <v>868</v>
      </c>
      <c r="H40" s="277" t="s">
        <v>1165</v>
      </c>
      <c r="I40" s="278"/>
      <c r="J40" s="278" t="e">
        <f ca="1">IF(I38=0,0,J39/I38)</f>
        <v>#N/A</v>
      </c>
      <c r="K40" s="278"/>
      <c r="L40" s="278" t="e">
        <f ca="1">IF(K38=0,0,L39/K38)</f>
        <v>#N/A</v>
      </c>
      <c r="M40" s="278"/>
      <c r="N40" s="278" t="e">
        <f ca="1">IF(M38=0,0,N39/M38)</f>
        <v>#N/A</v>
      </c>
      <c r="O40" s="278"/>
      <c r="P40" s="278" t="e">
        <f ca="1">IF(O38=0,0,P39/O38)</f>
        <v>#N/A</v>
      </c>
      <c r="Q40" s="278"/>
      <c r="R40" s="278">
        <f>IF(Q38=0,0,R39/Q38)</f>
        <v>0</v>
      </c>
      <c r="S40" s="278"/>
      <c r="T40" s="278">
        <f>IF(S38=0,0,T39/S38)</f>
        <v>0</v>
      </c>
      <c r="U40" s="278"/>
      <c r="V40" s="278">
        <f>IF(U38=0,0,V39/U38)</f>
        <v>0</v>
      </c>
      <c r="W40" s="278"/>
      <c r="X40" s="278">
        <f>IF(W38=0,0,X39/W38)</f>
        <v>0</v>
      </c>
      <c r="Y40" s="278"/>
      <c r="Z40" s="278">
        <f>IF(Y38=0,0,Z39/Y38)</f>
        <v>0</v>
      </c>
      <c r="AA40" s="278"/>
      <c r="AB40" s="278">
        <f ca="1">IF(AA38=0,0,AB39/AA38)</f>
        <v>0</v>
      </c>
      <c r="AC40" s="278"/>
      <c r="AD40" s="278">
        <f ca="1">IF(AC38=0,0,AD39/AC38)</f>
        <v>0</v>
      </c>
      <c r="AE40" s="278"/>
      <c r="AF40" s="278">
        <f ca="1">IF(AE38=0,0,AF39/AE38)</f>
        <v>0</v>
      </c>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row>
    <row r="41" spans="1:60" ht="15.75" customHeight="1" x14ac:dyDescent="0.25">
      <c r="A41" s="300" t="s">
        <v>1181</v>
      </c>
      <c r="B41" s="290" t="s">
        <v>837</v>
      </c>
      <c r="C41" s="291" t="e">
        <f ca="1">'Расчет базового уровня'!D41</f>
        <v>#N/A</v>
      </c>
      <c r="D41" s="301" t="e">
        <f ca="1">IF(IF(C136=0,0,B136/C136*D136)*0.024*$D$149*(1-D165)&gt;C41,C41,IF(C136=0,0,B136/C136*D136)*0.024*$D$149*(1-D165))</f>
        <v>#N/A</v>
      </c>
      <c r="E41" s="50"/>
      <c r="F41" s="50"/>
      <c r="G41" s="302" t="s">
        <v>1181</v>
      </c>
      <c r="H41" s="294" t="s">
        <v>837</v>
      </c>
      <c r="I41" s="291" t="e">
        <f ca="1">'Расчет базового уровня'!J41</f>
        <v>#N/A</v>
      </c>
      <c r="J41" s="303" t="e">
        <f>IF($C136=0,0,MIN($B136/$C136*$D136*0.024*$G$149,I41))</f>
        <v>#N/A</v>
      </c>
      <c r="K41" s="291" t="e">
        <f ca="1">'Расчет базового уровня'!M41</f>
        <v>#N/A</v>
      </c>
      <c r="L41" s="303" t="e">
        <f>IF($C136=0,0,MIN($B136/$C136*$D136*0.024*$H$149,K41))</f>
        <v>#N/A</v>
      </c>
      <c r="M41" s="291" t="e">
        <f ca="1">'Расчет базового уровня'!P41</f>
        <v>#N/A</v>
      </c>
      <c r="N41" s="303" t="e">
        <f>IF($C136=0,0,MIN($B136/$C136*$D136*0.024*$I$149,M41))</f>
        <v>#N/A</v>
      </c>
      <c r="O41" s="291" t="e">
        <f ca="1">'Расчет базового уровня'!S41</f>
        <v>#N/A</v>
      </c>
      <c r="P41" s="303" t="e">
        <f>IF($C136=0,0,MIN($B136/$C136*$D136*0.024*$J$149,O41))</f>
        <v>#N/A</v>
      </c>
      <c r="Q41" s="291">
        <f>'Расчет базового уровня'!V41</f>
        <v>0</v>
      </c>
      <c r="R41" s="303" t="e">
        <f>IF($C136=0,0,MIN($B136/$C136*$D136*0.024*$K$149,Q41))</f>
        <v>#N/A</v>
      </c>
      <c r="S41" s="291">
        <f>'Расчет базового уровня'!Y41</f>
        <v>0</v>
      </c>
      <c r="T41" s="303" t="e">
        <f>IF($C136=0,0,MIN($B136/$C136*$D136*0.024*$L$149,S41))</f>
        <v>#N/A</v>
      </c>
      <c r="U41" s="291">
        <f>'Расчет базового уровня'!AB41</f>
        <v>0</v>
      </c>
      <c r="V41" s="303" t="e">
        <f>IF($C136=0,0,MIN($B136/$C136*$D136*0.024*$M$149,U41))</f>
        <v>#N/A</v>
      </c>
      <c r="W41" s="291">
        <f>'Расчет базового уровня'!AE41</f>
        <v>0</v>
      </c>
      <c r="X41" s="303" t="e">
        <f>IF($C136=0,0,MIN($B136/$C136*$D136*0.024*$N$149,W41))</f>
        <v>#N/A</v>
      </c>
      <c r="Y41" s="291">
        <f>'Расчет базового уровня'!AH41</f>
        <v>0</v>
      </c>
      <c r="Z41" s="303" t="e">
        <f>IF($C136=0,0,MIN($B136/$C136*$D136*0.024*$O$149,Y41))</f>
        <v>#N/A</v>
      </c>
      <c r="AA41" s="291" t="e">
        <f ca="1">'Расчет базового уровня'!AK41</f>
        <v>#N/A</v>
      </c>
      <c r="AB41" s="303" t="e">
        <f>IF($C136=0,0,MIN($B136/$C136*$D136*0.024*$P$149,AA41))</f>
        <v>#N/A</v>
      </c>
      <c r="AC41" s="291" t="e">
        <f ca="1">'Расчет базового уровня'!AN41</f>
        <v>#N/A</v>
      </c>
      <c r="AD41" s="303" t="e">
        <f>IF($C136=0,0,MIN($B136/$C136*$D136*0.024*$Q$149,AC41))</f>
        <v>#N/A</v>
      </c>
      <c r="AE41" s="291" t="e">
        <f ca="1">'Расчет базового уровня'!AQ41</f>
        <v>#N/A</v>
      </c>
      <c r="AF41" s="303" t="e">
        <f>IF($C136=0,0,MIN($B136/$C136*$D136*0.024*$R$149,AE41))</f>
        <v>#N/A</v>
      </c>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row>
    <row r="42" spans="1:60" ht="14.25" customHeight="1" x14ac:dyDescent="0.25">
      <c r="A42" s="275" t="s">
        <v>1303</v>
      </c>
      <c r="B42" s="272" t="s">
        <v>837</v>
      </c>
      <c r="C42" s="276"/>
      <c r="D42" s="276" t="e">
        <f ca="1">C41-D41</f>
        <v>#N/A</v>
      </c>
      <c r="E42" s="50"/>
      <c r="F42" s="50"/>
      <c r="G42" s="275" t="s">
        <v>1303</v>
      </c>
      <c r="H42" s="272" t="s">
        <v>837</v>
      </c>
      <c r="I42" s="276"/>
      <c r="J42" s="276" t="e">
        <f ca="1">I41-J41</f>
        <v>#N/A</v>
      </c>
      <c r="K42" s="276"/>
      <c r="L42" s="276" t="e">
        <f ca="1">K41-L41</f>
        <v>#N/A</v>
      </c>
      <c r="M42" s="276"/>
      <c r="N42" s="276" t="e">
        <f ca="1">M41-N41</f>
        <v>#N/A</v>
      </c>
      <c r="O42" s="276"/>
      <c r="P42" s="276" t="e">
        <f ca="1">O41-P41</f>
        <v>#N/A</v>
      </c>
      <c r="Q42" s="276"/>
      <c r="R42" s="276" t="e">
        <f>Q41-R41</f>
        <v>#N/A</v>
      </c>
      <c r="S42" s="276"/>
      <c r="T42" s="276" t="e">
        <f>S41-T41</f>
        <v>#N/A</v>
      </c>
      <c r="U42" s="276"/>
      <c r="V42" s="276" t="e">
        <f>U41-V41</f>
        <v>#N/A</v>
      </c>
      <c r="W42" s="276"/>
      <c r="X42" s="276" t="e">
        <f>W41-X41</f>
        <v>#N/A</v>
      </c>
      <c r="Y42" s="276"/>
      <c r="Z42" s="276" t="e">
        <f>Y41-Z41</f>
        <v>#N/A</v>
      </c>
      <c r="AA42" s="276"/>
      <c r="AB42" s="276" t="e">
        <f ca="1">AA41-AB41</f>
        <v>#N/A</v>
      </c>
      <c r="AC42" s="276"/>
      <c r="AD42" s="276" t="e">
        <f ca="1">AC41-AD41</f>
        <v>#N/A</v>
      </c>
      <c r="AE42" s="276"/>
      <c r="AF42" s="276" t="e">
        <f ca="1">AE41-AF41</f>
        <v>#N/A</v>
      </c>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row>
    <row r="43" spans="1:60" ht="15.75" thickBot="1" x14ac:dyDescent="0.3">
      <c r="A43" s="275" t="s">
        <v>868</v>
      </c>
      <c r="B43" s="277" t="s">
        <v>1165</v>
      </c>
      <c r="C43" s="278"/>
      <c r="D43" s="278" t="e">
        <f ca="1">IF(C41=0,0,D42/C41)</f>
        <v>#N/A</v>
      </c>
      <c r="E43" s="50"/>
      <c r="F43" s="50"/>
      <c r="G43" s="275" t="s">
        <v>868</v>
      </c>
      <c r="H43" s="277" t="s">
        <v>1165</v>
      </c>
      <c r="I43" s="278"/>
      <c r="J43" s="278" t="e">
        <f ca="1">IF(I41=0,0,J42/I41)</f>
        <v>#N/A</v>
      </c>
      <c r="K43" s="278"/>
      <c r="L43" s="278" t="e">
        <f ca="1">IF(K41=0,0,L42/K41)</f>
        <v>#N/A</v>
      </c>
      <c r="M43" s="278"/>
      <c r="N43" s="278" t="e">
        <f ca="1">IF(M41=0,0,N42/M41)</f>
        <v>#N/A</v>
      </c>
      <c r="O43" s="278"/>
      <c r="P43" s="278" t="e">
        <f ca="1">IF(O41=0,0,P42/O41)</f>
        <v>#N/A</v>
      </c>
      <c r="Q43" s="278"/>
      <c r="R43" s="278">
        <f>IF(Q41=0,0,R42/Q41)</f>
        <v>0</v>
      </c>
      <c r="S43" s="278"/>
      <c r="T43" s="278">
        <f>IF(S41=0,0,T42/S41)</f>
        <v>0</v>
      </c>
      <c r="U43" s="278"/>
      <c r="V43" s="278">
        <f>IF(U41=0,0,V42/U41)</f>
        <v>0</v>
      </c>
      <c r="W43" s="278"/>
      <c r="X43" s="278">
        <f>IF(W41=0,0,X42/W41)</f>
        <v>0</v>
      </c>
      <c r="Y43" s="278"/>
      <c r="Z43" s="278">
        <f>IF(Y41=0,0,Z42/Y41)</f>
        <v>0</v>
      </c>
      <c r="AA43" s="278"/>
      <c r="AB43" s="278" t="e">
        <f ca="1">IF(AA41=0,0,AB42/AA41)</f>
        <v>#N/A</v>
      </c>
      <c r="AC43" s="278"/>
      <c r="AD43" s="278" t="e">
        <f ca="1">IF(AC41=0,0,AD42/AC41)</f>
        <v>#N/A</v>
      </c>
      <c r="AE43" s="278"/>
      <c r="AF43" s="278" t="e">
        <f ca="1">IF(AE41=0,0,AF42/AE41)</f>
        <v>#N/A</v>
      </c>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row>
    <row r="44" spans="1:60" ht="15.75" customHeight="1" x14ac:dyDescent="0.25">
      <c r="A44" s="300" t="s">
        <v>1183</v>
      </c>
      <c r="B44" s="290" t="s">
        <v>837</v>
      </c>
      <c r="C44" s="291" t="e">
        <f ca="1">'Расчет базового уровня'!D44</f>
        <v>#N/A</v>
      </c>
      <c r="D44" s="301" t="e">
        <f ca="1">IF(IF(C137=0,0,B137/C137*D137)*0.024*$D$149&gt;C44,C44,IF(C137=0,0,B137/C137*D137)*0.024*$D$149)</f>
        <v>#N/A</v>
      </c>
      <c r="E44" s="50"/>
      <c r="F44" s="50"/>
      <c r="G44" s="302" t="s">
        <v>1183</v>
      </c>
      <c r="H44" s="294" t="s">
        <v>837</v>
      </c>
      <c r="I44" s="291" t="e">
        <f ca="1">'Расчет базового уровня'!J44</f>
        <v>#N/A</v>
      </c>
      <c r="J44" s="303" t="e">
        <f>IF($C137=0,0,MIN($B137/$C137*$D137*0.024*$G$149,I44))</f>
        <v>#N/A</v>
      </c>
      <c r="K44" s="291" t="e">
        <f ca="1">'Расчет базового уровня'!M44</f>
        <v>#N/A</v>
      </c>
      <c r="L44" s="303" t="e">
        <f>IF($C137=0,0,MIN($B137/$C137*$D137*0.024*$H$149,K44))</f>
        <v>#N/A</v>
      </c>
      <c r="M44" s="291" t="e">
        <f ca="1">'Расчет базового уровня'!P44</f>
        <v>#N/A</v>
      </c>
      <c r="N44" s="303" t="e">
        <f>IF($C137=0,0,MIN($B137/$C137*$D137*0.024*$I$149,M44))</f>
        <v>#N/A</v>
      </c>
      <c r="O44" s="291" t="e">
        <f ca="1">'Расчет базового уровня'!S44</f>
        <v>#N/A</v>
      </c>
      <c r="P44" s="303" t="e">
        <f>IF($C137=0,0,MIN($B137/$C137*$D137*0.024*$J$149,O44))</f>
        <v>#N/A</v>
      </c>
      <c r="Q44" s="291">
        <f>'Расчет базового уровня'!V44</f>
        <v>0</v>
      </c>
      <c r="R44" s="303" t="e">
        <f>IF($C137=0,0,MIN($B137/$C137*$D137*0.024*$K$149,Q44))</f>
        <v>#N/A</v>
      </c>
      <c r="S44" s="291">
        <f>'Расчет базового уровня'!Y44</f>
        <v>0</v>
      </c>
      <c r="T44" s="303" t="e">
        <f>IF($C137=0,0,MIN($B137/$C137*$D137*0.024*$L$149,S44))</f>
        <v>#N/A</v>
      </c>
      <c r="U44" s="291">
        <f>'Расчет базового уровня'!AB44</f>
        <v>0</v>
      </c>
      <c r="V44" s="303" t="e">
        <f>IF($C137=0,0,MIN($B137/$C137*$D137*0.024*$M$149,U44))</f>
        <v>#N/A</v>
      </c>
      <c r="W44" s="291">
        <f>'Расчет базового уровня'!AE44</f>
        <v>0</v>
      </c>
      <c r="X44" s="303" t="e">
        <f>IF($C137=0,0,MIN($B137/$C137*$D137*0.024*$N$149,W44))</f>
        <v>#N/A</v>
      </c>
      <c r="Y44" s="291">
        <f>'Расчет базового уровня'!AH44</f>
        <v>0</v>
      </c>
      <c r="Z44" s="303" t="e">
        <f>IF($C137=0,0,MIN($B137/$C137*$D137*0.024*$O$149,Y44))</f>
        <v>#N/A</v>
      </c>
      <c r="AA44" s="291" t="e">
        <f ca="1">'Расчет базового уровня'!AK44</f>
        <v>#N/A</v>
      </c>
      <c r="AB44" s="303" t="e">
        <f>IF($C137=0,0,MIN($B137/$C137*$D137*0.024*$P$149,AA44))</f>
        <v>#N/A</v>
      </c>
      <c r="AC44" s="291" t="e">
        <f ca="1">'Расчет базового уровня'!AN44</f>
        <v>#N/A</v>
      </c>
      <c r="AD44" s="303" t="e">
        <f>IF($C137=0,0,MIN($B137/$C137*$D137*0.024*$Q$149,AC44))</f>
        <v>#N/A</v>
      </c>
      <c r="AE44" s="291" t="e">
        <f ca="1">'Расчет базового уровня'!AQ44</f>
        <v>#N/A</v>
      </c>
      <c r="AF44" s="303" t="e">
        <f>IF($C137=0,0,MIN($B137/$C137*$D137*0.024*$R$149,AE44))</f>
        <v>#N/A</v>
      </c>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row>
    <row r="45" spans="1:60" x14ac:dyDescent="0.25">
      <c r="A45" s="275" t="s">
        <v>1303</v>
      </c>
      <c r="B45" s="272" t="s">
        <v>837</v>
      </c>
      <c r="C45" s="276"/>
      <c r="D45" s="276" t="e">
        <f ca="1">C44-D44</f>
        <v>#N/A</v>
      </c>
      <c r="E45" s="50"/>
      <c r="F45" s="50"/>
      <c r="G45" s="275" t="s">
        <v>1303</v>
      </c>
      <c r="H45" s="272" t="s">
        <v>837</v>
      </c>
      <c r="I45" s="276"/>
      <c r="J45" s="276" t="e">
        <f ca="1">I44-J44</f>
        <v>#N/A</v>
      </c>
      <c r="K45" s="276"/>
      <c r="L45" s="276" t="e">
        <f ca="1">K44-L44</f>
        <v>#N/A</v>
      </c>
      <c r="M45" s="276"/>
      <c r="N45" s="276" t="e">
        <f ca="1">M44-N44</f>
        <v>#N/A</v>
      </c>
      <c r="O45" s="276"/>
      <c r="P45" s="276" t="e">
        <f ca="1">O44-P44</f>
        <v>#N/A</v>
      </c>
      <c r="Q45" s="276"/>
      <c r="R45" s="276" t="e">
        <f>Q44-R44</f>
        <v>#N/A</v>
      </c>
      <c r="S45" s="276"/>
      <c r="T45" s="276" t="e">
        <f>S44-T44</f>
        <v>#N/A</v>
      </c>
      <c r="U45" s="276"/>
      <c r="V45" s="276" t="e">
        <f>U44-V44</f>
        <v>#N/A</v>
      </c>
      <c r="W45" s="276"/>
      <c r="X45" s="276" t="e">
        <f>W44-X44</f>
        <v>#N/A</v>
      </c>
      <c r="Y45" s="276"/>
      <c r="Z45" s="276" t="e">
        <f>Y44-Z44</f>
        <v>#N/A</v>
      </c>
      <c r="AA45" s="276"/>
      <c r="AB45" s="276" t="e">
        <f ca="1">AA44-AB44</f>
        <v>#N/A</v>
      </c>
      <c r="AC45" s="276"/>
      <c r="AD45" s="276" t="e">
        <f ca="1">AC44-AD44</f>
        <v>#N/A</v>
      </c>
      <c r="AE45" s="276"/>
      <c r="AF45" s="276" t="e">
        <f ca="1">AE44-AF44</f>
        <v>#N/A</v>
      </c>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row>
    <row r="46" spans="1:60" ht="16.5" customHeight="1" thickBot="1" x14ac:dyDescent="0.3">
      <c r="A46" s="275" t="s">
        <v>868</v>
      </c>
      <c r="B46" s="277" t="s">
        <v>1165</v>
      </c>
      <c r="C46" s="278"/>
      <c r="D46" s="278" t="e">
        <f ca="1">IF(C44=0,0,D45/C44)</f>
        <v>#N/A</v>
      </c>
      <c r="E46" s="1509" t="e">
        <f ca="1">(C44/C38)*100</f>
        <v>#N/A</v>
      </c>
      <c r="F46" s="381" t="e">
        <f ca="1">(D44/D38)*100</f>
        <v>#N/A</v>
      </c>
      <c r="G46" s="275" t="s">
        <v>868</v>
      </c>
      <c r="H46" s="277" t="s">
        <v>1165</v>
      </c>
      <c r="I46" s="278"/>
      <c r="J46" s="278" t="e">
        <f ca="1">IF(I44=0,0,J45/I44)</f>
        <v>#N/A</v>
      </c>
      <c r="K46" s="278"/>
      <c r="L46" s="278" t="e">
        <f ca="1">IF(K44=0,0,L45/K44)</f>
        <v>#N/A</v>
      </c>
      <c r="M46" s="278"/>
      <c r="N46" s="278" t="e">
        <f ca="1">IF(M44=0,0,N45/M44)</f>
        <v>#N/A</v>
      </c>
      <c r="O46" s="278"/>
      <c r="P46" s="278" t="e">
        <f ca="1">IF(O44=0,0,P45/O44)</f>
        <v>#N/A</v>
      </c>
      <c r="Q46" s="278"/>
      <c r="R46" s="278">
        <f>IF(Q44=0,0,R45/Q44)</f>
        <v>0</v>
      </c>
      <c r="S46" s="278"/>
      <c r="T46" s="278">
        <f>IF(S44=0,0,T45/S44)</f>
        <v>0</v>
      </c>
      <c r="U46" s="278"/>
      <c r="V46" s="278">
        <f>IF(U44=0,0,V45/U44)</f>
        <v>0</v>
      </c>
      <c r="W46" s="278"/>
      <c r="X46" s="278">
        <f>IF(W44=0,0,X45/W44)</f>
        <v>0</v>
      </c>
      <c r="Y46" s="278"/>
      <c r="Z46" s="278">
        <f>IF(Y44=0,0,Z45/Y44)</f>
        <v>0</v>
      </c>
      <c r="AA46" s="278"/>
      <c r="AB46" s="278" t="e">
        <f ca="1">IF(AA44=0,0,AB45/AA44)</f>
        <v>#N/A</v>
      </c>
      <c r="AC46" s="278"/>
      <c r="AD46" s="278" t="e">
        <f ca="1">IF(AC44=0,0,AD45/AC44)</f>
        <v>#N/A</v>
      </c>
      <c r="AE46" s="278"/>
      <c r="AF46" s="278" t="e">
        <f ca="1">IF(AE44=0,0,AF45/AE44)</f>
        <v>#N/A</v>
      </c>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row>
    <row r="47" spans="1:60" ht="37.5" customHeight="1" x14ac:dyDescent="0.25">
      <c r="A47" s="300" t="s">
        <v>1185</v>
      </c>
      <c r="B47" s="290" t="s">
        <v>837</v>
      </c>
      <c r="C47" s="291" t="e">
        <f ca="1">'Расчет базового уровня'!D47</f>
        <v>#DIV/0!</v>
      </c>
      <c r="D47" s="301" t="e">
        <f ca="1">IF(IF(C138=0,0,B138/C138*D138)*0.024*$D$149&gt;C47,C47,IF(C138=0,0,B138/C138*D138)*0.024*$D$149)</f>
        <v>#DIV/0!</v>
      </c>
      <c r="E47" s="50"/>
      <c r="F47" s="50"/>
      <c r="G47" s="302" t="s">
        <v>1185</v>
      </c>
      <c r="H47" s="294" t="s">
        <v>837</v>
      </c>
      <c r="I47" s="291" t="e">
        <f ca="1">'Расчет базового уровня'!J47</f>
        <v>#DIV/0!</v>
      </c>
      <c r="J47" s="303" t="e">
        <f>IF($C138=0,0,MIN($B138/$C138*$D138*0.024*$G$149,I47))</f>
        <v>#DIV/0!</v>
      </c>
      <c r="K47" s="291" t="e">
        <f ca="1">'Расчет базового уровня'!M47</f>
        <v>#DIV/0!</v>
      </c>
      <c r="L47" s="303" t="e">
        <f>IF($C138=0,0,MIN($B138/$C138*$D138*0.024*$H$149,K47))</f>
        <v>#DIV/0!</v>
      </c>
      <c r="M47" s="291" t="e">
        <f ca="1">'Расчет базового уровня'!P47</f>
        <v>#DIV/0!</v>
      </c>
      <c r="N47" s="303" t="e">
        <f>IF($C138=0,0,MIN($B138/$C138*$D138*0.024*$I$149,M47))</f>
        <v>#DIV/0!</v>
      </c>
      <c r="O47" s="291" t="e">
        <f ca="1">'Расчет базового уровня'!S47</f>
        <v>#DIV/0!</v>
      </c>
      <c r="P47" s="303" t="e">
        <f>IF($C138=0,0,MIN($B138/$C138*$D138*0.024*$J$149,O47))</f>
        <v>#DIV/0!</v>
      </c>
      <c r="Q47" s="291">
        <f>'Расчет базового уровня'!V47</f>
        <v>0</v>
      </c>
      <c r="R47" s="303" t="e">
        <f>IF($C138=0,0,MIN($B138/$C138*$D138*0.024*$K$149,Q47))</f>
        <v>#DIV/0!</v>
      </c>
      <c r="S47" s="291">
        <f>'Расчет базового уровня'!Y47</f>
        <v>0</v>
      </c>
      <c r="T47" s="303" t="e">
        <f>IF($C138=0,0,MIN($B138/$C138*$D138*0.024*$L$149,S47))</f>
        <v>#DIV/0!</v>
      </c>
      <c r="U47" s="291">
        <f>'Расчет базового уровня'!AB47</f>
        <v>0</v>
      </c>
      <c r="V47" s="303" t="e">
        <f>IF($C138=0,0,MIN($B138/$C138*$D138*0.024*$M$149,U47))</f>
        <v>#DIV/0!</v>
      </c>
      <c r="W47" s="291">
        <f>'Расчет базового уровня'!AE47</f>
        <v>0</v>
      </c>
      <c r="X47" s="303" t="e">
        <f>IF($C138=0,0,MIN($B138/$C138*$D138*0.024*$N$149,W47))</f>
        <v>#DIV/0!</v>
      </c>
      <c r="Y47" s="291">
        <f>'Расчет базового уровня'!AH47</f>
        <v>0</v>
      </c>
      <c r="Z47" s="303" t="e">
        <f>IF($C138=0,0,MIN($B138/$C138*$D138*0.024*$O$149,Y47))</f>
        <v>#DIV/0!</v>
      </c>
      <c r="AA47" s="291" t="e">
        <f ca="1">'Расчет базового уровня'!AK47</f>
        <v>#DIV/0!</v>
      </c>
      <c r="AB47" s="303" t="e">
        <f>IF($C138=0,0,MIN($B138/$C138*$D138*0.024*$P$149,AA47))</f>
        <v>#DIV/0!</v>
      </c>
      <c r="AC47" s="291" t="e">
        <f ca="1">'Расчет базового уровня'!AN47</f>
        <v>#DIV/0!</v>
      </c>
      <c r="AD47" s="303" t="e">
        <f>IF($C138=0,0,MIN($B138/$C138*$D138*0.024*$Q$149,AC47))</f>
        <v>#DIV/0!</v>
      </c>
      <c r="AE47" s="291" t="e">
        <f ca="1">'Расчет базового уровня'!AQ47</f>
        <v>#DIV/0!</v>
      </c>
      <c r="AF47" s="303" t="e">
        <f>IF($C138=0,0,MIN($B138/$C138*$D138*0.024*$R$149,AE47))</f>
        <v>#DIV/0!</v>
      </c>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row>
    <row r="48" spans="1:60" ht="13.5" customHeight="1" x14ac:dyDescent="0.25">
      <c r="A48" s="275" t="s">
        <v>1303</v>
      </c>
      <c r="B48" s="272" t="s">
        <v>837</v>
      </c>
      <c r="C48" s="276"/>
      <c r="D48" s="276" t="e">
        <f ca="1">C47-D47</f>
        <v>#DIV/0!</v>
      </c>
      <c r="E48" s="50"/>
      <c r="F48" s="50"/>
      <c r="G48" s="275" t="s">
        <v>1303</v>
      </c>
      <c r="H48" s="272" t="s">
        <v>837</v>
      </c>
      <c r="I48" s="276"/>
      <c r="J48" s="276" t="e">
        <f ca="1">I47-J47</f>
        <v>#DIV/0!</v>
      </c>
      <c r="K48" s="276"/>
      <c r="L48" s="276" t="e">
        <f ca="1">K47-L47</f>
        <v>#DIV/0!</v>
      </c>
      <c r="M48" s="276"/>
      <c r="N48" s="276" t="e">
        <f ca="1">M47-N47</f>
        <v>#DIV/0!</v>
      </c>
      <c r="O48" s="276"/>
      <c r="P48" s="276" t="e">
        <f ca="1">O47-P47</f>
        <v>#DIV/0!</v>
      </c>
      <c r="Q48" s="276"/>
      <c r="R48" s="276" t="e">
        <f>Q47-R47</f>
        <v>#DIV/0!</v>
      </c>
      <c r="S48" s="276"/>
      <c r="T48" s="276" t="e">
        <f>S47-T47</f>
        <v>#DIV/0!</v>
      </c>
      <c r="U48" s="276"/>
      <c r="V48" s="276" t="e">
        <f>U47-V47</f>
        <v>#DIV/0!</v>
      </c>
      <c r="W48" s="276"/>
      <c r="X48" s="276" t="e">
        <f>W47-X47</f>
        <v>#DIV/0!</v>
      </c>
      <c r="Y48" s="276"/>
      <c r="Z48" s="276" t="e">
        <f>Y47-Z47</f>
        <v>#DIV/0!</v>
      </c>
      <c r="AA48" s="276"/>
      <c r="AB48" s="276" t="e">
        <f ca="1">AA47-AB47</f>
        <v>#DIV/0!</v>
      </c>
      <c r="AC48" s="276"/>
      <c r="AD48" s="276" t="e">
        <f ca="1">AC47-AD47</f>
        <v>#DIV/0!</v>
      </c>
      <c r="AE48" s="276"/>
      <c r="AF48" s="276" t="e">
        <f ca="1">AE47-AF47</f>
        <v>#DIV/0!</v>
      </c>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row>
    <row r="49" spans="1:60" ht="13.5" customHeight="1" thickBot="1" x14ac:dyDescent="0.3">
      <c r="A49" s="275" t="s">
        <v>868</v>
      </c>
      <c r="B49" s="277" t="s">
        <v>1165</v>
      </c>
      <c r="C49" s="278"/>
      <c r="D49" s="278" t="e">
        <f ca="1">IF(C47=0,0,D48/C47)</f>
        <v>#DIV/0!</v>
      </c>
      <c r="E49" s="50"/>
      <c r="F49" s="50"/>
      <c r="G49" s="275" t="s">
        <v>868</v>
      </c>
      <c r="H49" s="277" t="s">
        <v>1165</v>
      </c>
      <c r="I49" s="278"/>
      <c r="J49" s="278" t="e">
        <f ca="1">IF(I47=0,0,J48/I47)</f>
        <v>#DIV/0!</v>
      </c>
      <c r="K49" s="278"/>
      <c r="L49" s="278" t="e">
        <f ca="1">IF(K47=0,0,L48/K47)</f>
        <v>#DIV/0!</v>
      </c>
      <c r="M49" s="278"/>
      <c r="N49" s="278" t="e">
        <f ca="1">IF(M47=0,0,N48/M47)</f>
        <v>#DIV/0!</v>
      </c>
      <c r="O49" s="278"/>
      <c r="P49" s="278" t="e">
        <f ca="1">IF(O47=0,0,P48/O47)</f>
        <v>#DIV/0!</v>
      </c>
      <c r="Q49" s="278"/>
      <c r="R49" s="278">
        <f>IF(Q47=0,0,R48/Q47)</f>
        <v>0</v>
      </c>
      <c r="S49" s="278"/>
      <c r="T49" s="278">
        <f>IF(S47=0,0,T48/S47)</f>
        <v>0</v>
      </c>
      <c r="U49" s="278"/>
      <c r="V49" s="278">
        <f>IF(U47=0,0,V48/U47)</f>
        <v>0</v>
      </c>
      <c r="W49" s="278"/>
      <c r="X49" s="278">
        <f>IF(W47=0,0,X48/W47)</f>
        <v>0</v>
      </c>
      <c r="Y49" s="278"/>
      <c r="Z49" s="278">
        <f>IF(Y47=0,0,Z48/Y47)</f>
        <v>0</v>
      </c>
      <c r="AA49" s="278"/>
      <c r="AB49" s="278" t="e">
        <f ca="1">IF(AA47=0,0,AB48/AA47)</f>
        <v>#DIV/0!</v>
      </c>
      <c r="AC49" s="278"/>
      <c r="AD49" s="278" t="e">
        <f ca="1">IF(AC47=0,0,AD48/AC47)</f>
        <v>#DIV/0!</v>
      </c>
      <c r="AE49" s="278"/>
      <c r="AF49" s="278" t="e">
        <f ca="1">IF(AE47=0,0,AF48/AE47)</f>
        <v>#DIV/0!</v>
      </c>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row>
    <row r="50" spans="1:60" ht="37.5" customHeight="1" x14ac:dyDescent="0.25">
      <c r="A50" s="300" t="s">
        <v>1513</v>
      </c>
      <c r="B50" s="290" t="s">
        <v>837</v>
      </c>
      <c r="C50" s="291" t="e">
        <f ca="1">'Расчет базового уровня'!D50</f>
        <v>#N/A</v>
      </c>
      <c r="D50" s="301" t="e">
        <f ca="1">IF(IF(C139=0,0,B139/C139*D139)*0.024*$D$149&gt;C50,C50,IF(C139=0,0,B139/C139*D139)*0.024*$D$149)</f>
        <v>#VALUE!</v>
      </c>
      <c r="E50" s="50"/>
      <c r="F50" s="50"/>
      <c r="G50" s="300" t="s">
        <v>1513</v>
      </c>
      <c r="H50" s="294" t="s">
        <v>837</v>
      </c>
      <c r="I50" s="291" t="e">
        <f ca="1">'Расчет базового уровня'!J50</f>
        <v>#N/A</v>
      </c>
      <c r="J50" s="303" t="e">
        <f ca="1">IF($C139=0,0,MIN($B139/$C139*$D139*0.024*$G$149,I50))</f>
        <v>#VALUE!</v>
      </c>
      <c r="K50" s="291" t="e">
        <f ca="1">'Расчет базового уровня'!M50</f>
        <v>#N/A</v>
      </c>
      <c r="L50" s="303" t="e">
        <f ca="1">IF($C139=0,0,MIN($B139/$C139*$D139*0.024*$H$149,K50))</f>
        <v>#VALUE!</v>
      </c>
      <c r="M50" s="291" t="e">
        <f ca="1">'Расчет базового уровня'!P50</f>
        <v>#N/A</v>
      </c>
      <c r="N50" s="303" t="e">
        <f ca="1">IF($C139=0,0,MIN($B139/$C139*$D139*0.024*$I$149,M50))</f>
        <v>#VALUE!</v>
      </c>
      <c r="O50" s="291" t="e">
        <f ca="1">'Расчет базового уровня'!S50</f>
        <v>#N/A</v>
      </c>
      <c r="P50" s="303" t="e">
        <f ca="1">IF($C139=0,0,MIN($B139/$C139*$D139*0.024*$J$149,O50))</f>
        <v>#VALUE!</v>
      </c>
      <c r="Q50" s="291">
        <f>'Расчет базового уровня'!V50</f>
        <v>0</v>
      </c>
      <c r="R50" s="303" t="e">
        <f ca="1">IF($C139=0,0,MIN($B139/$C139*$D139*0.024*$K$149,Q50))</f>
        <v>#VALUE!</v>
      </c>
      <c r="S50" s="291">
        <f>'Расчет базового уровня'!Y50</f>
        <v>0</v>
      </c>
      <c r="T50" s="303" t="e">
        <f ca="1">IF($C139=0,0,MIN($B139/$C139*$D139*0.024*$L$149,S50))</f>
        <v>#VALUE!</v>
      </c>
      <c r="U50" s="291">
        <f>'Расчет базового уровня'!AB50</f>
        <v>0</v>
      </c>
      <c r="V50" s="303" t="e">
        <f ca="1">IF($C139=0,0,MIN($B139/$C139*$D139*0.024*$M$149,U50))</f>
        <v>#VALUE!</v>
      </c>
      <c r="W50" s="291">
        <f>'Расчет базового уровня'!AE50</f>
        <v>0</v>
      </c>
      <c r="X50" s="303" t="e">
        <f ca="1">IF($C139=0,0,MIN($B139/$C139*$D139*0.024*$N$149,W50))</f>
        <v>#VALUE!</v>
      </c>
      <c r="Y50" s="291">
        <f>'Расчет базового уровня'!AH50</f>
        <v>0</v>
      </c>
      <c r="Z50" s="303" t="e">
        <f ca="1">IF($C139=0,0,MIN($B139/$C139*$D139*0.024*$O$149,Y50))</f>
        <v>#VALUE!</v>
      </c>
      <c r="AA50" s="291" t="e">
        <f ca="1">'Расчет базового уровня'!AK50</f>
        <v>#N/A</v>
      </c>
      <c r="AB50" s="303" t="e">
        <f ca="1">IF($C139=0,0,MIN($B139/$C139*$D139*0.024*$P$149,AA50))</f>
        <v>#VALUE!</v>
      </c>
      <c r="AC50" s="291" t="e">
        <f ca="1">'Расчет базового уровня'!AN50</f>
        <v>#N/A</v>
      </c>
      <c r="AD50" s="303" t="e">
        <f ca="1">IF($C139=0,0,MIN($B139/$C139*$D139*0.024*$Q$149,AC50))</f>
        <v>#VALUE!</v>
      </c>
      <c r="AE50" s="291" t="e">
        <f ca="1">'Расчет базового уровня'!AQ50</f>
        <v>#N/A</v>
      </c>
      <c r="AF50" s="303" t="e">
        <f ca="1">IF($C139=0,0,MIN($B139/$C139*$D139*0.024*$R$149,AE50))</f>
        <v>#VALUE!</v>
      </c>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row>
    <row r="51" spans="1:60" ht="13.5" customHeight="1" x14ac:dyDescent="0.25">
      <c r="A51" s="275" t="s">
        <v>1303</v>
      </c>
      <c r="B51" s="272" t="s">
        <v>837</v>
      </c>
      <c r="C51" s="276"/>
      <c r="D51" s="276" t="e">
        <f ca="1">C50-D50</f>
        <v>#N/A</v>
      </c>
      <c r="E51" s="50"/>
      <c r="F51" s="50"/>
      <c r="G51" s="275" t="s">
        <v>1303</v>
      </c>
      <c r="H51" s="272" t="s">
        <v>837</v>
      </c>
      <c r="I51" s="276"/>
      <c r="J51" s="276" t="e">
        <f ca="1">I50-J50</f>
        <v>#N/A</v>
      </c>
      <c r="K51" s="276"/>
      <c r="L51" s="276" t="e">
        <f ca="1">K50-L50</f>
        <v>#N/A</v>
      </c>
      <c r="M51" s="276"/>
      <c r="N51" s="276" t="e">
        <f ca="1">M50-N50</f>
        <v>#N/A</v>
      </c>
      <c r="O51" s="276"/>
      <c r="P51" s="276" t="e">
        <f ca="1">O50-P50</f>
        <v>#N/A</v>
      </c>
      <c r="Q51" s="276"/>
      <c r="R51" s="276" t="e">
        <f ca="1">Q50-R50</f>
        <v>#VALUE!</v>
      </c>
      <c r="S51" s="276"/>
      <c r="T51" s="276" t="e">
        <f ca="1">S50-T50</f>
        <v>#VALUE!</v>
      </c>
      <c r="U51" s="276"/>
      <c r="V51" s="276" t="e">
        <f ca="1">U50-V50</f>
        <v>#VALUE!</v>
      </c>
      <c r="W51" s="276"/>
      <c r="X51" s="276" t="e">
        <f ca="1">W50-X50</f>
        <v>#VALUE!</v>
      </c>
      <c r="Y51" s="276"/>
      <c r="Z51" s="276" t="e">
        <f ca="1">Y50-Z50</f>
        <v>#VALUE!</v>
      </c>
      <c r="AA51" s="276"/>
      <c r="AB51" s="276" t="e">
        <f ca="1">AA50-AB50</f>
        <v>#N/A</v>
      </c>
      <c r="AC51" s="276"/>
      <c r="AD51" s="276" t="e">
        <f ca="1">AC50-AD50</f>
        <v>#N/A</v>
      </c>
      <c r="AE51" s="276"/>
      <c r="AF51" s="276" t="e">
        <f ca="1">AE50-AF50</f>
        <v>#N/A</v>
      </c>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row>
    <row r="52" spans="1:60" ht="13.5" customHeight="1" thickBot="1" x14ac:dyDescent="0.3">
      <c r="A52" s="275" t="s">
        <v>868</v>
      </c>
      <c r="B52" s="277" t="s">
        <v>1165</v>
      </c>
      <c r="C52" s="278"/>
      <c r="D52" s="278" t="e">
        <f ca="1">IF(C50=0,0,D51/C50)</f>
        <v>#N/A</v>
      </c>
      <c r="E52" s="50"/>
      <c r="F52" s="50"/>
      <c r="G52" s="275" t="s">
        <v>868</v>
      </c>
      <c r="H52" s="277" t="s">
        <v>1165</v>
      </c>
      <c r="I52" s="278"/>
      <c r="J52" s="278" t="e">
        <f ca="1">IF(I50=0,0,J51/I50)</f>
        <v>#N/A</v>
      </c>
      <c r="K52" s="278"/>
      <c r="L52" s="278" t="e">
        <f ca="1">IF(K50=0,0,L51/K50)</f>
        <v>#N/A</v>
      </c>
      <c r="M52" s="278"/>
      <c r="N52" s="278" t="e">
        <f ca="1">IF(M50=0,0,N51/M50)</f>
        <v>#N/A</v>
      </c>
      <c r="O52" s="278"/>
      <c r="P52" s="278" t="e">
        <f ca="1">IF(O50=0,0,P51/O50)</f>
        <v>#N/A</v>
      </c>
      <c r="Q52" s="278"/>
      <c r="R52" s="278">
        <f>IF(Q50=0,0,R51/Q50)</f>
        <v>0</v>
      </c>
      <c r="S52" s="278"/>
      <c r="T52" s="278">
        <f>IF(S50=0,0,T51/S50)</f>
        <v>0</v>
      </c>
      <c r="U52" s="278"/>
      <c r="V52" s="278">
        <f>IF(U50=0,0,V51/U50)</f>
        <v>0</v>
      </c>
      <c r="W52" s="278"/>
      <c r="X52" s="278">
        <f>IF(W50=0,0,X51/W50)</f>
        <v>0</v>
      </c>
      <c r="Y52" s="278"/>
      <c r="Z52" s="278">
        <f>IF(Y50=0,0,Z51/Y50)</f>
        <v>0</v>
      </c>
      <c r="AA52" s="278"/>
      <c r="AB52" s="278" t="e">
        <f ca="1">IF(AA50=0,0,AB51/AA50)</f>
        <v>#N/A</v>
      </c>
      <c r="AC52" s="278"/>
      <c r="AD52" s="278" t="e">
        <f ca="1">IF(AC50=0,0,AD51/AC50)</f>
        <v>#N/A</v>
      </c>
      <c r="AE52" s="278"/>
      <c r="AF52" s="278" t="e">
        <f ca="1">IF(AE50=0,0,AF51/AE50)</f>
        <v>#N/A</v>
      </c>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row>
    <row r="53" spans="1:60" ht="27.75" customHeight="1" x14ac:dyDescent="0.25">
      <c r="A53" s="300" t="s">
        <v>1187</v>
      </c>
      <c r="B53" s="290" t="s">
        <v>837</v>
      </c>
      <c r="C53" s="291" t="e">
        <f ca="1">'Расчет базового уровня'!D53</f>
        <v>#N/A</v>
      </c>
      <c r="D53" s="301" t="e">
        <f ca="1">IF((IF(C140=0,0,B140/C140*D140)+IF(C141=0,0,B141/C141*D141)+IF(C142=0,0,B142/C142*D142))*0.024*$D$149&gt;C53,C53,(IF(C140=0,0,B140/C140*D140)+IF(C141=0,0,B141/C141*D141)+IF(C142=0,0,B142/C142*D142))*0.024*$D$149)</f>
        <v>#N/A</v>
      </c>
      <c r="E53" s="50"/>
      <c r="F53" s="50"/>
      <c r="G53" s="302" t="s">
        <v>1187</v>
      </c>
      <c r="H53" s="294" t="s">
        <v>837</v>
      </c>
      <c r="I53" s="291" t="e">
        <f ca="1">'Расчет базового уровня'!J53</f>
        <v>#N/A</v>
      </c>
      <c r="J53" s="303" t="e">
        <f ca="1">IF((IF(C140=0,0,B140/C140*D140)+IF(C141=0,0,B141/C141*D141)+IF(C142=0,0,B142/C142*D142))*0.024*G$149&gt;I53,I53,(IF(C140=0,0,B140/C140*D140)+IF(C141=0,0,B141/C141*D141)+IF(C142=0,0,B142/C142*D142))*0.024*G$149)</f>
        <v>#N/A</v>
      </c>
      <c r="K53" s="291" t="e">
        <f ca="1">'Расчет базового уровня'!M53</f>
        <v>#N/A</v>
      </c>
      <c r="L53" s="303" t="e">
        <f ca="1">IF((IF($C$140=0,0,$B$140/$C$140*$D$140)+IF($C$141=0,0,$B$141/$C$141*$D$141)+IF($C$142=0,0,$B$142/$C$142*$D$142))*0.024*$H$149&gt;K53,K53,(IF($C$140=0,0,$B$140/$C$140*$D$140)+IF($C$141=0,0,$B$141/$C$141*$D$141)+IF($C$142=0,0,$B$142/$C$142*$D$142))*0.024*$H$149)</f>
        <v>#N/A</v>
      </c>
      <c r="M53" s="291" t="e">
        <f ca="1">'Расчет базового уровня'!P53</f>
        <v>#N/A</v>
      </c>
      <c r="N53" s="303" t="e">
        <f ca="1">IF((IF($C$140=0,0,$B$140/$C$140*$D$140)+IF($C$141=0,0,$B$141/$C$141*$D$141)+IF($C$142=0,0,$B$142/$C$142*$D$142))*0.024*$I$149&gt;M53,M53,(IF($C$140=0,0,$B$140/$C$140*$D$140)+IF($C$141=0,0,$B$141/$C$141*$D$141)+IF($C$142=0,0,$B$142/$C$142*$D$142))*0.024*$I$149)</f>
        <v>#N/A</v>
      </c>
      <c r="O53" s="291" t="e">
        <f ca="1">'Расчет базового уровня'!S53</f>
        <v>#N/A</v>
      </c>
      <c r="P53" s="303" t="e">
        <f ca="1">IF((IF($C$140=0,0,$B$140/$C$140*$D$140)+IF($C$141=0,0,$B$141/$C$141*$D$141)+IF($C$142=0,0,$B$142/$C$142*$D$142))*0.024*$J$149&gt;O53,O53,(IF($C$140=0,0,$B$140/$C$140*$D$140)+IF($C$141=0,0,$B$141/$C$141*$D$141)+IF($C$142=0,0,$B$142/$C$142*$D$142))*0.024*$J$149)</f>
        <v>#N/A</v>
      </c>
      <c r="Q53" s="291">
        <f>'Расчет базового уровня'!V53</f>
        <v>0</v>
      </c>
      <c r="R53" s="303" t="e">
        <f ca="1">IF((IF($C$140=0,0,$B$140/$C$140*$D$140)+IF($C$141=0,0,$B$141/$C$141*$D$141)+IF($C$142=0,0,$B$142/$C$142*$D$142))*0.024*$K$149&gt;Q53,Q53,(IF($C$140=0,0,$B$140/$C$140*$D$140)+IF($C$141=0,0,$B$141/$C$141*$D$141)+IF($C$142=0,0,$B$142/$C$142*$D$142))*0.024*$K$149)</f>
        <v>#N/A</v>
      </c>
      <c r="S53" s="291">
        <f>'Расчет базового уровня'!Y53</f>
        <v>0</v>
      </c>
      <c r="T53" s="303" t="e">
        <f ca="1">IF((IF($C$140=0,0,$B$140/$C$140*$D$140)+IF($C$141=0,0,$B$141/$C$141*$D$141)+IF($C$142=0,0,$B$142/$C$142*$D$142))*0.024*$L$149&gt;S53,S53,(IF($C$140=0,0,$B$140/$C$140*$D$140)+IF($C$141=0,0,$B$141/$C$141*$D$141)+IF($C$142=0,0,$B$142/$C$142*$D$142))*0.024*$L$149)</f>
        <v>#N/A</v>
      </c>
      <c r="U53" s="291">
        <f>'Расчет базового уровня'!AB53</f>
        <v>0</v>
      </c>
      <c r="V53" s="303" t="e">
        <f ca="1">IF((IF($C$140=0,0,$B$140/$C$140*$D$140)+IF($C$141=0,0,$B$141/$C$141*$D$141)+IF($C$142=0,0,$B$142/$C$142*$D$142))*0.024*$M$149&gt;U53,U53,(IF($C$140=0,0,$B$140/$C$140*$D$140)+IF($C$141=0,0,$B$141/$C$141*$D$141)+IF($C$142=0,0,$B$142/$C$142*$D$142))*0.024*$M$149)</f>
        <v>#N/A</v>
      </c>
      <c r="W53" s="291">
        <f>'Расчет базового уровня'!AE53</f>
        <v>0</v>
      </c>
      <c r="X53" s="303" t="e">
        <f ca="1">IF((IF($C$140=0,0,$B$140/$C$140*$D$140)+IF($C$141=0,0,$B$141/$C$141*$D$141)+IF($C$142=0,0,$B$142/$C$142*$D$142))*0.024*$N$149&gt;W53,W53,(IF($C$140=0,0,$B$140/$C$140*$D$140)+IF($C$141=0,0,$B$141/$C$141*$D$141)+IF($C$142=0,0,$B$142/$C$142*$D$142))*0.024*$N$149)</f>
        <v>#N/A</v>
      </c>
      <c r="Y53" s="291">
        <f>'Расчет базового уровня'!AH53</f>
        <v>0</v>
      </c>
      <c r="Z53" s="303" t="e">
        <f ca="1">IF((IF($C$140=0,0,$B$140/$C$140*$D$140)+IF($C$141=0,0,$B$141/$C$141*$D$141)+IF($C$142=0,0,$B$142/$C$142*$D$142))*0.024*$O$149&gt;Y53,Y53,(IF($C$140=0,0,$B$140/$C$140*$D$140)+IF($C$141=0,0,$B$141/$C$141*$D$141)+IF($C$142=0,0,$B$142/$C$142*$D$142))*0.024*$O$149)</f>
        <v>#N/A</v>
      </c>
      <c r="AA53" s="291" t="e">
        <f ca="1">'Расчет базового уровня'!AK53</f>
        <v>#N/A</v>
      </c>
      <c r="AB53" s="303" t="e">
        <f ca="1">IF((IF($C$140=0,0,$B$140/$C$140*$D$140)+IF($C$141=0,0,$B$141/$C$141*$D$141)+IF($C$142=0,0,$B$142/$C$142*$D$142))*0.024*$P$149&gt;AA53,AA53,(IF($C$140=0,0,$B$140/$C$140*$D$140)+IF($C$141=0,0,$B$141/$C$141*$D$141)+IF($C$142=0,0,$B$142/$C$142*$D$142))*0.024*$P$149)</f>
        <v>#N/A</v>
      </c>
      <c r="AC53" s="291" t="e">
        <f ca="1">'Расчет базового уровня'!AN53</f>
        <v>#N/A</v>
      </c>
      <c r="AD53" s="303" t="e">
        <f ca="1">IF((IF($C$140=0,0,$B$140/$C$140*$D$140)+IF($C$141=0,0,$B$141/$C$141*$D$141)+IF($C$142=0,0,$B$142/$C$142*$D$142))*0.024*$Q$149&gt;AC53,AC53,(IF($C$140=0,0,$B$140/$C$140*$D$140)+IF($C$141=0,0,$B$141/$C$141*$D$141)+IF($C$142=0,0,$B$142/$C$142*$D$142))*0.024*$Q$149)</f>
        <v>#N/A</v>
      </c>
      <c r="AE53" s="291" t="e">
        <f ca="1">'Расчет базового уровня'!AQ53</f>
        <v>#N/A</v>
      </c>
      <c r="AF53" s="303" t="e">
        <f ca="1">IF((IF($C$140=0,0,$B$140/$C$140*$D$140)+IF($C$141=0,0,$B$141/$C$141*$D$141)+IF($C$142=0,0,$B$142/$C$142*$D$142))*0.024*$R$149&gt;AE53,AE53,(IF($C$140=0,0,$B$140/$C$140*$D$140)+IF($C$141=0,0,$B$141/$C$141*$D$141)+IF($C$142=0,0,$B$142/$C$142*$D$142))*0.024*$R$149)</f>
        <v>#N/A</v>
      </c>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row>
    <row r="54" spans="1:60" x14ac:dyDescent="0.25">
      <c r="A54" s="275" t="s">
        <v>1303</v>
      </c>
      <c r="B54" s="272" t="s">
        <v>837</v>
      </c>
      <c r="C54" s="276"/>
      <c r="D54" s="276" t="e">
        <f ca="1">C53-D53</f>
        <v>#N/A</v>
      </c>
      <c r="E54" s="50"/>
      <c r="F54" s="50"/>
      <c r="G54" s="275" t="s">
        <v>1303</v>
      </c>
      <c r="H54" s="272" t="s">
        <v>837</v>
      </c>
      <c r="I54" s="276"/>
      <c r="J54" s="276" t="e">
        <f ca="1">I53-J53</f>
        <v>#N/A</v>
      </c>
      <c r="K54" s="276"/>
      <c r="L54" s="276" t="e">
        <f ca="1">K53-L53</f>
        <v>#N/A</v>
      </c>
      <c r="M54" s="276"/>
      <c r="N54" s="276" t="e">
        <f ca="1">M53-N53</f>
        <v>#N/A</v>
      </c>
      <c r="O54" s="276"/>
      <c r="P54" s="276" t="e">
        <f ca="1">O53-P53</f>
        <v>#N/A</v>
      </c>
      <c r="Q54" s="276"/>
      <c r="R54" s="276" t="e">
        <f ca="1">Q53-R53</f>
        <v>#N/A</v>
      </c>
      <c r="S54" s="276"/>
      <c r="T54" s="276" t="e">
        <f ca="1">S53-T53</f>
        <v>#N/A</v>
      </c>
      <c r="U54" s="276"/>
      <c r="V54" s="276" t="e">
        <f ca="1">U53-V53</f>
        <v>#N/A</v>
      </c>
      <c r="W54" s="276"/>
      <c r="X54" s="276" t="e">
        <f ca="1">W53-X53</f>
        <v>#N/A</v>
      </c>
      <c r="Y54" s="276"/>
      <c r="Z54" s="276" t="e">
        <f ca="1">Y53-Z53</f>
        <v>#N/A</v>
      </c>
      <c r="AA54" s="276"/>
      <c r="AB54" s="276" t="e">
        <f ca="1">AA53-AB53</f>
        <v>#N/A</v>
      </c>
      <c r="AC54" s="276"/>
      <c r="AD54" s="276" t="e">
        <f ca="1">AC53-AD53</f>
        <v>#N/A</v>
      </c>
      <c r="AE54" s="276"/>
      <c r="AF54" s="276" t="e">
        <f ca="1">AE53-AF53</f>
        <v>#N/A</v>
      </c>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row>
    <row r="55" spans="1:60" ht="15.75" thickBot="1" x14ac:dyDescent="0.3">
      <c r="A55" s="275" t="s">
        <v>868</v>
      </c>
      <c r="B55" s="277" t="s">
        <v>1165</v>
      </c>
      <c r="C55" s="278"/>
      <c r="D55" s="278" t="e">
        <f ca="1">IF(C53=0,0,D54/C53)</f>
        <v>#N/A</v>
      </c>
      <c r="E55" s="50"/>
      <c r="F55" s="50"/>
      <c r="G55" s="275" t="s">
        <v>868</v>
      </c>
      <c r="H55" s="277" t="s">
        <v>1165</v>
      </c>
      <c r="I55" s="278"/>
      <c r="J55" s="278" t="e">
        <f ca="1">IF(I53=0,0,J54/I53)</f>
        <v>#N/A</v>
      </c>
      <c r="K55" s="278"/>
      <c r="L55" s="278" t="e">
        <f ca="1">IF(K53=0,0,L54/K53)</f>
        <v>#N/A</v>
      </c>
      <c r="M55" s="278"/>
      <c r="N55" s="278" t="e">
        <f ca="1">IF(M53=0,0,N54/M53)</f>
        <v>#N/A</v>
      </c>
      <c r="O55" s="278"/>
      <c r="P55" s="278" t="e">
        <f ca="1">IF(O53=0,0,P54/O53)</f>
        <v>#N/A</v>
      </c>
      <c r="Q55" s="278"/>
      <c r="R55" s="278">
        <f>IF(Q53=0,0,R54/Q53)</f>
        <v>0</v>
      </c>
      <c r="S55" s="278"/>
      <c r="T55" s="278">
        <f>IF(S53=0,0,T54/S53)</f>
        <v>0</v>
      </c>
      <c r="U55" s="278"/>
      <c r="V55" s="278">
        <f>IF(U53=0,0,V54/U53)</f>
        <v>0</v>
      </c>
      <c r="W55" s="278"/>
      <c r="X55" s="278">
        <f>IF(W53=0,0,X54/W53)</f>
        <v>0</v>
      </c>
      <c r="Y55" s="278"/>
      <c r="Z55" s="278">
        <f>IF(Y53=0,0,Z54/Y53)</f>
        <v>0</v>
      </c>
      <c r="AA55" s="278"/>
      <c r="AB55" s="278" t="e">
        <f ca="1">IF(AA53=0,0,AB54/AA53)</f>
        <v>#N/A</v>
      </c>
      <c r="AC55" s="278"/>
      <c r="AD55" s="278" t="e">
        <f ca="1">IF(AC53=0,0,AD54/AC53)</f>
        <v>#N/A</v>
      </c>
      <c r="AE55" s="278"/>
      <c r="AF55" s="278" t="e">
        <f ca="1">IF(AE53=0,0,AF54/AE53)</f>
        <v>#N/A</v>
      </c>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row>
    <row r="56" spans="1:60" ht="32.25" customHeight="1" x14ac:dyDescent="0.25">
      <c r="A56" s="300" t="s">
        <v>1188</v>
      </c>
      <c r="B56" s="290" t="s">
        <v>837</v>
      </c>
      <c r="C56" s="291" t="e">
        <f ca="1">'Расчет базового уровня'!D56</f>
        <v>#N/A</v>
      </c>
      <c r="D56" s="301" t="e">
        <f ca="1">IF((IF(C144=0,0,B144/C144*D144)+IF(C143=0,0,B143/C143*D143))*0.024*$D$149&gt;C56,C56,(IF(C144=0,0,B144/C144*D144)+IF(C143=0,0,B143/C143*D143))*0.024*$D$149)</f>
        <v>#N/A</v>
      </c>
      <c r="E56" s="50"/>
      <c r="F56" s="50"/>
      <c r="G56" s="302" t="s">
        <v>1188</v>
      </c>
      <c r="H56" s="294" t="s">
        <v>837</v>
      </c>
      <c r="I56" s="291" t="e">
        <f ca="1">'Расчет базового уровня'!J56</f>
        <v>#N/A</v>
      </c>
      <c r="J56" s="303" t="e">
        <f ca="1">IF((IF($C$144=0,0,$B$144/$C$144*$D$144)+IF($C$143=0,0,$B$143/$C$143*$D$143))*0.024*$G$149&gt;I56,I56,(IF($C$144=0,0,$B$144/$C$144*$D$144)+IF($C$143=0,0,$B$143/$C$143*$D$143))*0.024*$G$149)</f>
        <v>#N/A</v>
      </c>
      <c r="K56" s="291" t="e">
        <f ca="1">'Расчет базового уровня'!M56</f>
        <v>#N/A</v>
      </c>
      <c r="L56" s="303" t="e">
        <f ca="1">IF((IF($C$144=0,0,$B$144/$C$144*$D$144)+IF($C$143=0,0,$B$143/$C$143*$D$143))*0.024*$H$149&gt;K56,K56,(IF($C$144=0,0,$B$144/$C$144*$D$144)+IF($C$143=0,0,$B$143/$C$143*$D$143))*0.024*$H$149)</f>
        <v>#N/A</v>
      </c>
      <c r="M56" s="291" t="e">
        <f ca="1">'Расчет базового уровня'!P56</f>
        <v>#N/A</v>
      </c>
      <c r="N56" s="303" t="e">
        <f ca="1">IF((IF($C$144=0,0,$B$144/$C$144*$D$144)+IF($C$143=0,0,$B$143/$C$143*$D$143))*0.024*$I$149&gt;M56,M56,(IF($C$144=0,0,$B$144/$C$144*$D$144)+IF($C$143=0,0,$B$143/$C$143*$D$143))*0.024*$I$149)</f>
        <v>#N/A</v>
      </c>
      <c r="O56" s="291" t="e">
        <f ca="1">'Расчет базового уровня'!S56</f>
        <v>#N/A</v>
      </c>
      <c r="P56" s="303" t="e">
        <f ca="1">IF((IF($C$144=0,0,$B$144/$C$144*$D$144)+IF($C$143=0,0,$B$143/$C$143*$D$143))*0.024*$J$149&gt;O56,O56,(IF($C$144=0,0,$B$144/$C$144*$D$144)+IF($C$143=0,0,$B$143/$C$143*$D$143))*0.024*$J$149)</f>
        <v>#N/A</v>
      </c>
      <c r="Q56" s="291">
        <f>'Расчет базового уровня'!V56</f>
        <v>0</v>
      </c>
      <c r="R56" s="303" t="e">
        <f ca="1">IF((IF($C$144=0,0,$B$144/$C$144*$D$144)+IF($C$143=0,0,$B$143/$C$143*$D$143))*0.024*$K$149&gt;Q56,Q56,(IF($C$144=0,0,$B$144/$C$144*$D$144)+IF($C$143=0,0,$B$143/$C$143*$D$143))*0.024*$K$149)</f>
        <v>#N/A</v>
      </c>
      <c r="S56" s="291">
        <f>'Расчет базового уровня'!Y56</f>
        <v>0</v>
      </c>
      <c r="T56" s="303" t="e">
        <f ca="1">IF((IF($C$144=0,0,$B$144/$C$144*$D$144)+IF($C$143=0,0,$B$143/$C$143*$D$143))*0.024*$L$149&gt;S56,S56,(IF($C$144=0,0,$B$144/$C$144*$D$144)+IF($C$143=0,0,$B$143/$C$143*$D$143))*0.024*$L$149)</f>
        <v>#N/A</v>
      </c>
      <c r="U56" s="291">
        <f>'Расчет базового уровня'!AB56</f>
        <v>0</v>
      </c>
      <c r="V56" s="303" t="e">
        <f ca="1">IF((IF($C$144=0,0,$B$144/$C$144*$D$144)+IF($C$143=0,0,$B$143/$C$143*$D$143))*0.024*$M$149&gt;U56,U56,(IF($C$144=0,0,$B$144/$C$144*$D$144)+IF($C$143=0,0,$B$143/$C$143*$D$143))*0.024*$M$149)</f>
        <v>#N/A</v>
      </c>
      <c r="W56" s="291">
        <f>'Расчет базового уровня'!AE56</f>
        <v>0</v>
      </c>
      <c r="X56" s="303" t="e">
        <f ca="1">IF((IF($C$144=0,0,$B$144/$C$144*$D$144)+IF($C$143=0,0,$B$143/$C$143*$D$143))*0.024*$N$149&gt;W56,W56,(IF($C$144=0,0,$B$144/$C$144*$D$144)+IF($C$143=0,0,$B$143/$C$143*$D$143))*0.024*$N$149)</f>
        <v>#N/A</v>
      </c>
      <c r="Y56" s="291">
        <f>'Расчет базового уровня'!AH56</f>
        <v>0</v>
      </c>
      <c r="Z56" s="303" t="e">
        <f ca="1">IF((IF($C$144=0,0,$B$144/$C$144*$D$144)+IF($C$143=0,0,$B$143/$C$143*$D$143))*0.024*$O$149&gt;Y56,Y56,(IF($C$144=0,0,$B$144/$C$144*$D$144)+IF($C$143=0,0,$B$143/$C$143*$D$143))*0.024*$O$149)</f>
        <v>#N/A</v>
      </c>
      <c r="AA56" s="291" t="e">
        <f ca="1">'Расчет базового уровня'!AK56</f>
        <v>#N/A</v>
      </c>
      <c r="AB56" s="303" t="e">
        <f ca="1">IF((IF($C$144=0,0,$B$144/$C$144*$D$144)+IF($C$143=0,0,$B$143/$C$143*$D$143))*0.024*$P$149&gt;AA56,AA56,(IF($C$144=0,0,$B$144/$C$144*$D$144)+IF($C$143=0,0,$B$143/$C$143*$D$143))*0.024*$P$149)</f>
        <v>#N/A</v>
      </c>
      <c r="AC56" s="291" t="e">
        <f ca="1">'Расчет базового уровня'!AN56</f>
        <v>#N/A</v>
      </c>
      <c r="AD56" s="303" t="e">
        <f ca="1">IF((IF($C$144=0,0,$B$144/$C$144*$D$144)+IF($C$143=0,0,$B$143/$C$143*$D$143))*0.024*$Q$149&gt;AC56,AC56,(IF($C$144=0,0,$B$144/$C$144*$D$144)+IF($C$143=0,0,$B$143/$C$143*$D$143))*0.024*$Q$149)</f>
        <v>#N/A</v>
      </c>
      <c r="AE56" s="291" t="e">
        <f ca="1">'Расчет базового уровня'!AQ56</f>
        <v>#N/A</v>
      </c>
      <c r="AF56" s="303" t="e">
        <f ca="1">IF((IF($C$144=0,0,$B$144/$C$144*$D$144)+IF($C$143=0,0,$B$143/$C$143*$D$143))*0.024*$R$149&gt;AE56,AE56,(IF($C$144=0,0,$B$144/$C$144*$D$144)+IF($C$143=0,0,$B$143/$C$143*$D$143))*0.024*$R$149)</f>
        <v>#N/A</v>
      </c>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row>
    <row r="57" spans="1:60" x14ac:dyDescent="0.25">
      <c r="A57" s="275" t="s">
        <v>1303</v>
      </c>
      <c r="B57" s="272" t="s">
        <v>837</v>
      </c>
      <c r="C57" s="276"/>
      <c r="D57" s="276" t="e">
        <f ca="1">C56-D56</f>
        <v>#N/A</v>
      </c>
      <c r="E57" s="50"/>
      <c r="F57" s="50"/>
      <c r="G57" s="275" t="s">
        <v>1303</v>
      </c>
      <c r="H57" s="272" t="s">
        <v>837</v>
      </c>
      <c r="I57" s="276"/>
      <c r="J57" s="276" t="e">
        <f ca="1">I56-J56</f>
        <v>#N/A</v>
      </c>
      <c r="K57" s="276"/>
      <c r="L57" s="276" t="e">
        <f ca="1">K56-L56</f>
        <v>#N/A</v>
      </c>
      <c r="M57" s="276"/>
      <c r="N57" s="276" t="e">
        <f ca="1">M56-N56</f>
        <v>#N/A</v>
      </c>
      <c r="O57" s="276"/>
      <c r="P57" s="276" t="e">
        <f ca="1">O56-P56</f>
        <v>#N/A</v>
      </c>
      <c r="Q57" s="276"/>
      <c r="R57" s="276" t="e">
        <f ca="1">Q56-R56</f>
        <v>#N/A</v>
      </c>
      <c r="S57" s="276"/>
      <c r="T57" s="276" t="e">
        <f ca="1">S56-T56</f>
        <v>#N/A</v>
      </c>
      <c r="U57" s="276"/>
      <c r="V57" s="276" t="e">
        <f ca="1">U56-V56</f>
        <v>#N/A</v>
      </c>
      <c r="W57" s="276"/>
      <c r="X57" s="276" t="e">
        <f ca="1">W56-X56</f>
        <v>#N/A</v>
      </c>
      <c r="Y57" s="276"/>
      <c r="Z57" s="276" t="e">
        <f ca="1">Y56-Z56</f>
        <v>#N/A</v>
      </c>
      <c r="AA57" s="276"/>
      <c r="AB57" s="276" t="e">
        <f ca="1">AA56-AB56</f>
        <v>#N/A</v>
      </c>
      <c r="AC57" s="276"/>
      <c r="AD57" s="276" t="e">
        <f ca="1">AC56-AD56</f>
        <v>#N/A</v>
      </c>
      <c r="AE57" s="276"/>
      <c r="AF57" s="276" t="e">
        <f ca="1">AE56-AF56</f>
        <v>#N/A</v>
      </c>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row>
    <row r="58" spans="1:60" ht="15.75" thickBot="1" x14ac:dyDescent="0.3">
      <c r="A58" s="275" t="s">
        <v>868</v>
      </c>
      <c r="B58" s="277" t="s">
        <v>1165</v>
      </c>
      <c r="C58" s="278"/>
      <c r="D58" s="278" t="e">
        <f ca="1">IF(C56=0,0,D57/C56)</f>
        <v>#N/A</v>
      </c>
      <c r="E58" s="50"/>
      <c r="F58" s="50"/>
      <c r="G58" s="275" t="s">
        <v>868</v>
      </c>
      <c r="H58" s="277" t="s">
        <v>1165</v>
      </c>
      <c r="I58" s="278"/>
      <c r="J58" s="278" t="e">
        <f ca="1">IF(I56=0,0,J57/I56)</f>
        <v>#N/A</v>
      </c>
      <c r="K58" s="278"/>
      <c r="L58" s="278" t="e">
        <f ca="1">IF(K56=0,0,L57/K56)</f>
        <v>#N/A</v>
      </c>
      <c r="M58" s="278"/>
      <c r="N58" s="278" t="e">
        <f ca="1">IF(M56=0,0,N57/M56)</f>
        <v>#N/A</v>
      </c>
      <c r="O58" s="278"/>
      <c r="P58" s="278" t="e">
        <f ca="1">IF(O56=0,0,P57/O56)</f>
        <v>#N/A</v>
      </c>
      <c r="Q58" s="278"/>
      <c r="R58" s="278">
        <f>IF(Q56=0,0,R57/Q56)</f>
        <v>0</v>
      </c>
      <c r="S58" s="278"/>
      <c r="T58" s="278">
        <f>IF(S56=0,0,T57/S56)</f>
        <v>0</v>
      </c>
      <c r="U58" s="278"/>
      <c r="V58" s="278">
        <f>IF(U56=0,0,V57/U56)</f>
        <v>0</v>
      </c>
      <c r="W58" s="278"/>
      <c r="X58" s="278">
        <f>IF(W56=0,0,X57/W56)</f>
        <v>0</v>
      </c>
      <c r="Y58" s="278"/>
      <c r="Z58" s="278">
        <f>IF(Y56=0,0,Z57/Y56)</f>
        <v>0</v>
      </c>
      <c r="AA58" s="278"/>
      <c r="AB58" s="278" t="e">
        <f ca="1">IF(AA56=0,0,AB57/AA56)</f>
        <v>#N/A</v>
      </c>
      <c r="AC58" s="278"/>
      <c r="AD58" s="278" t="e">
        <f ca="1">IF(AC56=0,0,AD57/AC56)</f>
        <v>#N/A</v>
      </c>
      <c r="AE58" s="278"/>
      <c r="AF58" s="278" t="e">
        <f ca="1">IF(AE56=0,0,AF57/AE56)</f>
        <v>#N/A</v>
      </c>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row>
    <row r="59" spans="1:60" ht="27" customHeight="1" x14ac:dyDescent="0.25">
      <c r="A59" s="300" t="s">
        <v>1189</v>
      </c>
      <c r="B59" s="290" t="s">
        <v>837</v>
      </c>
      <c r="C59" s="291" t="e">
        <f ca="1">'Расчет базового уровня'!D59</f>
        <v>#N/A</v>
      </c>
      <c r="D59" s="304" t="e">
        <f ca="1">IF(IF(C145=0,0,B145/C145*D145)*0.024*$D$149&gt;C59,C59,IF(C145=0,0,B145/C145*D145)*0.024*$D$149)</f>
        <v>#VALUE!</v>
      </c>
      <c r="E59" s="50"/>
      <c r="F59" s="50"/>
      <c r="G59" s="302" t="s">
        <v>1189</v>
      </c>
      <c r="H59" s="294" t="s">
        <v>837</v>
      </c>
      <c r="I59" s="291" t="e">
        <f ca="1">'Расчет базового уровня'!J59</f>
        <v>#N/A</v>
      </c>
      <c r="J59" s="305" t="e">
        <f ca="1">IF($C145=0,0,MIN($B145/$C145*$D145*0.024*$G$149,I59))</f>
        <v>#VALUE!</v>
      </c>
      <c r="K59" s="291" t="e">
        <f ca="1">'Расчет базового уровня'!M59</f>
        <v>#N/A</v>
      </c>
      <c r="L59" s="305" t="e">
        <f ca="1">IF($C145=0,0,MIN($B145/$C145*$D145*0.024*$H$149,K59))</f>
        <v>#VALUE!</v>
      </c>
      <c r="M59" s="291" t="e">
        <f ca="1">'Расчет базового уровня'!P59</f>
        <v>#N/A</v>
      </c>
      <c r="N59" s="305" t="e">
        <f ca="1">IF($C145=0,0,MIN($B145/$C145*$D145*0.024*$I$149,M59))</f>
        <v>#VALUE!</v>
      </c>
      <c r="O59" s="291" t="e">
        <f ca="1">'Расчет базового уровня'!S59</f>
        <v>#N/A</v>
      </c>
      <c r="P59" s="305" t="e">
        <f ca="1">IF($C145=0,0,MIN($B145/$C145*$D145*0.024*$J$149,O59))</f>
        <v>#VALUE!</v>
      </c>
      <c r="Q59" s="291">
        <f>'Расчет базового уровня'!V59</f>
        <v>0</v>
      </c>
      <c r="R59" s="305" t="e">
        <f ca="1">IF($C145=0,0,MIN($B145/$C145*$D145*0.024*$K$149,Q59))</f>
        <v>#VALUE!</v>
      </c>
      <c r="S59" s="291">
        <f>'Расчет базового уровня'!Y59</f>
        <v>0</v>
      </c>
      <c r="T59" s="305" t="e">
        <f ca="1">IF($C145=0,0,MIN($B145/$C145*$D145*0.024*$L$149,S59))</f>
        <v>#VALUE!</v>
      </c>
      <c r="U59" s="291">
        <f>'Расчет базового уровня'!AB59</f>
        <v>0</v>
      </c>
      <c r="V59" s="305" t="e">
        <f ca="1">IF($C145=0,0,MIN($B145/$C145*$D145*0.024*$M$149,U59))</f>
        <v>#VALUE!</v>
      </c>
      <c r="W59" s="291">
        <f>'Расчет базового уровня'!AE59</f>
        <v>0</v>
      </c>
      <c r="X59" s="305" t="e">
        <f ca="1">IF($C145=0,0,MIN($B145/$C145*$D145*0.024*$N$149,W59))</f>
        <v>#VALUE!</v>
      </c>
      <c r="Y59" s="291">
        <f>'Расчет базового уровня'!AH59</f>
        <v>0</v>
      </c>
      <c r="Z59" s="305" t="e">
        <f ca="1">IF($C145=0,0,MIN($B145/$C145*$D145*0.024*$O$149,Y59))</f>
        <v>#VALUE!</v>
      </c>
      <c r="AA59" s="291" t="e">
        <f ca="1">'Расчет базового уровня'!AK59</f>
        <v>#N/A</v>
      </c>
      <c r="AB59" s="305" t="e">
        <f ca="1">IF($C145=0,0,MIN($B145/$C145*$D145*0.024*$P$149,AA59))</f>
        <v>#VALUE!</v>
      </c>
      <c r="AC59" s="291" t="e">
        <f ca="1">'Расчет базового уровня'!AN59</f>
        <v>#N/A</v>
      </c>
      <c r="AD59" s="305" t="e">
        <f ca="1">IF($C145=0,0,MIN($B145/$C145*$D145*0.024*$Q$149,AC59))</f>
        <v>#VALUE!</v>
      </c>
      <c r="AE59" s="291" t="e">
        <f ca="1">'Расчет базового уровня'!AQ59</f>
        <v>#N/A</v>
      </c>
      <c r="AF59" s="305" t="e">
        <f ca="1">IF($C145=0,0,MIN($B145/$C145*$D145*0.024*$R$149,AE59))</f>
        <v>#VALUE!</v>
      </c>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1:60" x14ac:dyDescent="0.25">
      <c r="A60" s="275" t="s">
        <v>1303</v>
      </c>
      <c r="B60" s="272" t="s">
        <v>837</v>
      </c>
      <c r="C60" s="276"/>
      <c r="D60" s="276" t="e">
        <f ca="1">C59-D59</f>
        <v>#N/A</v>
      </c>
      <c r="E60" s="50"/>
      <c r="F60" s="50"/>
      <c r="G60" s="275" t="s">
        <v>1303</v>
      </c>
      <c r="H60" s="272" t="s">
        <v>837</v>
      </c>
      <c r="I60" s="276"/>
      <c r="J60" s="276" t="e">
        <f ca="1">I59-J59</f>
        <v>#N/A</v>
      </c>
      <c r="K60" s="276"/>
      <c r="L60" s="276" t="e">
        <f ca="1">K59-L59</f>
        <v>#N/A</v>
      </c>
      <c r="M60" s="276"/>
      <c r="N60" s="276" t="e">
        <f ca="1">M59-N59</f>
        <v>#N/A</v>
      </c>
      <c r="O60" s="276"/>
      <c r="P60" s="276" t="e">
        <f ca="1">O59-P59</f>
        <v>#N/A</v>
      </c>
      <c r="Q60" s="276"/>
      <c r="R60" s="276" t="e">
        <f ca="1">Q59-R59</f>
        <v>#VALUE!</v>
      </c>
      <c r="S60" s="276"/>
      <c r="T60" s="276" t="e">
        <f ca="1">S59-T59</f>
        <v>#VALUE!</v>
      </c>
      <c r="U60" s="276"/>
      <c r="V60" s="276" t="e">
        <f ca="1">U59-V59</f>
        <v>#VALUE!</v>
      </c>
      <c r="W60" s="276"/>
      <c r="X60" s="276" t="e">
        <f ca="1">W59-X59</f>
        <v>#VALUE!</v>
      </c>
      <c r="Y60" s="276"/>
      <c r="Z60" s="276" t="e">
        <f ca="1">Y59-Z59</f>
        <v>#VALUE!</v>
      </c>
      <c r="AA60" s="276"/>
      <c r="AB60" s="276" t="e">
        <f ca="1">AA59-AB59</f>
        <v>#N/A</v>
      </c>
      <c r="AC60" s="276"/>
      <c r="AD60" s="276" t="e">
        <f ca="1">AC59-AD59</f>
        <v>#N/A</v>
      </c>
      <c r="AE60" s="276"/>
      <c r="AF60" s="276" t="e">
        <f ca="1">AE59-AF59</f>
        <v>#N/A</v>
      </c>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1:60" ht="15.75" thickBot="1" x14ac:dyDescent="0.3">
      <c r="A61" s="275" t="s">
        <v>868</v>
      </c>
      <c r="B61" s="277" t="s">
        <v>1165</v>
      </c>
      <c r="C61" s="278"/>
      <c r="D61" s="278" t="e">
        <f ca="1">IF(C59=0,0,D60/C59)</f>
        <v>#N/A</v>
      </c>
      <c r="E61" s="50"/>
      <c r="F61" s="50"/>
      <c r="G61" s="275" t="s">
        <v>868</v>
      </c>
      <c r="H61" s="277" t="s">
        <v>1165</v>
      </c>
      <c r="I61" s="278"/>
      <c r="J61" s="278" t="e">
        <f ca="1">IF(I59=0,0,J60/I59)</f>
        <v>#N/A</v>
      </c>
      <c r="K61" s="278"/>
      <c r="L61" s="278" t="e">
        <f ca="1">IF(K59=0,0,L60/K59)</f>
        <v>#N/A</v>
      </c>
      <c r="M61" s="278"/>
      <c r="N61" s="278" t="e">
        <f ca="1">IF(M59=0,0,N60/M59)</f>
        <v>#N/A</v>
      </c>
      <c r="O61" s="278"/>
      <c r="P61" s="278" t="e">
        <f ca="1">IF(O59=0,0,P60/O59)</f>
        <v>#N/A</v>
      </c>
      <c r="Q61" s="278"/>
      <c r="R61" s="278">
        <f>IF(Q59=0,0,R60/Q59)</f>
        <v>0</v>
      </c>
      <c r="S61" s="278"/>
      <c r="T61" s="278">
        <f>IF(S59=0,0,T60/S59)</f>
        <v>0</v>
      </c>
      <c r="U61" s="278"/>
      <c r="V61" s="278">
        <f>IF(U59=0,0,V60/U59)</f>
        <v>0</v>
      </c>
      <c r="W61" s="278"/>
      <c r="X61" s="278">
        <f>IF(W59=0,0,X60/W59)</f>
        <v>0</v>
      </c>
      <c r="Y61" s="278"/>
      <c r="Z61" s="278">
        <f>IF(Y59=0,0,Z60/Y59)</f>
        <v>0</v>
      </c>
      <c r="AA61" s="278"/>
      <c r="AB61" s="278" t="e">
        <f ca="1">IF(AA59=0,0,AB60/AA59)</f>
        <v>#N/A</v>
      </c>
      <c r="AC61" s="278"/>
      <c r="AD61" s="278" t="e">
        <f ca="1">IF(AC59=0,0,AD60/AC59)</f>
        <v>#N/A</v>
      </c>
      <c r="AE61" s="278"/>
      <c r="AF61" s="278" t="e">
        <f ca="1">IF(AE59=0,0,AF60/AE59)</f>
        <v>#N/A</v>
      </c>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1:60" ht="24.75" customHeight="1" x14ac:dyDescent="0.25">
      <c r="A62" s="297" t="s">
        <v>1182</v>
      </c>
      <c r="B62" s="290" t="s">
        <v>837</v>
      </c>
      <c r="C62" s="291" t="e">
        <f ca="1">'Расчет базового уровня'!D62</f>
        <v>#N/A</v>
      </c>
      <c r="D62" s="292" t="e">
        <f ca="1">IF((D153*D154*'Ввод исходных данных'!$D$22*0.28)*D149*0.024+D192*D156+D163&gt;C62,C62,(D153*D154*'Ввод исходных данных'!$D$22*0.28)*D149*0.024+D192*D156+D163)</f>
        <v>#VALUE!</v>
      </c>
      <c r="E62" s="50"/>
      <c r="F62" s="50"/>
      <c r="G62" s="306" t="s">
        <v>1182</v>
      </c>
      <c r="H62" s="294" t="s">
        <v>837</v>
      </c>
      <c r="I62" s="291" t="e">
        <f ca="1">'Расчет базового уровня'!J62</f>
        <v>#N/A</v>
      </c>
      <c r="J62" s="296" t="e">
        <f ca="1">MIN(I62,($D$153*$D$154*'Ввод исходных данных'!$D$22*0.28)*$G$149*0.024+$G$192*$D$156+$G$163)</f>
        <v>#VALUE!</v>
      </c>
      <c r="K62" s="291" t="e">
        <f ca="1">'Расчет базового уровня'!M62</f>
        <v>#N/A</v>
      </c>
      <c r="L62" s="296" t="e">
        <f ca="1">MIN(K62,($D$153*$D$154*'Ввод исходных данных'!$D$22*0.28)*$H$149*0.024+$H$192*$D$156+$H$163)</f>
        <v>#VALUE!</v>
      </c>
      <c r="M62" s="291" t="e">
        <f ca="1">'Расчет базового уровня'!P62</f>
        <v>#N/A</v>
      </c>
      <c r="N62" s="296" t="e">
        <f ca="1">MIN(M62,($D$153*$D$154*'Ввод исходных данных'!$D$22*0.28)*$I$149*0.024+$I$192*$D$156+$I$163)</f>
        <v>#VALUE!</v>
      </c>
      <c r="O62" s="291" t="e">
        <f ca="1">'Расчет базового уровня'!S62</f>
        <v>#N/A</v>
      </c>
      <c r="P62" s="296" t="e">
        <f ca="1">MIN(O62,($D$153*$D$154*'Ввод исходных данных'!$D$22*0.28)*$J$149*0.024+$J$192*$D$156+$J$163)</f>
        <v>#VALUE!</v>
      </c>
      <c r="Q62" s="291">
        <f>'Расчет базового уровня'!V62</f>
        <v>0</v>
      </c>
      <c r="R62" s="296" t="e">
        <f ca="1">MIN(Q62,($D$153*$D$154*'Ввод исходных данных'!$D$22*0.28)*$K$149*0.024+$K$192*$D$156+$K$163)</f>
        <v>#VALUE!</v>
      </c>
      <c r="S62" s="291">
        <f>'Расчет базового уровня'!Y62</f>
        <v>0</v>
      </c>
      <c r="T62" s="296" t="e">
        <f ca="1">MIN(S62,($D$153*$D$154*'Ввод исходных данных'!$D$22*0.28)*$L$149*0.024+$L$192*$D$156+$L$163)</f>
        <v>#VALUE!</v>
      </c>
      <c r="U62" s="291">
        <f>'Расчет базового уровня'!AB62</f>
        <v>0</v>
      </c>
      <c r="V62" s="296" t="e">
        <f ca="1">MIN(U62,($D$153*$D$154*'Ввод исходных данных'!$D$22*0.28)*$M$149*0.024+$M$192*$D$156+$M$163)</f>
        <v>#VALUE!</v>
      </c>
      <c r="W62" s="291">
        <f>'Расчет базового уровня'!AE62</f>
        <v>0</v>
      </c>
      <c r="X62" s="296" t="e">
        <f ca="1">MIN(W62,($D$153*$D$154*'Ввод исходных данных'!$D$22*0.28)*$N$149*0.024+$N$192*$D$156+$N$163)</f>
        <v>#VALUE!</v>
      </c>
      <c r="Y62" s="291">
        <f>'Расчет базового уровня'!AH62</f>
        <v>0</v>
      </c>
      <c r="Z62" s="296" t="e">
        <f ca="1">MIN(Y62,($D$153*$D$154*'Ввод исходных данных'!$D$22*0.28)*$O$149*0.024+$O$192*$D$156+$O$163)</f>
        <v>#VALUE!</v>
      </c>
      <c r="AA62" s="291">
        <f ca="1">'Расчет базового уровня'!AK62</f>
        <v>0</v>
      </c>
      <c r="AB62" s="296" t="e">
        <f ca="1">MIN(AA62,($D$153*$D$154*'Ввод исходных данных'!$D$22*0.28)*$P$149*0.024+$P$192*$D$156+$P$163)</f>
        <v>#VALUE!</v>
      </c>
      <c r="AC62" s="291">
        <f ca="1">'Расчет базового уровня'!AN62</f>
        <v>0</v>
      </c>
      <c r="AD62" s="296" t="e">
        <f ca="1">MIN(AC62,($D$153*$D$154*'Ввод исходных данных'!$D$22*0.28)*$Q$149*0.024+$Q$192*$D$156+$Q$163)</f>
        <v>#VALUE!</v>
      </c>
      <c r="AE62" s="291">
        <f ca="1">'Расчет базового уровня'!AQ62</f>
        <v>0</v>
      </c>
      <c r="AF62" s="296" t="e">
        <f ca="1">MIN(AE62,($D$153*$D$154*'Ввод исходных данных'!$D$22*0.28)*$R$149*0.024+$R$192*$D$156+$R$163)</f>
        <v>#VALUE!</v>
      </c>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spans="1:60" x14ac:dyDescent="0.25">
      <c r="A63" s="275" t="s">
        <v>1303</v>
      </c>
      <c r="B63" s="272" t="s">
        <v>837</v>
      </c>
      <c r="C63" s="276"/>
      <c r="D63" s="276" t="e">
        <f ca="1">C62-D62</f>
        <v>#N/A</v>
      </c>
      <c r="E63" s="285"/>
      <c r="F63" s="50"/>
      <c r="G63" s="275" t="s">
        <v>1303</v>
      </c>
      <c r="H63" s="272" t="s">
        <v>837</v>
      </c>
      <c r="I63" s="276"/>
      <c r="J63" s="276" t="e">
        <f ca="1">I62-J62</f>
        <v>#N/A</v>
      </c>
      <c r="K63" s="276"/>
      <c r="L63" s="276" t="e">
        <f ca="1">K62-L62</f>
        <v>#N/A</v>
      </c>
      <c r="M63" s="276"/>
      <c r="N63" s="276" t="e">
        <f ca="1">M62-N62</f>
        <v>#N/A</v>
      </c>
      <c r="O63" s="276"/>
      <c r="P63" s="276" t="e">
        <f ca="1">O62-P62</f>
        <v>#N/A</v>
      </c>
      <c r="Q63" s="276"/>
      <c r="R63" s="276" t="e">
        <f ca="1">Q62-R62</f>
        <v>#VALUE!</v>
      </c>
      <c r="S63" s="276"/>
      <c r="T63" s="276" t="e">
        <f ca="1">S62-T62</f>
        <v>#VALUE!</v>
      </c>
      <c r="U63" s="276"/>
      <c r="V63" s="276" t="e">
        <f ca="1">U62-V62</f>
        <v>#VALUE!</v>
      </c>
      <c r="W63" s="276"/>
      <c r="X63" s="276" t="e">
        <f ca="1">W62-X62</f>
        <v>#VALUE!</v>
      </c>
      <c r="Y63" s="276"/>
      <c r="Z63" s="276" t="e">
        <f ca="1">Y62-Z62</f>
        <v>#VALUE!</v>
      </c>
      <c r="AA63" s="276"/>
      <c r="AB63" s="276" t="e">
        <f ca="1">AA62-AB62</f>
        <v>#VALUE!</v>
      </c>
      <c r="AC63" s="276"/>
      <c r="AD63" s="276" t="e">
        <f ca="1">AC62-AD62</f>
        <v>#VALUE!</v>
      </c>
      <c r="AE63" s="276"/>
      <c r="AF63" s="276" t="e">
        <f ca="1">AE62-AF62</f>
        <v>#VALUE!</v>
      </c>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row>
    <row r="64" spans="1:60" ht="15.75" thickBot="1" x14ac:dyDescent="0.3">
      <c r="A64" s="275" t="s">
        <v>868</v>
      </c>
      <c r="B64" s="277" t="s">
        <v>1165</v>
      </c>
      <c r="C64" s="278"/>
      <c r="D64" s="278" t="e">
        <f ca="1">IF(C62=0,0,D63/C62)</f>
        <v>#N/A</v>
      </c>
      <c r="E64" s="50"/>
      <c r="F64" s="50"/>
      <c r="G64" s="275" t="s">
        <v>868</v>
      </c>
      <c r="H64" s="277" t="s">
        <v>1165</v>
      </c>
      <c r="I64" s="278"/>
      <c r="J64" s="278" t="e">
        <f ca="1">IF(I62=0,0,J63/I62)</f>
        <v>#N/A</v>
      </c>
      <c r="K64" s="278"/>
      <c r="L64" s="278" t="e">
        <f ca="1">IF(K62=0,0,L63/K62)</f>
        <v>#N/A</v>
      </c>
      <c r="M64" s="278"/>
      <c r="N64" s="278" t="e">
        <f ca="1">IF(M62=0,0,N63/M62)</f>
        <v>#N/A</v>
      </c>
      <c r="O64" s="278"/>
      <c r="P64" s="278" t="e">
        <f ca="1">IF(O62=0,0,P63/O62)</f>
        <v>#N/A</v>
      </c>
      <c r="Q64" s="278"/>
      <c r="R64" s="278">
        <f>IF(Q62=0,0,R63/Q62)</f>
        <v>0</v>
      </c>
      <c r="S64" s="278"/>
      <c r="T64" s="278">
        <f>IF(S62=0,0,T63/S62)</f>
        <v>0</v>
      </c>
      <c r="U64" s="278"/>
      <c r="V64" s="278">
        <f>IF(U62=0,0,V63/U62)</f>
        <v>0</v>
      </c>
      <c r="W64" s="278"/>
      <c r="X64" s="278">
        <f>IF(W62=0,0,X63/W62)</f>
        <v>0</v>
      </c>
      <c r="Y64" s="278"/>
      <c r="Z64" s="278">
        <f>IF(Y62=0,0,Z63/Y62)</f>
        <v>0</v>
      </c>
      <c r="AA64" s="278"/>
      <c r="AB64" s="278">
        <f ca="1">IF(AA62=0,0,AB63/AA62)</f>
        <v>0</v>
      </c>
      <c r="AC64" s="278"/>
      <c r="AD64" s="278">
        <f ca="1">IF(AC62=0,0,AD63/AC62)</f>
        <v>0</v>
      </c>
      <c r="AE64" s="278"/>
      <c r="AF64" s="278">
        <f ca="1">IF(AE62=0,0,AF63/AE62)</f>
        <v>0</v>
      </c>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row>
    <row r="65" spans="1:60" ht="45.75" customHeight="1" x14ac:dyDescent="0.25">
      <c r="A65" s="297" t="s">
        <v>1190</v>
      </c>
      <c r="B65" s="290" t="s">
        <v>837</v>
      </c>
      <c r="C65" s="291" t="e">
        <f ca="1">'Расчет базового уровня'!D65</f>
        <v>#N/A</v>
      </c>
      <c r="D65" s="292" t="e">
        <f ca="1">IF((D62+D38-D71*$D$158)*($D$160-1)&gt;C65,C65,(D62+D38-D71*$D$158)*($D$160-1))</f>
        <v>#VALUE!</v>
      </c>
      <c r="E65" s="50"/>
      <c r="F65" s="50"/>
      <c r="G65" s="307" t="s">
        <v>1190</v>
      </c>
      <c r="H65" s="308" t="s">
        <v>837</v>
      </c>
      <c r="I65" s="291" t="e">
        <f ca="1">'Расчет базового уровня'!J65</f>
        <v>#N/A</v>
      </c>
      <c r="J65" s="309" t="e">
        <f ca="1">MIN(I65,(J62+J38-J71*$D$158)*($D$160-1))</f>
        <v>#VALUE!</v>
      </c>
      <c r="K65" s="291" t="e">
        <f ca="1">'Расчет базового уровня'!M65</f>
        <v>#N/A</v>
      </c>
      <c r="L65" s="309" t="e">
        <f ca="1">MIN(K65,(L62+L38-L71*$D$158)*($D$160-1))</f>
        <v>#VALUE!</v>
      </c>
      <c r="M65" s="291" t="e">
        <f ca="1">'Расчет базового уровня'!P65</f>
        <v>#N/A</v>
      </c>
      <c r="N65" s="309" t="e">
        <f ca="1">MIN(M65,(N62+N38-N71*$D$158)*($D$160-1))</f>
        <v>#VALUE!</v>
      </c>
      <c r="O65" s="291" t="e">
        <f ca="1">'Расчет базового уровня'!S65</f>
        <v>#N/A</v>
      </c>
      <c r="P65" s="309" t="e">
        <f ca="1">MIN(O65,(P62+P38-P71*$D$158)*($D$160-1))</f>
        <v>#VALUE!</v>
      </c>
      <c r="Q65" s="291">
        <f>'Расчет базового уровня'!V65</f>
        <v>0</v>
      </c>
      <c r="R65" s="309" t="e">
        <f ca="1">MIN(Q65,(R62+R38-R71*$D$158)*($D$160-1))</f>
        <v>#VALUE!</v>
      </c>
      <c r="S65" s="291">
        <f>'Расчет базового уровня'!Y65</f>
        <v>0</v>
      </c>
      <c r="T65" s="309" t="e">
        <f ca="1">MIN(S65,(T62+T38-T71*$D$158)*($D$160-1))</f>
        <v>#VALUE!</v>
      </c>
      <c r="U65" s="291">
        <f>'Расчет базового уровня'!AB65</f>
        <v>0</v>
      </c>
      <c r="V65" s="309" t="e">
        <f ca="1">MIN(U65,(V62+V38-V71*$D$158)*($D$160-1))</f>
        <v>#VALUE!</v>
      </c>
      <c r="W65" s="291">
        <f>'Расчет базового уровня'!AE65</f>
        <v>0</v>
      </c>
      <c r="X65" s="309" t="e">
        <f ca="1">MIN(W65,(X62+X38-X71*$D$158)*($D$160-1))</f>
        <v>#VALUE!</v>
      </c>
      <c r="Y65" s="291">
        <f>'Расчет базового уровня'!AH65</f>
        <v>0</v>
      </c>
      <c r="Z65" s="309" t="e">
        <f ca="1">MIN(Y65,(Z62+Z38-Z71*$D$158)*($D$160-1))</f>
        <v>#VALUE!</v>
      </c>
      <c r="AA65" s="291">
        <f ca="1">'Расчет базового уровня'!AK65</f>
        <v>0</v>
      </c>
      <c r="AB65" s="309" t="e">
        <f ca="1">MIN(AA65,(AB62+AB38-AB71*$D$158)*($D$160-1))</f>
        <v>#VALUE!</v>
      </c>
      <c r="AC65" s="291">
        <f ca="1">'Расчет базового уровня'!AN65</f>
        <v>0</v>
      </c>
      <c r="AD65" s="309" t="e">
        <f ca="1">MIN(AC65,(AD62+AD38-AD71*$D$158)*($D$160-1))</f>
        <v>#VALUE!</v>
      </c>
      <c r="AE65" s="291">
        <f ca="1">'Расчет базового уровня'!AQ65</f>
        <v>0</v>
      </c>
      <c r="AF65" s="309" t="e">
        <f ca="1">MIN(AE65,(AF62+AF38-AF71*$D$158)*($D$160-1))</f>
        <v>#VALUE!</v>
      </c>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row>
    <row r="66" spans="1:60" x14ac:dyDescent="0.25">
      <c r="A66" s="275" t="s">
        <v>1303</v>
      </c>
      <c r="B66" s="272" t="s">
        <v>837</v>
      </c>
      <c r="C66" s="276"/>
      <c r="D66" s="276" t="e">
        <f ca="1">C65-D65</f>
        <v>#N/A</v>
      </c>
      <c r="E66" s="50"/>
      <c r="F66" s="50"/>
      <c r="G66" s="275" t="s">
        <v>1303</v>
      </c>
      <c r="H66" s="272" t="s">
        <v>837</v>
      </c>
      <c r="I66" s="276"/>
      <c r="J66" s="276" t="e">
        <f ca="1">I65-J65</f>
        <v>#N/A</v>
      </c>
      <c r="K66" s="276"/>
      <c r="L66" s="276" t="e">
        <f ca="1">K65-L65</f>
        <v>#N/A</v>
      </c>
      <c r="M66" s="276"/>
      <c r="N66" s="276" t="e">
        <f ca="1">M65-N65</f>
        <v>#N/A</v>
      </c>
      <c r="O66" s="276"/>
      <c r="P66" s="276" t="e">
        <f ca="1">O65-P65</f>
        <v>#N/A</v>
      </c>
      <c r="Q66" s="276"/>
      <c r="R66" s="276" t="e">
        <f ca="1">Q65-R65</f>
        <v>#VALUE!</v>
      </c>
      <c r="S66" s="276"/>
      <c r="T66" s="276" t="e">
        <f ca="1">S65-T65</f>
        <v>#VALUE!</v>
      </c>
      <c r="U66" s="276"/>
      <c r="V66" s="276" t="e">
        <f ca="1">U65-V65</f>
        <v>#VALUE!</v>
      </c>
      <c r="W66" s="276"/>
      <c r="X66" s="276" t="e">
        <f ca="1">W65-X65</f>
        <v>#VALUE!</v>
      </c>
      <c r="Y66" s="276"/>
      <c r="Z66" s="276" t="e">
        <f ca="1">Y65-Z65</f>
        <v>#VALUE!</v>
      </c>
      <c r="AA66" s="276"/>
      <c r="AB66" s="276" t="e">
        <f ca="1">AA65-AB65</f>
        <v>#VALUE!</v>
      </c>
      <c r="AC66" s="276"/>
      <c r="AD66" s="276" t="e">
        <f ca="1">AC65-AD65</f>
        <v>#VALUE!</v>
      </c>
      <c r="AE66" s="276"/>
      <c r="AF66" s="276" t="e">
        <f ca="1">AE65-AF65</f>
        <v>#VALUE!</v>
      </c>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row>
    <row r="67" spans="1:60" ht="18" customHeight="1" thickBot="1" x14ac:dyDescent="0.3">
      <c r="A67" s="275" t="s">
        <v>868</v>
      </c>
      <c r="B67" s="277" t="s">
        <v>1165</v>
      </c>
      <c r="C67" s="278"/>
      <c r="D67" s="278" t="e">
        <f ca="1">IF(C65=0,0,D66/C65)</f>
        <v>#N/A</v>
      </c>
      <c r="E67" s="50"/>
      <c r="F67" s="50"/>
      <c r="G67" s="275" t="s">
        <v>868</v>
      </c>
      <c r="H67" s="277" t="s">
        <v>1165</v>
      </c>
      <c r="I67" s="278"/>
      <c r="J67" s="278" t="e">
        <f ca="1">IF(I65=0,0,J66/I65)</f>
        <v>#N/A</v>
      </c>
      <c r="K67" s="278"/>
      <c r="L67" s="278" t="e">
        <f ca="1">IF(K65=0,0,L66/K65)</f>
        <v>#N/A</v>
      </c>
      <c r="M67" s="278"/>
      <c r="N67" s="278" t="e">
        <f ca="1">IF(M65=0,0,N66/M65)</f>
        <v>#N/A</v>
      </c>
      <c r="O67" s="278"/>
      <c r="P67" s="278" t="e">
        <f ca="1">IF(O65=0,0,P66/O65)</f>
        <v>#N/A</v>
      </c>
      <c r="Q67" s="278"/>
      <c r="R67" s="278">
        <f>IF(Q65=0,0,R66/Q65)</f>
        <v>0</v>
      </c>
      <c r="S67" s="278"/>
      <c r="T67" s="278">
        <f>IF(S65=0,0,T66/S65)</f>
        <v>0</v>
      </c>
      <c r="U67" s="278"/>
      <c r="V67" s="278">
        <f>IF(U65=0,0,V66/U65)</f>
        <v>0</v>
      </c>
      <c r="W67" s="278"/>
      <c r="X67" s="278">
        <f>IF(W65=0,0,X66/W65)</f>
        <v>0</v>
      </c>
      <c r="Y67" s="278"/>
      <c r="Z67" s="278">
        <f>IF(Y65=0,0,Z66/Y65)</f>
        <v>0</v>
      </c>
      <c r="AA67" s="278"/>
      <c r="AB67" s="278">
        <f ca="1">IF(AA65=0,0,AB66/AA65)</f>
        <v>0</v>
      </c>
      <c r="AC67" s="278"/>
      <c r="AD67" s="278">
        <f ca="1">IF(AC65=0,0,AD66/AC65)</f>
        <v>0</v>
      </c>
      <c r="AE67" s="278"/>
      <c r="AF67" s="278">
        <f ca="1">IF(AE65=0,0,AF66/AE65)</f>
        <v>0</v>
      </c>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row>
    <row r="68" spans="1:60" ht="45.6" customHeight="1" x14ac:dyDescent="0.25">
      <c r="A68" s="297" t="s">
        <v>1184</v>
      </c>
      <c r="B68" s="290" t="s">
        <v>837</v>
      </c>
      <c r="C68" s="291" t="e">
        <f ca="1">'Расчет базового уровня'!D68</f>
        <v>#DIV/0!</v>
      </c>
      <c r="D68" s="310" t="e">
        <f ca="1">IF(D71*(1-$D$158)&gt;C68,C68,D71*(1-$D$158))</f>
        <v>#DIV/0!</v>
      </c>
      <c r="E68" s="50"/>
      <c r="F68" s="50"/>
      <c r="G68" s="307" t="s">
        <v>1184</v>
      </c>
      <c r="H68" s="308" t="s">
        <v>837</v>
      </c>
      <c r="I68" s="291" t="e">
        <f ca="1">'Расчет базового уровня'!J68</f>
        <v>#DIV/0!</v>
      </c>
      <c r="J68" s="311" t="e">
        <f ca="1">MIN(I68,J71*(1-$D$158))</f>
        <v>#DIV/0!</v>
      </c>
      <c r="K68" s="291" t="e">
        <f ca="1">'Расчет базового уровня'!M68</f>
        <v>#DIV/0!</v>
      </c>
      <c r="L68" s="311" t="e">
        <f ca="1">MIN(K68,L71*(1-$D$158))</f>
        <v>#DIV/0!</v>
      </c>
      <c r="M68" s="291" t="e">
        <f ca="1">'Расчет базового уровня'!P68</f>
        <v>#DIV/0!</v>
      </c>
      <c r="N68" s="311" t="e">
        <f ca="1">MIN(M68,N71*(1-$D$158))</f>
        <v>#DIV/0!</v>
      </c>
      <c r="O68" s="291" t="e">
        <f ca="1">'Расчет базового уровня'!S68</f>
        <v>#DIV/0!</v>
      </c>
      <c r="P68" s="311" t="e">
        <f ca="1">MIN(O68,P71*(1-$D$158))</f>
        <v>#DIV/0!</v>
      </c>
      <c r="Q68" s="291">
        <f>'Расчет базового уровня'!V68</f>
        <v>0</v>
      </c>
      <c r="R68" s="311">
        <f>MIN(Q68,R71*(1-$D$158))</f>
        <v>0</v>
      </c>
      <c r="S68" s="291">
        <f>'Расчет базового уровня'!Y68</f>
        <v>0</v>
      </c>
      <c r="T68" s="311">
        <f>MIN(S68,T71*(1-$D$158))</f>
        <v>0</v>
      </c>
      <c r="U68" s="291">
        <f>'Расчет базового уровня'!AB68</f>
        <v>0</v>
      </c>
      <c r="V68" s="311">
        <f>MIN(U68,V71*(1-$D$158))</f>
        <v>0</v>
      </c>
      <c r="W68" s="291">
        <f>'Расчет базового уровня'!AE68</f>
        <v>0</v>
      </c>
      <c r="X68" s="311">
        <f>MIN(W68,X71*(1-$D$158))</f>
        <v>0</v>
      </c>
      <c r="Y68" s="291">
        <f>'Расчет базового уровня'!AH68</f>
        <v>0</v>
      </c>
      <c r="Z68" s="311">
        <f>MIN(Y68,Z71*(1-$D$158))</f>
        <v>0</v>
      </c>
      <c r="AA68" s="291">
        <f ca="1">'Расчет базового уровня'!AK68</f>
        <v>0</v>
      </c>
      <c r="AB68" s="311">
        <f ca="1">MIN(AA68,AB71*(1-$D$158))</f>
        <v>0</v>
      </c>
      <c r="AC68" s="291">
        <f ca="1">'Расчет базового уровня'!AN68</f>
        <v>0</v>
      </c>
      <c r="AD68" s="311">
        <f ca="1">MIN(AC68,AD71*(1-$D$158))</f>
        <v>0</v>
      </c>
      <c r="AE68" s="291">
        <f ca="1">'Расчет базового уровня'!AQ68</f>
        <v>0</v>
      </c>
      <c r="AF68" s="311">
        <f ca="1">MIN(AE68,AF71*(1-$D$158))</f>
        <v>0</v>
      </c>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row>
    <row r="69" spans="1:60" x14ac:dyDescent="0.25">
      <c r="A69" s="275" t="s">
        <v>1303</v>
      </c>
      <c r="B69" s="272" t="s">
        <v>837</v>
      </c>
      <c r="C69" s="276"/>
      <c r="D69" s="276" t="e">
        <f ca="1">C68-D68</f>
        <v>#DIV/0!</v>
      </c>
      <c r="E69" s="50"/>
      <c r="F69" s="50"/>
      <c r="G69" s="275" t="s">
        <v>1303</v>
      </c>
      <c r="H69" s="272" t="s">
        <v>837</v>
      </c>
      <c r="I69" s="276"/>
      <c r="J69" s="276" t="e">
        <f ca="1">I68-J68</f>
        <v>#DIV/0!</v>
      </c>
      <c r="K69" s="276"/>
      <c r="L69" s="276" t="e">
        <f ca="1">K68-L68</f>
        <v>#DIV/0!</v>
      </c>
      <c r="M69" s="276"/>
      <c r="N69" s="276" t="e">
        <f ca="1">M68-N68</f>
        <v>#DIV/0!</v>
      </c>
      <c r="O69" s="276"/>
      <c r="P69" s="276" t="e">
        <f ca="1">O68-P68</f>
        <v>#DIV/0!</v>
      </c>
      <c r="Q69" s="276"/>
      <c r="R69" s="276">
        <f>Q68-R68</f>
        <v>0</v>
      </c>
      <c r="S69" s="276"/>
      <c r="T69" s="276">
        <f>S68-T68</f>
        <v>0</v>
      </c>
      <c r="U69" s="276"/>
      <c r="V69" s="276">
        <f>U68-V68</f>
        <v>0</v>
      </c>
      <c r="W69" s="276"/>
      <c r="X69" s="276">
        <f>W68-X68</f>
        <v>0</v>
      </c>
      <c r="Y69" s="276"/>
      <c r="Z69" s="276">
        <f>Y68-Z68</f>
        <v>0</v>
      </c>
      <c r="AA69" s="276"/>
      <c r="AB69" s="276">
        <f ca="1">AA68-AB68</f>
        <v>0</v>
      </c>
      <c r="AC69" s="276"/>
      <c r="AD69" s="276">
        <f ca="1">AC68-AD68</f>
        <v>0</v>
      </c>
      <c r="AE69" s="276"/>
      <c r="AF69" s="276">
        <f ca="1">AE68-AF68</f>
        <v>0</v>
      </c>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row>
    <row r="70" spans="1:60" ht="15" customHeight="1" thickBot="1" x14ac:dyDescent="0.3">
      <c r="A70" s="275" t="s">
        <v>868</v>
      </c>
      <c r="B70" s="277" t="s">
        <v>1165</v>
      </c>
      <c r="C70" s="278"/>
      <c r="D70" s="278" t="e">
        <f ca="1">IF(C68=0,0,D69/C68)</f>
        <v>#DIV/0!</v>
      </c>
      <c r="E70" s="50"/>
      <c r="F70" s="50"/>
      <c r="G70" s="275" t="s">
        <v>868</v>
      </c>
      <c r="H70" s="277" t="s">
        <v>1165</v>
      </c>
      <c r="I70" s="278"/>
      <c r="J70" s="278" t="e">
        <f ca="1">IF(I68=0,0,J69/I68)</f>
        <v>#DIV/0!</v>
      </c>
      <c r="K70" s="278"/>
      <c r="L70" s="278" t="e">
        <f ca="1">IF(K68=0,0,L69/K68)</f>
        <v>#DIV/0!</v>
      </c>
      <c r="M70" s="278"/>
      <c r="N70" s="278" t="e">
        <f ca="1">IF(M68=0,0,N69/M68)</f>
        <v>#DIV/0!</v>
      </c>
      <c r="O70" s="278"/>
      <c r="P70" s="278" t="e">
        <f ca="1">IF(O68=0,0,P69/O68)</f>
        <v>#DIV/0!</v>
      </c>
      <c r="Q70" s="278"/>
      <c r="R70" s="278">
        <f>IF(Q68=0,0,R69/Q68)</f>
        <v>0</v>
      </c>
      <c r="S70" s="278"/>
      <c r="T70" s="278">
        <f>IF(S68=0,0,T69/S68)</f>
        <v>0</v>
      </c>
      <c r="U70" s="278"/>
      <c r="V70" s="278">
        <f>IF(U68=0,0,V69/U68)</f>
        <v>0</v>
      </c>
      <c r="W70" s="278"/>
      <c r="X70" s="278">
        <f>IF(W68=0,0,X69/W68)</f>
        <v>0</v>
      </c>
      <c r="Y70" s="278"/>
      <c r="Z70" s="278">
        <f>IF(Y68=0,0,Z69/Y68)</f>
        <v>0</v>
      </c>
      <c r="AA70" s="278"/>
      <c r="AB70" s="278">
        <f ca="1">IF(AA68=0,0,AB69/AA68)</f>
        <v>0</v>
      </c>
      <c r="AC70" s="278"/>
      <c r="AD70" s="278">
        <f ca="1">IF(AC68=0,0,AD69/AC68)</f>
        <v>0</v>
      </c>
      <c r="AE70" s="278"/>
      <c r="AF70" s="278">
        <f ca="1">IF(AE68=0,0,AF69/AE68)</f>
        <v>0</v>
      </c>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row>
    <row r="71" spans="1:60" ht="26.1" customHeight="1" x14ac:dyDescent="0.25">
      <c r="A71" s="312" t="s">
        <v>1186</v>
      </c>
      <c r="B71" s="313" t="s">
        <v>837</v>
      </c>
      <c r="C71" s="291" t="e">
        <f>'Расчет базового уровня'!D71</f>
        <v>#DIV/0!</v>
      </c>
      <c r="D71" s="314" t="e">
        <f>C71</f>
        <v>#DIV/0!</v>
      </c>
      <c r="E71" s="50"/>
      <c r="F71" s="50"/>
      <c r="G71" s="306" t="s">
        <v>1186</v>
      </c>
      <c r="H71" s="308" t="s">
        <v>837</v>
      </c>
      <c r="I71" s="291">
        <f>'Расчет базового уровня'!J71</f>
        <v>0</v>
      </c>
      <c r="J71" s="315">
        <f>I71</f>
        <v>0</v>
      </c>
      <c r="K71" s="291">
        <f>'Расчет базового уровня'!M71</f>
        <v>0</v>
      </c>
      <c r="L71" s="315">
        <f>K71</f>
        <v>0</v>
      </c>
      <c r="M71" s="291">
        <f>'Расчет базового уровня'!P71</f>
        <v>0</v>
      </c>
      <c r="N71" s="315">
        <f>M71</f>
        <v>0</v>
      </c>
      <c r="O71" s="291">
        <f>'Расчет базового уровня'!S71</f>
        <v>0</v>
      </c>
      <c r="P71" s="316">
        <f>O71</f>
        <v>0</v>
      </c>
      <c r="Q71" s="291">
        <f>'Расчет базового уровня'!V71</f>
        <v>0</v>
      </c>
      <c r="R71" s="303">
        <f>Q71</f>
        <v>0</v>
      </c>
      <c r="S71" s="291">
        <f>'Расчет базового уровня'!Y71</f>
        <v>0</v>
      </c>
      <c r="T71" s="305">
        <f>S71</f>
        <v>0</v>
      </c>
      <c r="U71" s="291">
        <f>'Расчет базового уровня'!AB71</f>
        <v>0</v>
      </c>
      <c r="V71" s="317">
        <f>U71</f>
        <v>0</v>
      </c>
      <c r="W71" s="291">
        <f>'Расчет базового уровня'!AE71</f>
        <v>0</v>
      </c>
      <c r="X71" s="318">
        <f>W71</f>
        <v>0</v>
      </c>
      <c r="Y71" s="291">
        <f>'Расчет базового уровня'!AH71</f>
        <v>0</v>
      </c>
      <c r="Z71" s="317">
        <f>Y71</f>
        <v>0</v>
      </c>
      <c r="AA71" s="291">
        <f>'Расчет базового уровня'!AK71</f>
        <v>0</v>
      </c>
      <c r="AB71" s="315">
        <f>AA71</f>
        <v>0</v>
      </c>
      <c r="AC71" s="291">
        <f>'Расчет базового уровня'!AN71</f>
        <v>0</v>
      </c>
      <c r="AD71" s="315">
        <f>AC71</f>
        <v>0</v>
      </c>
      <c r="AE71" s="291">
        <f>'Расчет базового уровня'!AQ71</f>
        <v>0</v>
      </c>
      <c r="AF71" s="319">
        <f>AE71</f>
        <v>0</v>
      </c>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row>
    <row r="72" spans="1:60" ht="17.100000000000001" customHeight="1" thickBot="1" x14ac:dyDescent="0.3">
      <c r="A72" s="320" t="s">
        <v>868</v>
      </c>
      <c r="B72" s="321" t="s">
        <v>1168</v>
      </c>
      <c r="C72" s="322" t="e">
        <f>0.86*C71/1000</f>
        <v>#DIV/0!</v>
      </c>
      <c r="D72" s="323" t="e">
        <f>C72</f>
        <v>#DIV/0!</v>
      </c>
      <c r="E72" s="50"/>
      <c r="F72" s="50"/>
      <c r="G72" s="324" t="s">
        <v>868</v>
      </c>
      <c r="H72" s="325" t="s">
        <v>1168</v>
      </c>
      <c r="I72" s="326"/>
      <c r="J72" s="327">
        <f>0.86*J71/1000</f>
        <v>0</v>
      </c>
      <c r="K72" s="326"/>
      <c r="L72" s="327">
        <f>0.86*L71/1000</f>
        <v>0</v>
      </c>
      <c r="M72" s="326"/>
      <c r="N72" s="328">
        <f>0.86*N71/1000</f>
        <v>0</v>
      </c>
      <c r="O72" s="326"/>
      <c r="P72" s="329">
        <f>0.86*P71/1000</f>
        <v>0</v>
      </c>
      <c r="Q72" s="326"/>
      <c r="R72" s="330">
        <f>0.86*R71/1000</f>
        <v>0</v>
      </c>
      <c r="S72" s="326"/>
      <c r="T72" s="331">
        <f>0.86*T71/1000</f>
        <v>0</v>
      </c>
      <c r="U72" s="326"/>
      <c r="V72" s="329">
        <f>0.86*V71/1000</f>
        <v>0</v>
      </c>
      <c r="W72" s="326"/>
      <c r="X72" s="332">
        <f>0.86*X71/1000</f>
        <v>0</v>
      </c>
      <c r="Y72" s="326"/>
      <c r="Z72" s="332">
        <f>0.86*Z71/1000</f>
        <v>0</v>
      </c>
      <c r="AA72" s="326"/>
      <c r="AB72" s="331">
        <f>0.86*AB71/1000</f>
        <v>0</v>
      </c>
      <c r="AC72" s="326"/>
      <c r="AD72" s="331">
        <f>0.86*AD71/1000</f>
        <v>0</v>
      </c>
      <c r="AE72" s="326"/>
      <c r="AF72" s="333">
        <f>0.86*AF71/1000</f>
        <v>0</v>
      </c>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row>
    <row r="73" spans="1:60" ht="8.25" customHeight="1" x14ac:dyDescent="0.25">
      <c r="A73" s="297"/>
      <c r="B73" s="290"/>
      <c r="C73" s="291"/>
      <c r="D73" s="334"/>
      <c r="E73" s="50"/>
      <c r="F73" s="50"/>
      <c r="G73" s="306"/>
      <c r="H73" s="294"/>
      <c r="I73" s="291"/>
      <c r="J73" s="335"/>
      <c r="K73" s="291"/>
      <c r="L73" s="335"/>
      <c r="M73" s="291"/>
      <c r="N73" s="335"/>
      <c r="O73" s="291"/>
      <c r="P73" s="335"/>
      <c r="Q73" s="291"/>
      <c r="R73" s="336"/>
      <c r="S73" s="291"/>
      <c r="T73" s="335"/>
      <c r="U73" s="291"/>
      <c r="V73" s="335"/>
      <c r="W73" s="291"/>
      <c r="X73" s="337"/>
      <c r="Y73" s="291"/>
      <c r="Z73" s="338"/>
      <c r="AA73" s="291"/>
      <c r="AB73" s="335"/>
      <c r="AC73" s="291"/>
      <c r="AD73" s="335"/>
      <c r="AE73" s="291"/>
      <c r="AF73" s="335"/>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row>
    <row r="74" spans="1:60" ht="8.25" customHeight="1" x14ac:dyDescent="0.25">
      <c r="A74" s="320"/>
      <c r="B74" s="321"/>
      <c r="C74" s="339"/>
      <c r="D74" s="340"/>
      <c r="E74" s="50"/>
      <c r="F74" s="50"/>
      <c r="G74" s="341"/>
      <c r="H74" s="342"/>
      <c r="I74" s="343"/>
      <c r="J74" s="344"/>
      <c r="K74" s="343"/>
      <c r="L74" s="344"/>
      <c r="M74" s="343"/>
      <c r="N74" s="344"/>
      <c r="O74" s="343"/>
      <c r="P74" s="344"/>
      <c r="Q74" s="343"/>
      <c r="R74" s="345"/>
      <c r="S74" s="343"/>
      <c r="T74" s="344"/>
      <c r="U74" s="343"/>
      <c r="V74" s="344"/>
      <c r="W74" s="343"/>
      <c r="X74" s="344"/>
      <c r="Y74" s="343"/>
      <c r="Z74" s="346"/>
      <c r="AA74" s="343"/>
      <c r="AB74" s="344"/>
      <c r="AC74" s="343"/>
      <c r="AD74" s="344"/>
      <c r="AE74" s="343"/>
      <c r="AF74" s="344"/>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row>
    <row r="75" spans="1:60" ht="8.25" customHeight="1" thickBot="1" x14ac:dyDescent="0.3">
      <c r="A75" s="347"/>
      <c r="B75" s="348"/>
      <c r="C75" s="349"/>
      <c r="D75" s="340"/>
      <c r="E75" s="50"/>
      <c r="F75" s="50"/>
      <c r="G75" s="324"/>
      <c r="H75" s="350"/>
      <c r="I75" s="351"/>
      <c r="J75" s="352"/>
      <c r="K75" s="351"/>
      <c r="L75" s="352"/>
      <c r="M75" s="351"/>
      <c r="N75" s="353"/>
      <c r="O75" s="351"/>
      <c r="P75" s="352"/>
      <c r="Q75" s="351"/>
      <c r="R75" s="354"/>
      <c r="S75" s="351"/>
      <c r="T75" s="352"/>
      <c r="U75" s="351"/>
      <c r="V75" s="352"/>
      <c r="W75" s="351"/>
      <c r="X75" s="344"/>
      <c r="Y75" s="351"/>
      <c r="Z75" s="346"/>
      <c r="AA75" s="351"/>
      <c r="AB75" s="352"/>
      <c r="AC75" s="351"/>
      <c r="AD75" s="352"/>
      <c r="AE75" s="351"/>
      <c r="AF75" s="352"/>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row>
    <row r="76" spans="1:60" ht="24.75" customHeight="1" x14ac:dyDescent="0.25">
      <c r="A76" s="312" t="s">
        <v>1192</v>
      </c>
      <c r="B76" s="313" t="s">
        <v>1174</v>
      </c>
      <c r="C76" s="291" t="e">
        <f ca="1">'Расчет базового уровня'!D76</f>
        <v>#DIV/0!</v>
      </c>
      <c r="D76" s="355" t="e">
        <f ca="1">D35/('Ввод исходных данных'!$G$56+'Ввод исходных данных'!$D$23)</f>
        <v>#N/A</v>
      </c>
      <c r="E76" s="50"/>
      <c r="F76" s="50"/>
      <c r="G76" s="307"/>
      <c r="H76" s="308"/>
      <c r="I76" s="291"/>
      <c r="J76" s="356"/>
      <c r="K76" s="291"/>
      <c r="L76" s="357"/>
      <c r="M76" s="291"/>
      <c r="N76" s="335"/>
      <c r="O76" s="291"/>
      <c r="P76" s="357"/>
      <c r="Q76" s="291"/>
      <c r="R76" s="335"/>
      <c r="S76" s="291"/>
      <c r="T76" s="358"/>
      <c r="U76" s="291"/>
      <c r="V76" s="357"/>
      <c r="W76" s="291"/>
      <c r="X76" s="337"/>
      <c r="Y76" s="291"/>
      <c r="Z76" s="338"/>
      <c r="AA76" s="291"/>
      <c r="AB76" s="358"/>
      <c r="AC76" s="291"/>
      <c r="AD76" s="335"/>
      <c r="AE76" s="291"/>
      <c r="AF76" s="358"/>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row>
    <row r="77" spans="1:60" ht="15.75" thickBot="1" x14ac:dyDescent="0.3">
      <c r="A77" s="347" t="s">
        <v>868</v>
      </c>
      <c r="B77" s="359" t="s">
        <v>1193</v>
      </c>
      <c r="C77" s="360" t="e">
        <f ca="1">C76*0.86/1000</f>
        <v>#DIV/0!</v>
      </c>
      <c r="D77" s="361" t="e">
        <f ca="1">D76*0.86/1000</f>
        <v>#N/A</v>
      </c>
      <c r="E77" s="50"/>
      <c r="F77" s="50"/>
      <c r="G77" s="324"/>
      <c r="H77" s="362"/>
      <c r="I77" s="363"/>
      <c r="J77" s="364"/>
      <c r="K77" s="363"/>
      <c r="L77" s="365"/>
      <c r="M77" s="363"/>
      <c r="N77" s="366"/>
      <c r="O77" s="363"/>
      <c r="P77" s="365"/>
      <c r="Q77" s="363"/>
      <c r="R77" s="352"/>
      <c r="S77" s="363"/>
      <c r="T77" s="352"/>
      <c r="U77" s="363"/>
      <c r="V77" s="346"/>
      <c r="W77" s="363"/>
      <c r="X77" s="352"/>
      <c r="Y77" s="363"/>
      <c r="Z77" s="346"/>
      <c r="AA77" s="363"/>
      <c r="AB77" s="352"/>
      <c r="AC77" s="363"/>
      <c r="AD77" s="363"/>
      <c r="AE77" s="363"/>
      <c r="AF77" s="352"/>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row>
    <row r="78" spans="1:60"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row>
    <row r="79" spans="1:60" ht="84.95" customHeight="1" x14ac:dyDescent="0.25">
      <c r="A79" s="367" t="s">
        <v>1180</v>
      </c>
      <c r="B79" s="368" t="s">
        <v>1182</v>
      </c>
      <c r="C79" s="368" t="s">
        <v>1266</v>
      </c>
      <c r="D79" s="368" t="s">
        <v>1184</v>
      </c>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row>
    <row r="80" spans="1:60" x14ac:dyDescent="0.25">
      <c r="A80" s="369" t="e">
        <f ca="1">D38</f>
        <v>#N/A</v>
      </c>
      <c r="B80" s="370" t="e">
        <f ca="1">D62</f>
        <v>#VALUE!</v>
      </c>
      <c r="C80" s="370" t="e">
        <f ca="1">D65</f>
        <v>#VALUE!</v>
      </c>
      <c r="D80" s="371" t="e">
        <f ca="1">D68</f>
        <v>#DIV/0!</v>
      </c>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row>
    <row r="81" spans="1:60" ht="283.5" customHeight="1"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row>
    <row r="82" spans="1:60" ht="33.6" customHeight="1" thickBot="1" x14ac:dyDescent="0.3">
      <c r="A82" s="2457" t="s">
        <v>1194</v>
      </c>
      <c r="B82" s="2457"/>
      <c r="C82" s="2457"/>
      <c r="D82" s="2457"/>
      <c r="E82" s="372"/>
      <c r="F82" s="372"/>
      <c r="G82" s="373" t="s">
        <v>1195</v>
      </c>
      <c r="H82" s="374"/>
      <c r="I82" s="374"/>
      <c r="J82" s="374"/>
      <c r="K82" s="374"/>
      <c r="L82" s="374"/>
      <c r="M82" s="374"/>
      <c r="N82" s="374"/>
      <c r="O82" s="372"/>
      <c r="P82" s="372"/>
      <c r="Q82" s="372"/>
      <c r="R82" s="372"/>
      <c r="S82" s="372"/>
      <c r="T82" s="372"/>
      <c r="U82" s="372"/>
      <c r="V82" s="372"/>
      <c r="W82" s="372"/>
      <c r="X82" s="372"/>
      <c r="Y82" s="372"/>
      <c r="Z82" s="372"/>
      <c r="AA82" s="372"/>
      <c r="AB82" s="372"/>
      <c r="AC82" s="372"/>
      <c r="AD82" s="372"/>
      <c r="AE82" s="372"/>
      <c r="AF82" s="372"/>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row>
    <row r="83" spans="1:60" ht="38.450000000000003" customHeight="1" x14ac:dyDescent="0.25">
      <c r="A83" s="2496" t="s">
        <v>829</v>
      </c>
      <c r="B83" s="2488" t="s">
        <v>1158</v>
      </c>
      <c r="C83" s="2500" t="s">
        <v>1302</v>
      </c>
      <c r="D83" s="2498" t="s">
        <v>1358</v>
      </c>
      <c r="E83" s="50"/>
      <c r="F83" s="50"/>
      <c r="G83" s="2495" t="s">
        <v>829</v>
      </c>
      <c r="H83" s="2489" t="s">
        <v>1158</v>
      </c>
      <c r="I83" s="2486" t="s">
        <v>488</v>
      </c>
      <c r="J83" s="2487"/>
      <c r="K83" s="2486" t="s">
        <v>489</v>
      </c>
      <c r="L83" s="2487"/>
      <c r="M83" s="2486" t="s">
        <v>490</v>
      </c>
      <c r="N83" s="2487"/>
      <c r="O83" s="2486" t="s">
        <v>491</v>
      </c>
      <c r="P83" s="2487"/>
      <c r="Q83" s="2486" t="s">
        <v>800</v>
      </c>
      <c r="R83" s="2487"/>
      <c r="S83" s="2486" t="s">
        <v>801</v>
      </c>
      <c r="T83" s="2487"/>
      <c r="U83" s="2486" t="s">
        <v>802</v>
      </c>
      <c r="V83" s="2487"/>
      <c r="W83" s="2486" t="s">
        <v>803</v>
      </c>
      <c r="X83" s="2487"/>
      <c r="Y83" s="2486" t="s">
        <v>804</v>
      </c>
      <c r="Z83" s="2487"/>
      <c r="AA83" s="2486" t="s">
        <v>482</v>
      </c>
      <c r="AB83" s="2487"/>
      <c r="AC83" s="2486" t="s">
        <v>486</v>
      </c>
      <c r="AD83" s="2487"/>
      <c r="AE83" s="2486" t="s">
        <v>487</v>
      </c>
      <c r="AF83" s="2487"/>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row>
    <row r="84" spans="1:60" ht="45.75" customHeight="1" x14ac:dyDescent="0.25">
      <c r="A84" s="2497"/>
      <c r="B84" s="2489"/>
      <c r="C84" s="2501"/>
      <c r="D84" s="2499"/>
      <c r="E84" s="50"/>
      <c r="F84" s="50"/>
      <c r="G84" s="2495"/>
      <c r="H84" s="2489"/>
      <c r="I84" s="375" t="s">
        <v>1302</v>
      </c>
      <c r="J84" s="376" t="s">
        <v>1358</v>
      </c>
      <c r="K84" s="375" t="s">
        <v>1302</v>
      </c>
      <c r="L84" s="376" t="s">
        <v>1358</v>
      </c>
      <c r="M84" s="375" t="s">
        <v>1302</v>
      </c>
      <c r="N84" s="376" t="s">
        <v>1358</v>
      </c>
      <c r="O84" s="375" t="s">
        <v>1302</v>
      </c>
      <c r="P84" s="376" t="s">
        <v>1358</v>
      </c>
      <c r="Q84" s="375" t="s">
        <v>1302</v>
      </c>
      <c r="R84" s="376" t="s">
        <v>1358</v>
      </c>
      <c r="S84" s="375" t="s">
        <v>1302</v>
      </c>
      <c r="T84" s="376" t="s">
        <v>1358</v>
      </c>
      <c r="U84" s="375" t="s">
        <v>1302</v>
      </c>
      <c r="V84" s="376" t="s">
        <v>1358</v>
      </c>
      <c r="W84" s="375" t="s">
        <v>1302</v>
      </c>
      <c r="X84" s="376" t="s">
        <v>1358</v>
      </c>
      <c r="Y84" s="375" t="s">
        <v>1302</v>
      </c>
      <c r="Z84" s="376" t="s">
        <v>1358</v>
      </c>
      <c r="AA84" s="375" t="s">
        <v>1302</v>
      </c>
      <c r="AB84" s="376" t="s">
        <v>1358</v>
      </c>
      <c r="AC84" s="375" t="s">
        <v>1302</v>
      </c>
      <c r="AD84" s="376" t="s">
        <v>1358</v>
      </c>
      <c r="AE84" s="375" t="s">
        <v>1302</v>
      </c>
      <c r="AF84" s="376" t="s">
        <v>1358</v>
      </c>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row>
    <row r="85" spans="1:60" ht="29.25" customHeight="1" x14ac:dyDescent="0.25">
      <c r="A85" s="377" t="s">
        <v>1196</v>
      </c>
      <c r="B85" s="378" t="s">
        <v>837</v>
      </c>
      <c r="C85" s="379">
        <f ca="1">'Расчет базового уровня'!D85</f>
        <v>0</v>
      </c>
      <c r="D85" s="380" t="e">
        <f ca="1">IF('Система ГВС'!F3=2,0,IF(AND('Ввод исходных данных'!$K$229&gt;'Ввод исходных данных'!$F$248/1000*(60-'Расчет после реализации'!$E$175)*(1+'Расчет базового уровня'!$D$178)+'Ввод исходных данных'!E248*списки!$C$63/1000,OR('Список мероприятий'!$D$35=списки!$N$46,'Список мероприятий'!$AB$37=1,'Список мероприятий'!$AB$36=1)),D90*1.163*(списки!C59-E175)*(1+IF('Список мероприятий'!$AB$40=1,D176,'Расчет базового уровня'!$D$178))+'Ввод исходных данных'!$E$248*1.163*списки!$C$63*(1+IF('Список мероприятий'!$AB$40=1,D176,'Расчет базового уровня'!$D$178))/(1+'Расчет базового уровня'!$D$178),C85*D90/C90*(1+IF('Список мероприятий'!$AB$40=1,D176,'Расчет базового уровня'!$D$178))/(1+'Расчет базового уровня'!$D$178)+D180/0.86*1000))</f>
        <v>#DIV/0!</v>
      </c>
      <c r="E85" s="285"/>
      <c r="F85" s="381"/>
      <c r="G85" s="382" t="s">
        <v>1197</v>
      </c>
      <c r="H85" s="378" t="s">
        <v>837</v>
      </c>
      <c r="I85" s="383">
        <f ca="1">'Расчет базового уровня'!J85</f>
        <v>0</v>
      </c>
      <c r="J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мероприятий'!$AB$36=1)),J90*4.2/3.6*(60-IF($I$93=1,5,15))*(1+IF('Список мероприятий'!$AB$40=1,D176,'Расчет базового уровня'!$D$178)),I85*J90/I90*(1+IF('Список мероприятий'!$AB$40=1,D176,'Расчет базового уровня'!$D$178))/(1+'Расчет базового уровня'!$D$178))+G180/0.86*1000)</f>
        <v>#DIV/0!</v>
      </c>
      <c r="K85" s="383">
        <f ca="1">'Расчет базового уровня'!L85</f>
        <v>0</v>
      </c>
      <c r="L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мероприятий'!$AB$36=1)),L90*4.2/3.6*(60-IF($K$93=1,5,15))*(1+IF('Список мероприятий'!$AB$40=1,D176,'Расчет базового уровня'!$D$178)),K85*L90/K90*(1+IF('Список мероприятий'!$AB$40=1,D176,'Расчет базового уровня'!$D$178))/(1+'Расчет базового уровня'!$D$178))+H180/0.86*1000)</f>
        <v>#DIV/0!</v>
      </c>
      <c r="M85" s="383">
        <f ca="1">'Расчет базового уровня'!N85</f>
        <v>0</v>
      </c>
      <c r="N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мероприятий'!$AB$36=1)),N90*4.2/3.6*(60-IF($M$93=1,5,15))*(1+IF('Список мероприятий'!$AB$40=1,D176,'Расчет базового уровня'!$D$178)),M85*N90/M90*(1+IF('Список мероприятий'!$AB$40=1,D176,'Расчет базового уровня'!$D$178))/(1+'Расчет базового уровня'!$D$178))+I180/0.86*1000)</f>
        <v>#DIV/0!</v>
      </c>
      <c r="O85" s="383">
        <f ca="1">'Расчет базового уровня'!P85</f>
        <v>0</v>
      </c>
      <c r="P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мероприятий'!$AB$36=1)),P90*4.2/3.6*(60-IF($O$93=1,5,15))*(1+IF('Список мероприятий'!$AB$40=1,D176,'Расчет базового уровня'!$D$178)),O85*P90/O90*(1+IF('Список мероприятий'!$AB$40=1,D176,'Расчет базового уровня'!$D$178))/(1+'Расчет базового уровня'!$D$178))+J180/0.86*1000)</f>
        <v>#DIV/0!</v>
      </c>
      <c r="Q85" s="383">
        <f ca="1">'Расчет базового уровня'!R85</f>
        <v>0</v>
      </c>
      <c r="R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мероприятий'!$AB$36=1)),R90*4.2/3.6*(60-IF($Q$93=1,5,15))*(1+IF('Список мероприятий'!$AB$40=1,D176,'Расчет базового уровня'!$D$178)),Q85*R90/Q90*(1+IF('Список мероприятий'!$AB$40=1,D176,'Расчет базового уровня'!$D$178))/(1+'Расчет базового уровня'!$D$178))+K180/0.86*1000)</f>
        <v>#DIV/0!</v>
      </c>
      <c r="S85" s="383">
        <f ca="1">'Расчет базового уровня'!T85</f>
        <v>0</v>
      </c>
      <c r="T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мероприятий'!$AB$36=1)),T90*4.2/3.6*(60-IF($S$93=1,5,15))*(1+IF('Список мероприятий'!$AB$40=1,D176,'Расчет базового уровня'!$D$178)),S85*T90/S90*(1+IF('Список мероприятий'!$AB$40=1,D176,'Расчет базового уровня'!$D$178))/(1+'Расчет базового уровня'!$D$178))+L180/0.86*1000)</f>
        <v>#DIV/0!</v>
      </c>
      <c r="U85" s="383">
        <f ca="1">'Расчет базового уровня'!V85</f>
        <v>0</v>
      </c>
      <c r="V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мероприятий'!$AB$36=1)),V90*4.2/3.6*(60-IF($U$93=1,5,15))*(1+IF('Список мероприятий'!$AB$40=1,D176,'Расчет базового уровня'!$D$178)),U85*V90/U90*(1+IF('Список мероприятий'!$AB$40=1,D176,'Расчет базового уровня'!$D$178))/(1+'Расчет базового уровня'!$D$178))+M180/0.86*1000)</f>
        <v>#DIV/0!</v>
      </c>
      <c r="W85" s="383">
        <f ca="1">'Расчет базового уровня'!X85</f>
        <v>0</v>
      </c>
      <c r="X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мероприятий'!$AB$36=1)),X90*4.2/3.6*(60-IF($W$93=1,5,15))*(1+IF('Список мероприятий'!$AB$40=1,D176,'Расчет базового уровня'!$D$178)),W85*X90/W90*(1+IF('Список мероприятий'!$AB$40=1,D176,'Расчет базового уровня'!$D$178))/(1+'Расчет базового уровня'!$D$178))+N180/0.86*1000)</f>
        <v>#DIV/0!</v>
      </c>
      <c r="Y85" s="383">
        <f ca="1">'Расчет базового уровня'!Z85</f>
        <v>0</v>
      </c>
      <c r="Z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мероприятий'!$AB$36=1)),Z90*4.2/3.6*(60-IF($Y$93=1,5,15))*(1+IF('Список мероприятий'!$AB$40=1,D176,'Расчет базового уровня'!$D$178)),Y85*Z90/Y90*(1+IF('Список мероприятий'!$AB$40=1,D176,'Расчет базового уровня'!$D$178))/(1+'Расчет базового уровня'!$D$178))+O180/0.86*1000)</f>
        <v>#DIV/0!</v>
      </c>
      <c r="AA85" s="383">
        <f ca="1">'Расчет базового уровня'!AB85</f>
        <v>0</v>
      </c>
      <c r="AB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мероприятий'!$AB$36=1)),AB90*4.2/3.6*(60-IF($AA$93=1,5,15))*(1+IF('Список мероприятий'!$AB$40=1,D176,'Расчет базового уровня'!$D$178)),AA85*AB90/AA90*(1+IF('Список мероприятий'!$AB$40=1,D176,'Расчет базового уровня'!$D$178))/(1+'Расчет базового уровня'!$D$178))+P180/0.86*1000)</f>
        <v>#DIV/0!</v>
      </c>
      <c r="AC85" s="383">
        <f ca="1">'Расчет базового уровня'!AD85</f>
        <v>0</v>
      </c>
      <c r="AD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мероприятий'!$AB$36=1)),AD90*4.2/3.6*(60-IF($AC$93=1,5,15))*(1+IF('Список мероприятий'!$AB$40=1,D176,'Расчет базового уровня'!$D$178)),AC85*AD90/AC90*(1+IF('Список мероприятий'!$AB$40=1,D176,'Расчет базового уровня'!$D$178))/(1+'Расчет базового уровня'!$D$178))+Q180/0.86*1000)</f>
        <v>#DIV/0!</v>
      </c>
      <c r="AE85" s="383">
        <f ca="1">'Расчет базового уровня'!AF85</f>
        <v>0</v>
      </c>
      <c r="AF85" s="380" t="e">
        <f ca="1">IF('Система ГВС'!F3=2,0,IF(AND('Ввод исходных данных'!$K$229&gt;'Ввод исходных данных'!$F$248/1000*(60-'Расчет после реализации'!$E$175)*(1+'Расчет базового уровня'!$D$178)+'Ввод исходных данных'!E248*3/1000,OR('Список мероприятий'!$D$35=списки!$N$46,'Список мероприятий'!$AB$37=1,'Список мероприятий'!$AB$36=1)),AF90*4.2/3.6*(60-IF($AE$93=1,5,15))*(1+IF('Список мероприятий'!$AB$40=1,D176,'Расчет базового уровня'!$D$178)),AE85*AF90/AE90*(1+IF('Список мероприятий'!$AB$40=1,D176,'Расчет базового уровня'!$D$178))/(1+'Расчет базового уровня'!$D$178))+R180/0.86*1000)</f>
        <v>#DIV/0!</v>
      </c>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row>
    <row r="86" spans="1:60" x14ac:dyDescent="0.25">
      <c r="A86" s="384" t="s">
        <v>1303</v>
      </c>
      <c r="B86" s="378" t="s">
        <v>837</v>
      </c>
      <c r="C86" s="276"/>
      <c r="D86" s="276" t="e">
        <f ca="1">C85-D85</f>
        <v>#DIV/0!</v>
      </c>
      <c r="E86" s="50">
        <f ca="1">D90*1.163*(списки!C59-E175)*(1+IF('Список мероприятий'!$AB$40=1,D176,'Расчет базового уровня'!$D$178))+'Ввод исходных данных'!$E$248*1.163*списки!$C$63</f>
        <v>0</v>
      </c>
      <c r="F86" s="285"/>
      <c r="G86" s="385" t="s">
        <v>1303</v>
      </c>
      <c r="H86" s="378" t="s">
        <v>837</v>
      </c>
      <c r="I86" s="386"/>
      <c r="J86" s="386" t="e">
        <f ca="1">I85-J85</f>
        <v>#DIV/0!</v>
      </c>
      <c r="K86" s="386"/>
      <c r="L86" s="386" t="e">
        <f ca="1">K85-L85</f>
        <v>#DIV/0!</v>
      </c>
      <c r="M86" s="386"/>
      <c r="N86" s="386" t="e">
        <f ca="1">M85-N85</f>
        <v>#DIV/0!</v>
      </c>
      <c r="O86" s="386"/>
      <c r="P86" s="386" t="e">
        <f ca="1">O85-P85</f>
        <v>#DIV/0!</v>
      </c>
      <c r="Q86" s="386"/>
      <c r="R86" s="386" t="e">
        <f ca="1">Q85-R85</f>
        <v>#DIV/0!</v>
      </c>
      <c r="S86" s="386"/>
      <c r="T86" s="386" t="e">
        <f ca="1">S85-T85</f>
        <v>#DIV/0!</v>
      </c>
      <c r="U86" s="386"/>
      <c r="V86" s="386" t="e">
        <f ca="1">U85-V85</f>
        <v>#DIV/0!</v>
      </c>
      <c r="W86" s="386"/>
      <c r="X86" s="386" t="e">
        <f ca="1">W85-X85</f>
        <v>#DIV/0!</v>
      </c>
      <c r="Y86" s="386"/>
      <c r="Z86" s="386" t="e">
        <f ca="1">Y85-Z85</f>
        <v>#DIV/0!</v>
      </c>
      <c r="AA86" s="386"/>
      <c r="AB86" s="386" t="e">
        <f ca="1">AA85-AB85</f>
        <v>#DIV/0!</v>
      </c>
      <c r="AC86" s="386"/>
      <c r="AD86" s="386" t="e">
        <f ca="1">AC85-AD85</f>
        <v>#DIV/0!</v>
      </c>
      <c r="AE86" s="386"/>
      <c r="AF86" s="386" t="e">
        <f ca="1">AE85-AF85</f>
        <v>#DIV/0!</v>
      </c>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row>
    <row r="87" spans="1:60" x14ac:dyDescent="0.25">
      <c r="A87" s="384" t="s">
        <v>868</v>
      </c>
      <c r="B87" s="378" t="s">
        <v>1165</v>
      </c>
      <c r="C87" s="278"/>
      <c r="D87" s="278">
        <f ca="1">IF(C85=0,0,D86/C85)</f>
        <v>0</v>
      </c>
      <c r="E87" s="285" t="e">
        <f ca="1">C85*D90/C90*(1+IF('Список мероприятий'!$AB$40=1,D176,'Расчет базового уровня'!$D$178))/(1+'Расчет базового уровня'!$D$178)+D180/0.86*1000</f>
        <v>#DIV/0!</v>
      </c>
      <c r="F87" s="50"/>
      <c r="G87" s="385" t="s">
        <v>868</v>
      </c>
      <c r="H87" s="378" t="s">
        <v>1165</v>
      </c>
      <c r="I87" s="387"/>
      <c r="J87" s="387">
        <f ca="1">IF(I85=0,0,J86/I85)</f>
        <v>0</v>
      </c>
      <c r="K87" s="387"/>
      <c r="L87" s="387">
        <f ca="1">IF(K85=0,0,L86/K85)</f>
        <v>0</v>
      </c>
      <c r="M87" s="387"/>
      <c r="N87" s="387">
        <f ca="1">IF(M85=0,0,N86/M85)</f>
        <v>0</v>
      </c>
      <c r="O87" s="387"/>
      <c r="P87" s="387">
        <f ca="1">IF(O85=0,0,P86/O85)</f>
        <v>0</v>
      </c>
      <c r="Q87" s="387"/>
      <c r="R87" s="387">
        <f ca="1">IF(Q85=0,0,R86/Q85)</f>
        <v>0</v>
      </c>
      <c r="S87" s="387"/>
      <c r="T87" s="387">
        <f ca="1">IF(S85=0,0,T86/S85)</f>
        <v>0</v>
      </c>
      <c r="U87" s="387"/>
      <c r="V87" s="387">
        <f ca="1">IF(U85=0,0,V86/U85)</f>
        <v>0</v>
      </c>
      <c r="W87" s="387"/>
      <c r="X87" s="387">
        <f ca="1">IF(W85=0,0,X86/W85)</f>
        <v>0</v>
      </c>
      <c r="Y87" s="387"/>
      <c r="Z87" s="387">
        <f ca="1">IF(Y85=0,0,Z86/Y85)</f>
        <v>0</v>
      </c>
      <c r="AA87" s="387"/>
      <c r="AB87" s="387">
        <f ca="1">IF(AA85=0,0,AB86/AA85)</f>
        <v>0</v>
      </c>
      <c r="AC87" s="387"/>
      <c r="AD87" s="387">
        <f ca="1">IF(AC85=0,0,AD86/AC85)</f>
        <v>0</v>
      </c>
      <c r="AE87" s="387"/>
      <c r="AF87" s="387">
        <f ca="1">IF(AE85=0,0,AF86/AE85)</f>
        <v>0</v>
      </c>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row>
    <row r="88" spans="1:60" x14ac:dyDescent="0.25">
      <c r="A88" s="384"/>
      <c r="B88" s="378"/>
      <c r="C88" s="388"/>
      <c r="D88" s="236"/>
      <c r="E88" s="50"/>
      <c r="F88" s="50"/>
      <c r="G88" s="385"/>
      <c r="H88" s="378"/>
      <c r="I88" s="389"/>
      <c r="J88" s="390"/>
      <c r="K88" s="389"/>
      <c r="L88" s="390"/>
      <c r="M88" s="389"/>
      <c r="N88" s="390"/>
      <c r="O88" s="389"/>
      <c r="P88" s="390"/>
      <c r="Q88" s="389"/>
      <c r="R88" s="390"/>
      <c r="S88" s="389"/>
      <c r="T88" s="390"/>
      <c r="U88" s="389"/>
      <c r="V88" s="390"/>
      <c r="W88" s="389"/>
      <c r="X88" s="390"/>
      <c r="Y88" s="389"/>
      <c r="Z88" s="390"/>
      <c r="AA88" s="389"/>
      <c r="AB88" s="390"/>
      <c r="AC88" s="389"/>
      <c r="AD88" s="390"/>
      <c r="AE88" s="389"/>
      <c r="AF88" s="39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row>
    <row r="89" spans="1:60" ht="18.600000000000001" customHeight="1" x14ac:dyDescent="0.25">
      <c r="A89" s="384"/>
      <c r="B89" s="378"/>
      <c r="C89" s="391"/>
      <c r="D89" s="236"/>
      <c r="E89" s="50"/>
      <c r="F89" s="50"/>
      <c r="G89" s="385"/>
      <c r="H89" s="378"/>
      <c r="I89" s="392"/>
      <c r="J89" s="390"/>
      <c r="K89" s="392"/>
      <c r="L89" s="390"/>
      <c r="M89" s="392"/>
      <c r="N89" s="390"/>
      <c r="O89" s="392"/>
      <c r="P89" s="390"/>
      <c r="Q89" s="392"/>
      <c r="R89" s="390"/>
      <c r="S89" s="392"/>
      <c r="T89" s="390"/>
      <c r="U89" s="392"/>
      <c r="V89" s="390"/>
      <c r="W89" s="392"/>
      <c r="X89" s="390"/>
      <c r="Y89" s="392"/>
      <c r="Z89" s="390"/>
      <c r="AA89" s="392"/>
      <c r="AB89" s="390"/>
      <c r="AC89" s="392"/>
      <c r="AD89" s="390"/>
      <c r="AE89" s="392"/>
      <c r="AF89" s="39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row>
    <row r="90" spans="1:60" x14ac:dyDescent="0.25">
      <c r="A90" s="377" t="s">
        <v>1200</v>
      </c>
      <c r="B90" s="378" t="s">
        <v>1201</v>
      </c>
      <c r="C90" s="379">
        <f>'Расчет базового уровня'!D90</f>
        <v>0</v>
      </c>
      <c r="D90" s="236">
        <f>C90*IF(AND('Система ГВС'!$F$17=0,'Список мероприятий'!$AB$41=1),0.9,1)</f>
        <v>0</v>
      </c>
      <c r="E90" s="50"/>
      <c r="F90" s="50"/>
      <c r="G90" s="393" t="s">
        <v>1203</v>
      </c>
      <c r="H90" s="378" t="s">
        <v>1201</v>
      </c>
      <c r="I90" s="383">
        <f>'Расчет базового уровня'!J90</f>
        <v>0</v>
      </c>
      <c r="J90" s="236">
        <f>I90*IF(AND('Система ГВС'!$F$17=0,'Список мероприятий'!$AB$41=1),0.9,1)</f>
        <v>0</v>
      </c>
      <c r="K90" s="383">
        <f>'Расчет базового уровня'!L90</f>
        <v>0</v>
      </c>
      <c r="L90" s="236">
        <f>K90*IF(AND('Система ГВС'!$F$17=0,'Список мероприятий'!$AB$41=1),0.9,1)</f>
        <v>0</v>
      </c>
      <c r="M90" s="383">
        <f>'Расчет базового уровня'!N90</f>
        <v>0</v>
      </c>
      <c r="N90" s="236">
        <f>M90*IF(AND('Система ГВС'!$F$17=0,'Список мероприятий'!$AB$41=1),0.9,1)</f>
        <v>0</v>
      </c>
      <c r="O90" s="383">
        <f>'Расчет базового уровня'!P90</f>
        <v>0</v>
      </c>
      <c r="P90" s="236">
        <f>O90*IF(AND('Система ГВС'!$F$17=0,'Список мероприятий'!$AB$41=1),0.9,1)</f>
        <v>0</v>
      </c>
      <c r="Q90" s="383">
        <f>'Расчет базового уровня'!R90</f>
        <v>0</v>
      </c>
      <c r="R90" s="236">
        <f>Q90*IF(AND('Система ГВС'!$F$17=0,'Список мероприятий'!$AB$41=1),0.9,1)</f>
        <v>0</v>
      </c>
      <c r="S90" s="383">
        <f>'Расчет базового уровня'!T90</f>
        <v>0</v>
      </c>
      <c r="T90" s="236">
        <f>S90*IF(AND('Система ГВС'!$F$17=0,'Список мероприятий'!$AB$41=1),0.9,1)</f>
        <v>0</v>
      </c>
      <c r="U90" s="383">
        <f>'Расчет базового уровня'!V90</f>
        <v>0</v>
      </c>
      <c r="V90" s="236">
        <f>U90*IF(AND('Система ГВС'!$F$17=0,'Список мероприятий'!$AB$41=1),0.9,1)</f>
        <v>0</v>
      </c>
      <c r="W90" s="383">
        <f>'Расчет базового уровня'!X90</f>
        <v>0</v>
      </c>
      <c r="X90" s="236">
        <f>W90*IF(AND('Система ГВС'!$F$17=0,'Список мероприятий'!$AB$41=1),0.9,1)</f>
        <v>0</v>
      </c>
      <c r="Y90" s="383">
        <f>'Расчет базового уровня'!Z90</f>
        <v>0</v>
      </c>
      <c r="Z90" s="236">
        <f>Y90*IF(AND('Система ГВС'!$F$17=0,'Список мероприятий'!$AB$41=1),0.9,1)</f>
        <v>0</v>
      </c>
      <c r="AA90" s="383">
        <f>'Расчет базового уровня'!AB90</f>
        <v>0</v>
      </c>
      <c r="AB90" s="236">
        <f>AA90*IF(AND('Система ГВС'!$F$17=0,'Список мероприятий'!$AB$41=1),0.9,1)</f>
        <v>0</v>
      </c>
      <c r="AC90" s="383">
        <f>'Расчет базового уровня'!AD90</f>
        <v>0</v>
      </c>
      <c r="AD90" s="236">
        <f>AC90*IF(AND('Система ГВС'!$F$17=0,'Список мероприятий'!$AB$41=1),0.9,1)</f>
        <v>0</v>
      </c>
      <c r="AE90" s="383">
        <f>'Расчет базового уровня'!AF90</f>
        <v>0</v>
      </c>
      <c r="AF90" s="236">
        <f>AE90*IF(AND('Система ГВС'!$F$17=0,'Список мероприятий'!$AB$41=1),0.9,1)</f>
        <v>0</v>
      </c>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row>
    <row r="91" spans="1:60" x14ac:dyDescent="0.25">
      <c r="A91" s="384" t="s">
        <v>1303</v>
      </c>
      <c r="B91" s="378"/>
      <c r="C91" s="276"/>
      <c r="D91" s="276">
        <f>C90-D90</f>
        <v>0</v>
      </c>
      <c r="E91" s="50"/>
      <c r="F91" s="50"/>
      <c r="G91" s="385" t="s">
        <v>1303</v>
      </c>
      <c r="H91" s="378" t="s">
        <v>837</v>
      </c>
      <c r="I91" s="386"/>
      <c r="J91" s="386">
        <f>I90-J90</f>
        <v>0</v>
      </c>
      <c r="K91" s="386"/>
      <c r="L91" s="386">
        <f>K90-L90</f>
        <v>0</v>
      </c>
      <c r="M91" s="386"/>
      <c r="N91" s="386">
        <f>M90-N90</f>
        <v>0</v>
      </c>
      <c r="O91" s="386"/>
      <c r="P91" s="386">
        <f>O90-P90</f>
        <v>0</v>
      </c>
      <c r="Q91" s="386"/>
      <c r="R91" s="386">
        <f>Q90-R90</f>
        <v>0</v>
      </c>
      <c r="S91" s="386"/>
      <c r="T91" s="386">
        <f>S90-T90</f>
        <v>0</v>
      </c>
      <c r="U91" s="386"/>
      <c r="V91" s="386">
        <f>U90-V90</f>
        <v>0</v>
      </c>
      <c r="W91" s="386"/>
      <c r="X91" s="386">
        <f>W90-X90</f>
        <v>0</v>
      </c>
      <c r="Y91" s="386"/>
      <c r="Z91" s="386">
        <f>Y90-Z90</f>
        <v>0</v>
      </c>
      <c r="AA91" s="386"/>
      <c r="AB91" s="386">
        <f>AA90-AB90</f>
        <v>0</v>
      </c>
      <c r="AC91" s="386"/>
      <c r="AD91" s="386">
        <f>AC90-AD90</f>
        <v>0</v>
      </c>
      <c r="AE91" s="386"/>
      <c r="AF91" s="386">
        <f>AE90-AF90</f>
        <v>0</v>
      </c>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row>
    <row r="92" spans="1:60" x14ac:dyDescent="0.25">
      <c r="A92" s="384" t="s">
        <v>868</v>
      </c>
      <c r="B92" s="378" t="s">
        <v>1165</v>
      </c>
      <c r="C92" s="278"/>
      <c r="D92" s="278">
        <f>IF(C90=0,0,D91/C90)</f>
        <v>0</v>
      </c>
      <c r="E92" s="50"/>
      <c r="F92" s="50"/>
      <c r="G92" s="385" t="s">
        <v>868</v>
      </c>
      <c r="H92" s="378" t="s">
        <v>1165</v>
      </c>
      <c r="I92" s="387"/>
      <c r="J92" s="387">
        <f>IF(I90=0,0,J91/I90)</f>
        <v>0</v>
      </c>
      <c r="K92" s="387"/>
      <c r="L92" s="387">
        <f>IF(K90=0,0,L91/K90)</f>
        <v>0</v>
      </c>
      <c r="M92" s="387"/>
      <c r="N92" s="387">
        <f>IF(M90=0,0,N91/M90)</f>
        <v>0</v>
      </c>
      <c r="O92" s="387"/>
      <c r="P92" s="387">
        <f>IF(O90=0,0,P91/O90)</f>
        <v>0</v>
      </c>
      <c r="Q92" s="387"/>
      <c r="R92" s="387">
        <f>IF(Q90=0,0,R91/Q90)</f>
        <v>0</v>
      </c>
      <c r="S92" s="387"/>
      <c r="T92" s="387">
        <f>IF(S90=0,0,T91/S90)</f>
        <v>0</v>
      </c>
      <c r="U92" s="387"/>
      <c r="V92" s="387">
        <f>IF(U90=0,0,V91/U90)</f>
        <v>0</v>
      </c>
      <c r="W92" s="387"/>
      <c r="X92" s="387">
        <f>IF(W90=0,0,X91/W90)</f>
        <v>0</v>
      </c>
      <c r="Y92" s="387"/>
      <c r="Z92" s="387">
        <f>IF(Y90=0,0,Z91/Y90)</f>
        <v>0</v>
      </c>
      <c r="AA92" s="387"/>
      <c r="AB92" s="387">
        <f>IF(AA90=0,0,AB91/AA90)</f>
        <v>0</v>
      </c>
      <c r="AC92" s="387"/>
      <c r="AD92" s="387">
        <f>IF(AC90=0,0,AD91/AC90)</f>
        <v>0</v>
      </c>
      <c r="AE92" s="387"/>
      <c r="AF92" s="387">
        <f>IF(AE90=0,0,AF91/AE90)</f>
        <v>0</v>
      </c>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row>
    <row r="93" spans="1:60" ht="24" x14ac:dyDescent="0.25">
      <c r="A93" s="394" t="s">
        <v>1205</v>
      </c>
      <c r="B93" s="277" t="s">
        <v>1174</v>
      </c>
      <c r="C93" s="379" t="e">
        <f ca="1">'Расчет базового уровня'!D93</f>
        <v>#DIV/0!</v>
      </c>
      <c r="D93" s="395" t="e">
        <f ca="1">D85/('Ввод исходных данных'!$G$56+'Ввод исходных данных'!$D$23)</f>
        <v>#DIV/0!</v>
      </c>
      <c r="E93" s="50"/>
      <c r="F93" s="50"/>
      <c r="G93" s="50"/>
      <c r="H93" s="50"/>
      <c r="I93" s="50">
        <f ca="1">IF(G148&gt;14,1,0)</f>
        <v>1</v>
      </c>
      <c r="J93" s="50"/>
      <c r="K93" s="50">
        <f ca="1">IF(H148&gt;14,1,0)</f>
        <v>1</v>
      </c>
      <c r="L93" s="50"/>
      <c r="M93" s="50">
        <f ca="1">IF(I148&gt;14,1,0)</f>
        <v>1</v>
      </c>
      <c r="O93" s="50">
        <f ca="1">IF(J148&gt;14,1,0)</f>
        <v>1</v>
      </c>
      <c r="Q93" s="50">
        <f ca="1">IF(K148&gt;14,1,0)</f>
        <v>1</v>
      </c>
      <c r="S93" s="50">
        <f ca="1">IF(L148&gt;14,1,0)</f>
        <v>1</v>
      </c>
      <c r="U93" s="50">
        <f ca="1">IF(M148&gt;14,1,0)</f>
        <v>1</v>
      </c>
      <c r="W93" s="50">
        <f ca="1">IF(N148&gt;14,1,0)</f>
        <v>1</v>
      </c>
      <c r="Y93" s="50">
        <f ca="1">IF(O148&gt;14,1,0)</f>
        <v>1</v>
      </c>
      <c r="AA93" s="50">
        <f ca="1">IF(P148&gt;14,1,0)</f>
        <v>1</v>
      </c>
      <c r="AC93" s="50">
        <f ca="1">IF(Q148&gt;14,1,0)</f>
        <v>1</v>
      </c>
      <c r="AE93" s="50">
        <f ca="1">IF(R148&gt;14,1,0)</f>
        <v>1</v>
      </c>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row>
    <row r="94" spans="1:60" x14ac:dyDescent="0.25">
      <c r="A94" s="384" t="s">
        <v>868</v>
      </c>
      <c r="B94" s="396" t="s">
        <v>1193</v>
      </c>
      <c r="C94" s="397"/>
      <c r="D94" s="398" t="e">
        <f ca="1">D86/('Ввод исходных данных'!$G$56+'Ввод исходных данных'!$D$23)</f>
        <v>#DIV/0!</v>
      </c>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row>
    <row r="95" spans="1:60" ht="15.75" thickBot="1" x14ac:dyDescent="0.3">
      <c r="A95" s="399" t="s">
        <v>1206</v>
      </c>
      <c r="B95" s="400" t="s">
        <v>784</v>
      </c>
      <c r="C95" s="401"/>
      <c r="D95" s="402">
        <f>IF('Система ГВС'!F3=2,0,D168)</f>
        <v>105</v>
      </c>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row>
    <row r="96" spans="1:60" ht="297" customHeight="1"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row>
    <row r="97" spans="1:60" ht="16.5" thickBot="1" x14ac:dyDescent="0.3">
      <c r="A97" s="2477" t="s">
        <v>1170</v>
      </c>
      <c r="B97" s="2477"/>
      <c r="C97" s="2477"/>
      <c r="D97" s="2477"/>
      <c r="E97" s="403"/>
      <c r="F97" s="403"/>
      <c r="G97" s="404" t="s">
        <v>1207</v>
      </c>
      <c r="H97" s="404"/>
      <c r="I97" s="404"/>
      <c r="J97" s="404"/>
      <c r="K97" s="405"/>
      <c r="L97" s="405"/>
      <c r="M97" s="405"/>
      <c r="N97" s="405"/>
      <c r="O97" s="403"/>
      <c r="P97" s="403"/>
      <c r="Q97" s="403"/>
      <c r="R97" s="403"/>
      <c r="S97" s="403"/>
      <c r="T97" s="403"/>
      <c r="U97" s="403"/>
      <c r="V97" s="403"/>
      <c r="W97" s="403"/>
      <c r="X97" s="403"/>
      <c r="Y97" s="403"/>
      <c r="Z97" s="403"/>
      <c r="AA97" s="403"/>
      <c r="AB97" s="403"/>
      <c r="AC97" s="403"/>
      <c r="AD97" s="403"/>
      <c r="AE97" s="403"/>
      <c r="AF97" s="403"/>
      <c r="AG97" s="403"/>
      <c r="AH97" s="403"/>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row>
    <row r="98" spans="1:60" ht="38.1" customHeight="1" x14ac:dyDescent="0.25">
      <c r="A98" s="2490" t="s">
        <v>829</v>
      </c>
      <c r="B98" s="2488" t="s">
        <v>1158</v>
      </c>
      <c r="C98" s="2494" t="s">
        <v>1302</v>
      </c>
      <c r="D98" s="2492" t="s">
        <v>1358</v>
      </c>
      <c r="E98" s="50"/>
      <c r="F98" s="50"/>
      <c r="G98" s="2490" t="s">
        <v>829</v>
      </c>
      <c r="H98" s="2488" t="s">
        <v>1158</v>
      </c>
      <c r="I98" s="2488" t="s">
        <v>488</v>
      </c>
      <c r="J98" s="2488"/>
      <c r="K98" s="406" t="s">
        <v>489</v>
      </c>
      <c r="L98" s="406"/>
      <c r="M98" s="406" t="s">
        <v>490</v>
      </c>
      <c r="N98" s="406"/>
      <c r="O98" s="406" t="s">
        <v>491</v>
      </c>
      <c r="P98" s="406"/>
      <c r="Q98" s="406" t="s">
        <v>800</v>
      </c>
      <c r="R98" s="406"/>
      <c r="S98" s="406" t="s">
        <v>801</v>
      </c>
      <c r="T98" s="406"/>
      <c r="U98" s="406" t="s">
        <v>802</v>
      </c>
      <c r="V98" s="406"/>
      <c r="W98" s="406" t="s">
        <v>803</v>
      </c>
      <c r="X98" s="406"/>
      <c r="Y98" s="406" t="s">
        <v>804</v>
      </c>
      <c r="Z98" s="406"/>
      <c r="AA98" s="406" t="s">
        <v>482</v>
      </c>
      <c r="AB98" s="406"/>
      <c r="AC98" s="406" t="s">
        <v>486</v>
      </c>
      <c r="AD98" s="406"/>
      <c r="AE98" s="406" t="s">
        <v>487</v>
      </c>
      <c r="AF98" s="407"/>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row>
    <row r="99" spans="1:60" ht="36" customHeight="1" x14ac:dyDescent="0.25">
      <c r="A99" s="2491"/>
      <c r="B99" s="2489"/>
      <c r="C99" s="2495"/>
      <c r="D99" s="2493"/>
      <c r="E99" s="50"/>
      <c r="F99" s="50"/>
      <c r="G99" s="2491"/>
      <c r="H99" s="2489"/>
      <c r="I99" s="375" t="s">
        <v>1302</v>
      </c>
      <c r="J99" s="376" t="s">
        <v>1358</v>
      </c>
      <c r="K99" s="375" t="s">
        <v>1302</v>
      </c>
      <c r="L99" s="376" t="s">
        <v>1358</v>
      </c>
      <c r="M99" s="375" t="s">
        <v>1302</v>
      </c>
      <c r="N99" s="376" t="s">
        <v>1358</v>
      </c>
      <c r="O99" s="375" t="s">
        <v>1302</v>
      </c>
      <c r="P99" s="376" t="s">
        <v>1358</v>
      </c>
      <c r="Q99" s="375" t="s">
        <v>1302</v>
      </c>
      <c r="R99" s="376" t="s">
        <v>1358</v>
      </c>
      <c r="S99" s="375" t="s">
        <v>1302</v>
      </c>
      <c r="T99" s="376" t="s">
        <v>1358</v>
      </c>
      <c r="U99" s="375" t="s">
        <v>1302</v>
      </c>
      <c r="V99" s="376" t="s">
        <v>1358</v>
      </c>
      <c r="W99" s="375" t="s">
        <v>1302</v>
      </c>
      <c r="X99" s="376" t="s">
        <v>1358</v>
      </c>
      <c r="Y99" s="375" t="s">
        <v>1302</v>
      </c>
      <c r="Z99" s="376" t="s">
        <v>1358</v>
      </c>
      <c r="AA99" s="375" t="s">
        <v>1302</v>
      </c>
      <c r="AB99" s="376" t="s">
        <v>1358</v>
      </c>
      <c r="AC99" s="375" t="s">
        <v>1302</v>
      </c>
      <c r="AD99" s="376" t="s">
        <v>1358</v>
      </c>
      <c r="AE99" s="375" t="s">
        <v>1302</v>
      </c>
      <c r="AF99" s="376" t="s">
        <v>1358</v>
      </c>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row>
    <row r="100" spans="1:60" ht="36" customHeight="1" x14ac:dyDescent="0.25">
      <c r="A100" s="408" t="s">
        <v>1208</v>
      </c>
      <c r="B100" s="378" t="s">
        <v>837</v>
      </c>
      <c r="C100" s="386">
        <f>'Расчет базового уровня'!D100</f>
        <v>0</v>
      </c>
      <c r="D100" s="409" t="e">
        <f ca="1">D102+D106+D108+D113</f>
        <v>#N/A</v>
      </c>
      <c r="E100" s="285"/>
      <c r="F100" s="50"/>
      <c r="G100" s="408" t="s">
        <v>1209</v>
      </c>
      <c r="H100" s="378" t="s">
        <v>837</v>
      </c>
      <c r="I100" s="386">
        <f>'Расчет базового уровня'!J100</f>
        <v>0</v>
      </c>
      <c r="J100" s="410" t="e">
        <f ca="1">J102+J106+J108+J113</f>
        <v>#N/A</v>
      </c>
      <c r="K100" s="386">
        <f>'Расчет базового уровня'!L100</f>
        <v>0</v>
      </c>
      <c r="L100" s="410" t="e">
        <f ca="1">L102+L106+L108+L113</f>
        <v>#N/A</v>
      </c>
      <c r="M100" s="386">
        <f>'Расчет базового уровня'!N100</f>
        <v>0</v>
      </c>
      <c r="N100" s="410" t="e">
        <f ca="1">N102+N106+N108+N113</f>
        <v>#N/A</v>
      </c>
      <c r="O100" s="386">
        <f>'Расчет базового уровня'!P100</f>
        <v>0</v>
      </c>
      <c r="P100" s="410" t="e">
        <f ca="1">P102+P106+P108+P113</f>
        <v>#N/A</v>
      </c>
      <c r="Q100" s="386">
        <f>'Расчет базового уровня'!R100</f>
        <v>0</v>
      </c>
      <c r="R100" s="410" t="e">
        <f ca="1">R102+R106+R108+R113</f>
        <v>#N/A</v>
      </c>
      <c r="S100" s="386">
        <f>'Расчет базового уровня'!T100</f>
        <v>0</v>
      </c>
      <c r="T100" s="410" t="e">
        <f ca="1">T102+T106+T108+T113</f>
        <v>#N/A</v>
      </c>
      <c r="U100" s="386">
        <f>'Расчет базового уровня'!V100</f>
        <v>0</v>
      </c>
      <c r="V100" s="411" t="e">
        <f ca="1">V102+V106+V108+V113</f>
        <v>#N/A</v>
      </c>
      <c r="W100" s="386">
        <f>'Расчет базового уровня'!X100</f>
        <v>0</v>
      </c>
      <c r="X100" s="410" t="e">
        <f ca="1">X102+X106+X108+X113</f>
        <v>#N/A</v>
      </c>
      <c r="Y100" s="386">
        <f>'Расчет базового уровня'!Z100</f>
        <v>0</v>
      </c>
      <c r="Z100" s="410" t="e">
        <f ca="1">Z102+Z106+Z108+Z113</f>
        <v>#N/A</v>
      </c>
      <c r="AA100" s="386">
        <f>'Расчет базового уровня'!AB100</f>
        <v>0</v>
      </c>
      <c r="AB100" s="412" t="e">
        <f ca="1">AB102+AB106+AB108+AB113</f>
        <v>#N/A</v>
      </c>
      <c r="AC100" s="386">
        <f>'Расчет базового уровня'!AD100</f>
        <v>0</v>
      </c>
      <c r="AD100" s="386" t="e">
        <f ca="1">AD102+AD106+AD108+AD113</f>
        <v>#N/A</v>
      </c>
      <c r="AE100" s="386">
        <f>'Расчет базового уровня'!AF100</f>
        <v>0</v>
      </c>
      <c r="AF100" s="413" t="e">
        <f ca="1">AF102+AF106+AF108+AF113</f>
        <v>#N/A</v>
      </c>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row>
    <row r="101" spans="1:60" ht="18.95" customHeight="1" x14ac:dyDescent="0.25">
      <c r="A101" s="414" t="s">
        <v>1304</v>
      </c>
      <c r="B101" s="378" t="s">
        <v>1165</v>
      </c>
      <c r="C101" s="390"/>
      <c r="D101" s="415">
        <f>IF(C100=0,0,D100/C100-1)</f>
        <v>0</v>
      </c>
      <c r="E101" s="50"/>
      <c r="F101" s="50"/>
      <c r="G101" s="414" t="s">
        <v>1304</v>
      </c>
      <c r="H101" s="378" t="s">
        <v>1165</v>
      </c>
      <c r="I101" s="390"/>
      <c r="J101" s="387">
        <f>IF(I100=0,0,J100/I100-1)</f>
        <v>0</v>
      </c>
      <c r="K101" s="390"/>
      <c r="L101" s="387">
        <f>IF(K100=0,0,L100/K100-1)</f>
        <v>0</v>
      </c>
      <c r="M101" s="390"/>
      <c r="N101" s="387">
        <f>IF(M100=0,0,N100/M100-1)</f>
        <v>0</v>
      </c>
      <c r="O101" s="390"/>
      <c r="P101" s="387">
        <f>IF(O100=0,0,P100/O100-1)</f>
        <v>0</v>
      </c>
      <c r="Q101" s="390"/>
      <c r="R101" s="387">
        <f>IF(Q100=0,0,R100/Q100-1)</f>
        <v>0</v>
      </c>
      <c r="S101" s="390"/>
      <c r="T101" s="387">
        <f>IF(S100=0,0,T100/S100-1)</f>
        <v>0</v>
      </c>
      <c r="U101" s="390"/>
      <c r="V101" s="387">
        <f>IF(U100=0,0,V100/U100-1)</f>
        <v>0</v>
      </c>
      <c r="W101" s="390"/>
      <c r="X101" s="387">
        <f>IF(W100=0,0,X100/W100-1)</f>
        <v>0</v>
      </c>
      <c r="Y101" s="390"/>
      <c r="Z101" s="387">
        <f>IF(Y100=0,0,Z100/Y100-1)</f>
        <v>0</v>
      </c>
      <c r="AA101" s="390"/>
      <c r="AB101" s="387">
        <f>IF(AA100=0,0,AB100/AA100-1)</f>
        <v>0</v>
      </c>
      <c r="AC101" s="390"/>
      <c r="AD101" s="387">
        <f>IF(AC100=0,0,AD100/AC100-1)</f>
        <v>0</v>
      </c>
      <c r="AE101" s="390"/>
      <c r="AF101" s="415">
        <f>IF(AE100=0,0,AF100/AE100-1)</f>
        <v>0</v>
      </c>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row>
    <row r="102" spans="1:60" ht="26.45" customHeight="1" x14ac:dyDescent="0.25">
      <c r="A102" s="416" t="s">
        <v>1210</v>
      </c>
      <c r="B102" s="378" t="s">
        <v>837</v>
      </c>
      <c r="C102" s="386">
        <f>'Расчет базового уровня'!D102</f>
        <v>0</v>
      </c>
      <c r="D102" s="1794">
        <f>D103+D104</f>
        <v>0</v>
      </c>
      <c r="E102" s="417"/>
      <c r="F102" s="50"/>
      <c r="G102" s="416" t="s">
        <v>1210</v>
      </c>
      <c r="H102" s="378" t="s">
        <v>837</v>
      </c>
      <c r="I102" s="386">
        <f>'Расчет базового уровня'!J102</f>
        <v>0</v>
      </c>
      <c r="J102" s="386">
        <f>$D$102/12</f>
        <v>0</v>
      </c>
      <c r="K102" s="386">
        <f>'Расчет базового уровня'!L102</f>
        <v>0</v>
      </c>
      <c r="L102" s="386">
        <f>$D$102/12</f>
        <v>0</v>
      </c>
      <c r="M102" s="386">
        <f>'Расчет базового уровня'!N102</f>
        <v>0</v>
      </c>
      <c r="N102" s="386">
        <f>$D$102/12</f>
        <v>0</v>
      </c>
      <c r="O102" s="386">
        <f>'Расчет базового уровня'!P102</f>
        <v>0</v>
      </c>
      <c r="P102" s="386">
        <f>$D$102/12</f>
        <v>0</v>
      </c>
      <c r="Q102" s="386">
        <f>'Расчет базового уровня'!R102</f>
        <v>0</v>
      </c>
      <c r="R102" s="386">
        <f>$D$102/12</f>
        <v>0</v>
      </c>
      <c r="S102" s="386">
        <f>'Расчет базового уровня'!T102</f>
        <v>0</v>
      </c>
      <c r="T102" s="386">
        <f>$D$102/12</f>
        <v>0</v>
      </c>
      <c r="U102" s="386">
        <f>'Расчет базового уровня'!V102</f>
        <v>0</v>
      </c>
      <c r="V102" s="412">
        <f>$D$102/12</f>
        <v>0</v>
      </c>
      <c r="W102" s="386">
        <f>'Расчет базового уровня'!X102</f>
        <v>0</v>
      </c>
      <c r="X102" s="386">
        <f>$D$102/12</f>
        <v>0</v>
      </c>
      <c r="Y102" s="386">
        <f>'Расчет базового уровня'!Z102</f>
        <v>0</v>
      </c>
      <c r="Z102" s="386">
        <f>$D$102/12</f>
        <v>0</v>
      </c>
      <c r="AA102" s="386">
        <f>'Расчет базового уровня'!AB102</f>
        <v>0</v>
      </c>
      <c r="AB102" s="412">
        <f>$D$102/12</f>
        <v>0</v>
      </c>
      <c r="AC102" s="386">
        <f>'Расчет базового уровня'!AD102</f>
        <v>0</v>
      </c>
      <c r="AD102" s="386">
        <f>$D$102/12</f>
        <v>0</v>
      </c>
      <c r="AE102" s="386">
        <f>'Расчет базового уровня'!AF102</f>
        <v>0</v>
      </c>
      <c r="AF102" s="413">
        <f>$D$102/12</f>
        <v>0</v>
      </c>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row>
    <row r="103" spans="1:60" ht="15" customHeight="1" x14ac:dyDescent="0.25">
      <c r="A103" s="320" t="s">
        <v>2434</v>
      </c>
      <c r="B103" s="378" t="s">
        <v>837</v>
      </c>
      <c r="C103" s="386">
        <f>'Расчет базового уровня'!D104</f>
        <v>0</v>
      </c>
      <c r="D103" s="1794">
        <f>IF(AND('Список мероприятий'!AB80=0,'Список мероприятий'!AB76=0),C103,IF('Список мероприятий'!AB80=1,('Ввод исходных данных'!D151*'Ввод исходных данных'!F151*400+
'Ввод исходных данных'!D152*'Ввод исходных данных'!F152*400+
'Ввод исходных данных'!D153*'Ввод исходных данных'!F153*400+
'Ввод исходных данных'!D154*'Ввод исходных данных'!F154*300+
'Ввод исходных данных'!D155*'Ввод исходных данных'!F155*100)/1000*IF('Список мероприятий'!AB76=0,1,VLOOKUP('Список мероприятий'!D77,'Система электроснабжения'!B6:F10,5,0)),C103*IF('Список мероприятий'!AB76=0,1,VLOOKUP('Список мероприятий'!D77,'Система электроснабжения'!B6:F10,5,0))))</f>
        <v>0</v>
      </c>
      <c r="E103" s="417"/>
      <c r="F103" s="50"/>
      <c r="G103" s="416"/>
      <c r="H103" s="378"/>
      <c r="I103" s="386"/>
      <c r="J103" s="386"/>
      <c r="K103" s="386"/>
      <c r="L103" s="386"/>
      <c r="M103" s="386"/>
      <c r="N103" s="386"/>
      <c r="O103" s="386"/>
      <c r="P103" s="386"/>
      <c r="Q103" s="386"/>
      <c r="R103" s="386"/>
      <c r="S103" s="386"/>
      <c r="T103" s="386"/>
      <c r="U103" s="386"/>
      <c r="V103" s="412"/>
      <c r="W103" s="386"/>
      <c r="X103" s="386"/>
      <c r="Y103" s="386"/>
      <c r="Z103" s="386"/>
      <c r="AA103" s="386"/>
      <c r="AB103" s="412"/>
      <c r="AC103" s="386"/>
      <c r="AD103" s="386"/>
      <c r="AE103" s="386"/>
      <c r="AF103" s="413"/>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row>
    <row r="104" spans="1:60" ht="15" customHeight="1" x14ac:dyDescent="0.25">
      <c r="A104" s="320" t="s">
        <v>2435</v>
      </c>
      <c r="B104" s="378" t="s">
        <v>837</v>
      </c>
      <c r="C104" s="386">
        <f>'Расчет базового уровня'!D105</f>
        <v>0</v>
      </c>
      <c r="D104" s="1794">
        <f>IF(AND('Список мероприятий'!AB80=0,'Список мероприятий'!AB78=0),C104,IF('Список мероприятий'!AB80=1,'Ввод исходных данных'!D156*'Ввод исходных данных'!F156*400/1000*IF('Список мероприятий'!AB78=0,1,VLOOKUP('Список мероприятий'!D79,'Система электроснабжения'!I12:K13,3,0)),C104*IF('Список мероприятий'!AB78=0,1,VLOOKUP('Список мероприятий'!D79,'Система электроснабжения'!I12:K13,3,0))))</f>
        <v>0</v>
      </c>
      <c r="E104" s="417"/>
      <c r="F104" s="50"/>
      <c r="G104" s="416"/>
      <c r="H104" s="378"/>
      <c r="I104" s="386"/>
      <c r="J104" s="386"/>
      <c r="K104" s="386"/>
      <c r="L104" s="386"/>
      <c r="M104" s="386"/>
      <c r="N104" s="386"/>
      <c r="O104" s="386"/>
      <c r="P104" s="386"/>
      <c r="Q104" s="386"/>
      <c r="R104" s="386"/>
      <c r="S104" s="386"/>
      <c r="T104" s="386"/>
      <c r="U104" s="386"/>
      <c r="V104" s="412"/>
      <c r="W104" s="386"/>
      <c r="X104" s="386"/>
      <c r="Y104" s="386"/>
      <c r="Z104" s="386"/>
      <c r="AA104" s="386"/>
      <c r="AB104" s="412"/>
      <c r="AC104" s="386"/>
      <c r="AD104" s="386"/>
      <c r="AE104" s="386"/>
      <c r="AF104" s="413"/>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row>
    <row r="105" spans="1:60" x14ac:dyDescent="0.25">
      <c r="A105" s="414" t="s">
        <v>868</v>
      </c>
      <c r="B105" s="378" t="s">
        <v>1165</v>
      </c>
      <c r="C105" s="390"/>
      <c r="D105" s="415">
        <f>IF(C102=0,0,D102/C102-1)</f>
        <v>0</v>
      </c>
      <c r="E105" s="50"/>
      <c r="F105" s="50"/>
      <c r="G105" s="414" t="s">
        <v>1304</v>
      </c>
      <c r="H105" s="378" t="s">
        <v>1165</v>
      </c>
      <c r="I105" s="390"/>
      <c r="J105" s="387">
        <f>IF(I102=0,0,J102/I102-1)</f>
        <v>0</v>
      </c>
      <c r="K105" s="390"/>
      <c r="L105" s="387">
        <f>IF(K102=0,0,L102/K102-1)</f>
        <v>0</v>
      </c>
      <c r="M105" s="390"/>
      <c r="N105" s="387">
        <f>IF(M102=0,0,N102/M102-1)</f>
        <v>0</v>
      </c>
      <c r="O105" s="390"/>
      <c r="P105" s="387">
        <f>IF(O102=0,0,P102/O102-1)</f>
        <v>0</v>
      </c>
      <c r="Q105" s="390"/>
      <c r="R105" s="387">
        <f>IF(Q102=0,0,R102/Q102-1)</f>
        <v>0</v>
      </c>
      <c r="S105" s="390"/>
      <c r="T105" s="387">
        <f>IF(S102=0,0,T102/S102-1)</f>
        <v>0</v>
      </c>
      <c r="U105" s="390"/>
      <c r="V105" s="387">
        <f>IF(U102=0,0,V102/U102-1)</f>
        <v>0</v>
      </c>
      <c r="W105" s="390"/>
      <c r="X105" s="387">
        <f>IF(W102=0,0,X102/W102-1)</f>
        <v>0</v>
      </c>
      <c r="Y105" s="390"/>
      <c r="Z105" s="387">
        <f>IF(Y102=0,0,Z102/Y102-1)</f>
        <v>0</v>
      </c>
      <c r="AA105" s="390"/>
      <c r="AB105" s="387">
        <f>IF(AA102=0,0,AB102/AA102-1)</f>
        <v>0</v>
      </c>
      <c r="AC105" s="390"/>
      <c r="AD105" s="387">
        <f>IF(AC102=0,0,AD102/AC102-1)</f>
        <v>0</v>
      </c>
      <c r="AE105" s="390"/>
      <c r="AF105" s="415">
        <f>IF(AE102=0,0,AF102/AE102-1)</f>
        <v>0</v>
      </c>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row>
    <row r="106" spans="1:60" x14ac:dyDescent="0.25">
      <c r="A106" s="416" t="s">
        <v>1217</v>
      </c>
      <c r="B106" s="378" t="s">
        <v>837</v>
      </c>
      <c r="C106" s="386">
        <f>'Расчет базового уровня'!D106</f>
        <v>0</v>
      </c>
      <c r="D106" s="409">
        <f>IF('Список мероприятий'!AB57=1,'Ввод исходных данных'!D161*IF('Ввод исходных данных'!D159/'Ввод исходных данных'!D17&gt;1,1460,списки!C72)*0.8,IF('Список мероприятий'!AB58=1,'Список мероприятий'!D59*IF('Ввод исходных данных'!D159/'Ввод исходных данных'!D17&gt;1,1460,списки!C72)*0.8*IF('Список мероприятий'!AB60=1,0.957,1),C106))</f>
        <v>0</v>
      </c>
      <c r="E106" s="285"/>
      <c r="F106" s="418"/>
      <c r="G106" s="416" t="s">
        <v>1217</v>
      </c>
      <c r="H106" s="378" t="s">
        <v>837</v>
      </c>
      <c r="I106" s="386">
        <f>'Расчет базового уровня'!J106</f>
        <v>0</v>
      </c>
      <c r="J106" s="386">
        <f>D106/12</f>
        <v>0</v>
      </c>
      <c r="K106" s="386">
        <f>'Расчет базового уровня'!L106</f>
        <v>0</v>
      </c>
      <c r="L106" s="386">
        <f>J106</f>
        <v>0</v>
      </c>
      <c r="M106" s="386">
        <f>'Расчет базового уровня'!N106</f>
        <v>0</v>
      </c>
      <c r="N106" s="390">
        <f>L106</f>
        <v>0</v>
      </c>
      <c r="O106" s="386">
        <f>'Расчет базового уровня'!P106</f>
        <v>0</v>
      </c>
      <c r="P106" s="390">
        <f>N106</f>
        <v>0</v>
      </c>
      <c r="Q106" s="386">
        <f>'Расчет базового уровня'!R106</f>
        <v>0</v>
      </c>
      <c r="R106" s="390">
        <f>P106</f>
        <v>0</v>
      </c>
      <c r="S106" s="386">
        <f>'Расчет базового уровня'!T106</f>
        <v>0</v>
      </c>
      <c r="T106" s="390">
        <f>R106</f>
        <v>0</v>
      </c>
      <c r="U106" s="386">
        <f>'Расчет базового уровня'!V106</f>
        <v>0</v>
      </c>
      <c r="V106" s="419">
        <f>T106</f>
        <v>0</v>
      </c>
      <c r="W106" s="386">
        <f>'Расчет базового уровня'!X106</f>
        <v>0</v>
      </c>
      <c r="X106" s="390">
        <f>V106</f>
        <v>0</v>
      </c>
      <c r="Y106" s="386">
        <f>'Расчет базового уровня'!Z106</f>
        <v>0</v>
      </c>
      <c r="Z106" s="390">
        <f>X106</f>
        <v>0</v>
      </c>
      <c r="AA106" s="386">
        <f>'Расчет базового уровня'!AB106</f>
        <v>0</v>
      </c>
      <c r="AB106" s="419">
        <f>Z106</f>
        <v>0</v>
      </c>
      <c r="AC106" s="386">
        <f>'Расчет базового уровня'!AD106</f>
        <v>0</v>
      </c>
      <c r="AD106" s="390">
        <f>AB106</f>
        <v>0</v>
      </c>
      <c r="AE106" s="386">
        <f>'Расчет базового уровня'!AF106</f>
        <v>0</v>
      </c>
      <c r="AF106" s="420">
        <f>AD106</f>
        <v>0</v>
      </c>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row>
    <row r="107" spans="1:60" x14ac:dyDescent="0.25">
      <c r="A107" s="414" t="s">
        <v>868</v>
      </c>
      <c r="B107" s="378" t="s">
        <v>1165</v>
      </c>
      <c r="C107" s="390"/>
      <c r="D107" s="415">
        <f>IF(C106=0,0,D106/C106-1)</f>
        <v>0</v>
      </c>
      <c r="E107" s="285"/>
      <c r="F107" s="50"/>
      <c r="G107" s="414" t="s">
        <v>1304</v>
      </c>
      <c r="H107" s="378" t="s">
        <v>1165</v>
      </c>
      <c r="I107" s="390"/>
      <c r="J107" s="387">
        <f>IF(I106=0,0,J106/I106-1)</f>
        <v>0</v>
      </c>
      <c r="K107" s="390"/>
      <c r="L107" s="387">
        <f>IF(K106=0,0,L106/K106-1)</f>
        <v>0</v>
      </c>
      <c r="M107" s="390"/>
      <c r="N107" s="387">
        <f>IF(M106=0,0,N106/M106-1)</f>
        <v>0</v>
      </c>
      <c r="O107" s="390"/>
      <c r="P107" s="387">
        <f>IF(O106=0,0,P106/O106-1)</f>
        <v>0</v>
      </c>
      <c r="Q107" s="390"/>
      <c r="R107" s="387">
        <f>IF(Q106=0,0,R106/Q106-1)</f>
        <v>0</v>
      </c>
      <c r="S107" s="390"/>
      <c r="T107" s="387">
        <f>IF(S106=0,0,T106/S106-1)</f>
        <v>0</v>
      </c>
      <c r="U107" s="390"/>
      <c r="V107" s="387">
        <f>IF(U106=0,0,V106/U106-1)</f>
        <v>0</v>
      </c>
      <c r="W107" s="390"/>
      <c r="X107" s="387">
        <f>IF(W106=0,0,X106/W106-1)</f>
        <v>0</v>
      </c>
      <c r="Y107" s="390"/>
      <c r="Z107" s="387">
        <f>IF(Y106=0,0,Z106/Y106-1)</f>
        <v>0</v>
      </c>
      <c r="AA107" s="390"/>
      <c r="AB107" s="387">
        <f>IF(AA106=0,0,AB106/AA106-1)</f>
        <v>0</v>
      </c>
      <c r="AC107" s="390"/>
      <c r="AD107" s="387">
        <f>IF(AC106=0,0,AD106/AC106-1)</f>
        <v>0</v>
      </c>
      <c r="AE107" s="390"/>
      <c r="AF107" s="415">
        <f>IF(AE106=0,0,AF106/AE106-1)</f>
        <v>0</v>
      </c>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row>
    <row r="108" spans="1:60" x14ac:dyDescent="0.25">
      <c r="A108" s="416" t="s">
        <v>1219</v>
      </c>
      <c r="B108" s="378" t="s">
        <v>837</v>
      </c>
      <c r="C108" s="386">
        <f>'Расчет базового уровня'!D108</f>
        <v>0</v>
      </c>
      <c r="D108" s="409" t="e">
        <f ca="1">D110+D111+D112</f>
        <v>#N/A</v>
      </c>
      <c r="E108" s="285"/>
      <c r="F108" s="285"/>
      <c r="G108" s="416" t="s">
        <v>1218</v>
      </c>
      <c r="H108" s="378" t="s">
        <v>837</v>
      </c>
      <c r="I108" s="386">
        <f>'Расчет базового уровня'!J108</f>
        <v>0</v>
      </c>
      <c r="J108" s="409" t="e">
        <f ca="1">J110+J111+J112</f>
        <v>#N/A</v>
      </c>
      <c r="K108" s="386">
        <f>'Расчет базового уровня'!L108</f>
        <v>0</v>
      </c>
      <c r="L108" s="409" t="e">
        <f ca="1">L110+L111+L112</f>
        <v>#N/A</v>
      </c>
      <c r="M108" s="386">
        <f>'Расчет базового уровня'!N108</f>
        <v>0</v>
      </c>
      <c r="N108" s="409" t="e">
        <f ca="1">N110+N111+N112</f>
        <v>#N/A</v>
      </c>
      <c r="O108" s="386">
        <f>'Расчет базового уровня'!P108</f>
        <v>0</v>
      </c>
      <c r="P108" s="409" t="e">
        <f ca="1">P110+P111+P112</f>
        <v>#N/A</v>
      </c>
      <c r="Q108" s="386">
        <f>'Расчет базового уровня'!R108</f>
        <v>0</v>
      </c>
      <c r="R108" s="409" t="e">
        <f ca="1">R110+R111+R112</f>
        <v>#N/A</v>
      </c>
      <c r="S108" s="386">
        <f>'Расчет базового уровня'!T108</f>
        <v>0</v>
      </c>
      <c r="T108" s="409" t="e">
        <f ca="1">T110+T111+T112</f>
        <v>#N/A</v>
      </c>
      <c r="U108" s="386">
        <f>'Расчет базового уровня'!V108</f>
        <v>0</v>
      </c>
      <c r="V108" s="409" t="e">
        <f ca="1">V110+V111+V112</f>
        <v>#N/A</v>
      </c>
      <c r="W108" s="386">
        <f>'Расчет базового уровня'!X108</f>
        <v>0</v>
      </c>
      <c r="X108" s="409" t="e">
        <f ca="1">X110+X111+X112</f>
        <v>#N/A</v>
      </c>
      <c r="Y108" s="386">
        <f>'Расчет базового уровня'!Z108</f>
        <v>0</v>
      </c>
      <c r="Z108" s="409" t="e">
        <f ca="1">Z110+Z111+Z112</f>
        <v>#N/A</v>
      </c>
      <c r="AA108" s="386">
        <f>'Расчет базового уровня'!AB108</f>
        <v>0</v>
      </c>
      <c r="AB108" s="409" t="e">
        <f ca="1">AB110+AB111+AB112</f>
        <v>#N/A</v>
      </c>
      <c r="AC108" s="386">
        <f>'Расчет базового уровня'!AD108</f>
        <v>0</v>
      </c>
      <c r="AD108" s="409" t="e">
        <f ca="1">AD110+AD111+AD112</f>
        <v>#N/A</v>
      </c>
      <c r="AE108" s="386">
        <f>'Расчет базового уровня'!AF108</f>
        <v>0</v>
      </c>
      <c r="AF108" s="409" t="e">
        <f ca="1">AF110+AF111+AF112</f>
        <v>#N/A</v>
      </c>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row>
    <row r="109" spans="1:60" ht="23.25" customHeight="1" x14ac:dyDescent="0.25">
      <c r="A109" s="414" t="s">
        <v>868</v>
      </c>
      <c r="B109" s="378" t="s">
        <v>1165</v>
      </c>
      <c r="C109" s="390"/>
      <c r="D109" s="415">
        <f>IF(C108=0,0,D108/C108-1)</f>
        <v>0</v>
      </c>
      <c r="E109" s="50"/>
      <c r="F109" s="50"/>
      <c r="G109" s="414" t="s">
        <v>1304</v>
      </c>
      <c r="H109" s="378" t="s">
        <v>1165</v>
      </c>
      <c r="I109" s="390"/>
      <c r="J109" s="387">
        <f>IF(I108=0,0,J108/I108-1)</f>
        <v>0</v>
      </c>
      <c r="K109" s="390"/>
      <c r="L109" s="387">
        <f>IF(K108=0,0,L108/K108-1)</f>
        <v>0</v>
      </c>
      <c r="M109" s="390"/>
      <c r="N109" s="387">
        <f>IF(M108=0,0,N108/M108-1)</f>
        <v>0</v>
      </c>
      <c r="O109" s="390"/>
      <c r="P109" s="387">
        <f>IF(O108=0,0,P108/O108-1)</f>
        <v>0</v>
      </c>
      <c r="Q109" s="390"/>
      <c r="R109" s="387">
        <f>IF(Q108=0,0,R108/Q108-1)</f>
        <v>0</v>
      </c>
      <c r="S109" s="390"/>
      <c r="T109" s="387">
        <f>IF(S108=0,0,T108/S108-1)</f>
        <v>0</v>
      </c>
      <c r="U109" s="390"/>
      <c r="V109" s="387">
        <f>IF(U108=0,0,V108/U108-1)</f>
        <v>0</v>
      </c>
      <c r="W109" s="390"/>
      <c r="X109" s="387">
        <f>IF(W108=0,0,X108/W108-1)</f>
        <v>0</v>
      </c>
      <c r="Y109" s="390"/>
      <c r="Z109" s="387">
        <f>IF(Y108=0,0,Z108/Y108-1)</f>
        <v>0</v>
      </c>
      <c r="AA109" s="390"/>
      <c r="AB109" s="387">
        <f>IF(AA108=0,0,AB108/AA108-1)</f>
        <v>0</v>
      </c>
      <c r="AC109" s="390"/>
      <c r="AD109" s="387">
        <f>IF(AC108=0,0,AD108/AC108-1)</f>
        <v>0</v>
      </c>
      <c r="AE109" s="390"/>
      <c r="AF109" s="415">
        <f>IF(AE108=0,0,AF108/AE108-1)</f>
        <v>0</v>
      </c>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row>
    <row r="110" spans="1:60" ht="12.75" customHeight="1" x14ac:dyDescent="0.25">
      <c r="A110" s="414" t="s">
        <v>982</v>
      </c>
      <c r="B110" s="378" t="s">
        <v>837</v>
      </c>
      <c r="C110" s="386">
        <f>'Расчет базового уровня'!D110</f>
        <v>0</v>
      </c>
      <c r="D110" s="421" t="e">
        <f ca="1">'Система электроснабжения'!C50</f>
        <v>#N/A</v>
      </c>
      <c r="E110" s="381"/>
      <c r="F110" s="50"/>
      <c r="G110" s="414" t="s">
        <v>982</v>
      </c>
      <c r="H110" s="378" t="s">
        <v>837</v>
      </c>
      <c r="I110" s="390"/>
      <c r="J110" s="421" t="e">
        <f ca="1">'Система электроснабжения'!$E$50</f>
        <v>#N/A</v>
      </c>
      <c r="K110" s="390"/>
      <c r="L110" s="421" t="e">
        <f ca="1">'Система электроснабжения'!$F$50</f>
        <v>#N/A</v>
      </c>
      <c r="M110" s="390"/>
      <c r="N110" s="421" t="e">
        <f ca="1">'Система электроснабжения'!$G$50</f>
        <v>#N/A</v>
      </c>
      <c r="O110" s="390"/>
      <c r="P110" s="421" t="e">
        <f ca="1">'Система электроснабжения'!$H$50</f>
        <v>#N/A</v>
      </c>
      <c r="Q110" s="390"/>
      <c r="R110" s="421" t="e">
        <f ca="1">'Система электроснабжения'!$I$50</f>
        <v>#N/A</v>
      </c>
      <c r="S110" s="390"/>
      <c r="T110" s="421" t="e">
        <f ca="1">'Система электроснабжения'!$J$50</f>
        <v>#N/A</v>
      </c>
      <c r="U110" s="390"/>
      <c r="V110" s="421" t="e">
        <f ca="1">'Система электроснабжения'!$K$50</f>
        <v>#N/A</v>
      </c>
      <c r="W110" s="390"/>
      <c r="X110" s="421" t="e">
        <f ca="1">'Система электроснабжения'!$L$50</f>
        <v>#N/A</v>
      </c>
      <c r="Y110" s="390"/>
      <c r="Z110" s="421" t="e">
        <f ca="1">'Система электроснабжения'!$M$50</f>
        <v>#N/A</v>
      </c>
      <c r="AA110" s="390"/>
      <c r="AB110" s="421" t="e">
        <f ca="1">'Система электроснабжения'!$N$50</f>
        <v>#N/A</v>
      </c>
      <c r="AC110" s="390"/>
      <c r="AD110" s="421" t="e">
        <f ca="1">'Система электроснабжения'!$O$50</f>
        <v>#N/A</v>
      </c>
      <c r="AE110" s="390"/>
      <c r="AF110" s="421" t="e">
        <f ca="1">'Система электроснабжения'!$P$50</f>
        <v>#N/A</v>
      </c>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row>
    <row r="111" spans="1:60" ht="12.75" customHeight="1" x14ac:dyDescent="0.25">
      <c r="A111" s="414" t="s">
        <v>541</v>
      </c>
      <c r="B111" s="378" t="s">
        <v>837</v>
      </c>
      <c r="C111" s="386">
        <f>'Расчет базового уровня'!D111</f>
        <v>0</v>
      </c>
      <c r="D111" s="421">
        <f>IF(OR('Список мероприятий'!$AB$46=1,'Список мероприятий'!$AB$51=1,'Список мероприятий'!$D$35=списки!$N$46,'Список мероприятий'!$AB$41=1),'Система электроснабжения'!$C$65,'Расчет базового уровня'!D111*IF('Список мероприятий'!AB54=1,0.957,1))</f>
        <v>0</v>
      </c>
      <c r="E111" s="50"/>
      <c r="F111" s="50"/>
      <c r="G111" s="414" t="s">
        <v>541</v>
      </c>
      <c r="H111" s="378" t="s">
        <v>837</v>
      </c>
      <c r="I111" s="390"/>
      <c r="J111" s="421">
        <f>IF(OR('Список мероприятий'!$AB$46=1,'Список мероприятий'!$AB$51=1,'Список мероприятий'!$D$35=списки!$N$46,'Список мероприятий'!$AB$41=1),'Система электроснабжения'!$E$65,'Расчет базового уровня'!I111*IF('Список мероприятий'!AB54=1,0.957,1))</f>
        <v>0</v>
      </c>
      <c r="K111" s="390"/>
      <c r="L111" s="421">
        <f>IF(OR('Список мероприятий'!$AB$46=1,'Список мероприятий'!$AB$51=1,'Список мероприятий'!$D$35=списки!$N$46,'Список мероприятий'!$AB$41=1),'Система электроснабжения'!$F$65,'Расчет базового уровня'!K111*IF('Список мероприятий'!AB54=1,0.957,1))</f>
        <v>0</v>
      </c>
      <c r="M111" s="390"/>
      <c r="N111" s="421">
        <f>IF(OR('Список мероприятий'!$AB$46=1,'Список мероприятий'!$AB$51=1,'Список мероприятий'!$D$35=списки!$N$46,'Список мероприятий'!$AB$41=1),'Система электроснабжения'!$G$65,'Расчет базового уровня'!M111*IF('Список мероприятий'!AB54=1,0.957,1))</f>
        <v>0</v>
      </c>
      <c r="O111" s="390"/>
      <c r="P111" s="421">
        <f>IF(OR('Список мероприятий'!$AB$46=1,'Список мероприятий'!$AB$51=1,'Список мероприятий'!$D$35=списки!$N$46,'Список мероприятий'!$AB$41=1),'Система электроснабжения'!$H$65,'Расчет базового уровня'!O111*IF('Список мероприятий'!AB54=1,0.957,1))</f>
        <v>0</v>
      </c>
      <c r="Q111" s="390"/>
      <c r="R111" s="421">
        <f>IF(OR('Список мероприятий'!$AB$46=1,'Список мероприятий'!$AB$51=1,'Список мероприятий'!$D$35=списки!$N$46,'Список мероприятий'!$AB$41=1),'Система электроснабжения'!$I$65,'Расчет базового уровня'!Q111*IF('Список мероприятий'!AB54=1,0.957,1))</f>
        <v>0</v>
      </c>
      <c r="S111" s="390"/>
      <c r="T111" s="421">
        <f>IF(OR('Список мероприятий'!$AB$46=1,'Список мероприятий'!$AB$51=1,'Список мероприятий'!$D$35=списки!$N$46,'Список мероприятий'!$AB$41=1),'Система электроснабжения'!$J$65,'Расчет базового уровня'!S111*IF('Список мероприятий'!AB54=1,0.957,1))</f>
        <v>0</v>
      </c>
      <c r="U111" s="390"/>
      <c r="V111" s="421">
        <f>IF(OR('Список мероприятий'!$AB$46=1,'Список мероприятий'!$AB$51=1,'Список мероприятий'!$D$35=списки!$N$46,'Список мероприятий'!$AB$41=1),'Система электроснабжения'!$K$65,'Расчет базового уровня'!U111*IF('Список мероприятий'!AB54=1,0.957,1))</f>
        <v>0</v>
      </c>
      <c r="W111" s="390"/>
      <c r="X111" s="421">
        <f>IF(OR('Список мероприятий'!$AB$46=1,'Список мероприятий'!$AB$51=1,'Список мероприятий'!$D$35=списки!$N$46,'Список мероприятий'!$AB$41=1),'Система электроснабжения'!$L$65,'Расчет базового уровня'!W111*IF('Список мероприятий'!AB54=1,0.957,1))</f>
        <v>0</v>
      </c>
      <c r="Y111" s="390"/>
      <c r="Z111" s="421">
        <f>IF(OR('Список мероприятий'!$AB$46=1,'Список мероприятий'!$AB$51=1,'Список мероприятий'!$D$35=списки!$N$46,'Список мероприятий'!$AB$41=1),'Система электроснабжения'!$M$65,'Расчет базового уровня'!Y111*IF('Список мероприятий'!AB54=1,0.957,1))</f>
        <v>0</v>
      </c>
      <c r="AA111" s="390"/>
      <c r="AB111" s="421">
        <f>IF(OR('Список мероприятий'!$AB$46=1,'Список мероприятий'!$AB$51=1,'Список мероприятий'!$D$35=списки!$N$46,'Список мероприятий'!$AB$41=1),'Система электроснабжения'!$N$65,'Расчет базового уровня'!AA111*IF('Список мероприятий'!AB54=1,0.957,1))</f>
        <v>0</v>
      </c>
      <c r="AC111" s="390"/>
      <c r="AD111" s="421">
        <f>IF(OR('Список мероприятий'!$AB$46=1,'Список мероприятий'!$AB$51=1,'Список мероприятий'!$D$35=списки!$N$46,'Список мероприятий'!$AB$41=1),'Система электроснабжения'!$O$65,'Расчет базового уровня'!AC111*IF('Список мероприятий'!AB54=1,0.957,1))</f>
        <v>0</v>
      </c>
      <c r="AE111" s="390"/>
      <c r="AF111" s="421">
        <f>IF(OR('Список мероприятий'!$AB$46=1,'Список мероприятий'!$AB$51=1,'Список мероприятий'!$D$35=списки!$N$46,'Список мероприятий'!$AB$41=1),'Система электроснабжения'!$P$65,'Расчет базового уровня'!AE111*IF('Список мероприятий'!AB54=1,0.957,1))</f>
        <v>0</v>
      </c>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row>
    <row r="112" spans="1:60" ht="12.75" customHeight="1" x14ac:dyDescent="0.25">
      <c r="A112" s="414" t="s">
        <v>1313</v>
      </c>
      <c r="B112" s="378" t="s">
        <v>837</v>
      </c>
      <c r="C112" s="386">
        <f>'Расчет базового уровня'!D112</f>
        <v>0</v>
      </c>
      <c r="D112" s="421">
        <f>IF(OR('Список мероприятий'!$AB$47=1,'Список мероприятий'!$AB$52=1),0.9*'Расчет базового уровня'!D112,'Расчет базового уровня'!D112)*IF('Список мероприятий'!AB54=1,0.957,1)</f>
        <v>0</v>
      </c>
      <c r="E112" s="50"/>
      <c r="F112" s="50"/>
      <c r="G112" s="414" t="s">
        <v>1313</v>
      </c>
      <c r="H112" s="378" t="s">
        <v>837</v>
      </c>
      <c r="I112" s="390"/>
      <c r="J112" s="421">
        <f>$D$112/12</f>
        <v>0</v>
      </c>
      <c r="K112" s="390"/>
      <c r="L112" s="421">
        <f>$D$112/12</f>
        <v>0</v>
      </c>
      <c r="M112" s="390"/>
      <c r="N112" s="421">
        <f>$D$112/12</f>
        <v>0</v>
      </c>
      <c r="O112" s="390"/>
      <c r="P112" s="421">
        <f>$D$112/12</f>
        <v>0</v>
      </c>
      <c r="Q112" s="390"/>
      <c r="R112" s="421">
        <f>$D$112/12</f>
        <v>0</v>
      </c>
      <c r="S112" s="390"/>
      <c r="T112" s="421">
        <f>$D$112/12</f>
        <v>0</v>
      </c>
      <c r="U112" s="390"/>
      <c r="V112" s="421">
        <f>$D$112/12</f>
        <v>0</v>
      </c>
      <c r="W112" s="390"/>
      <c r="X112" s="421">
        <f>$D$112/12</f>
        <v>0</v>
      </c>
      <c r="Y112" s="390"/>
      <c r="Z112" s="421">
        <f>$D$112/12</f>
        <v>0</v>
      </c>
      <c r="AA112" s="390"/>
      <c r="AB112" s="421">
        <f>$D$112/12</f>
        <v>0</v>
      </c>
      <c r="AC112" s="390"/>
      <c r="AD112" s="421">
        <f>$D$112/12</f>
        <v>0</v>
      </c>
      <c r="AE112" s="390"/>
      <c r="AF112" s="421">
        <f>$D$112/12</f>
        <v>0</v>
      </c>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row>
    <row r="113" spans="1:60" ht="25.5" customHeight="1" x14ac:dyDescent="0.25">
      <c r="A113" s="416" t="s">
        <v>1211</v>
      </c>
      <c r="B113" s="378" t="s">
        <v>837</v>
      </c>
      <c r="C113" s="386">
        <f>'Расчет базового уровня'!D113</f>
        <v>0</v>
      </c>
      <c r="D113" s="409">
        <f>'Ввод исходных данных'!$D$179*'Ввод исходных данных'!$D$180</f>
        <v>0</v>
      </c>
      <c r="E113" s="50"/>
      <c r="F113" s="50"/>
      <c r="G113" s="416" t="s">
        <v>1211</v>
      </c>
      <c r="H113" s="378" t="s">
        <v>837</v>
      </c>
      <c r="I113" s="386">
        <f>'Расчет базового уровня'!J113</f>
        <v>0</v>
      </c>
      <c r="J113" s="390">
        <f>$D$113/12</f>
        <v>0</v>
      </c>
      <c r="K113" s="386">
        <f>'Расчет базового уровня'!L113</f>
        <v>0</v>
      </c>
      <c r="L113" s="390">
        <f>$D$113/12</f>
        <v>0</v>
      </c>
      <c r="M113" s="386">
        <f>'Расчет базового уровня'!N113</f>
        <v>0</v>
      </c>
      <c r="N113" s="390">
        <f>$D$113/12</f>
        <v>0</v>
      </c>
      <c r="O113" s="386">
        <f>'Расчет базового уровня'!P113</f>
        <v>0</v>
      </c>
      <c r="P113" s="390">
        <f>$D$113/12</f>
        <v>0</v>
      </c>
      <c r="Q113" s="386">
        <f>'Расчет базового уровня'!R113</f>
        <v>0</v>
      </c>
      <c r="R113" s="390">
        <f>$D$113/12</f>
        <v>0</v>
      </c>
      <c r="S113" s="386">
        <f>'Расчет базового уровня'!T113</f>
        <v>0</v>
      </c>
      <c r="T113" s="390">
        <f>$D$113/12</f>
        <v>0</v>
      </c>
      <c r="U113" s="386">
        <f>'Расчет базового уровня'!V113</f>
        <v>0</v>
      </c>
      <c r="V113" s="390">
        <f>$D$113/12</f>
        <v>0</v>
      </c>
      <c r="W113" s="386">
        <f>'Расчет базового уровня'!X113</f>
        <v>0</v>
      </c>
      <c r="X113" s="390">
        <f>$D$113/12</f>
        <v>0</v>
      </c>
      <c r="Y113" s="386">
        <f>'Расчет базового уровня'!Z113</f>
        <v>0</v>
      </c>
      <c r="Z113" s="390">
        <f>$D$113/12</f>
        <v>0</v>
      </c>
      <c r="AA113" s="386">
        <f>'Расчет базового уровня'!AB113</f>
        <v>0</v>
      </c>
      <c r="AB113" s="390">
        <f>$D$113/12</f>
        <v>0</v>
      </c>
      <c r="AC113" s="386">
        <f>'Расчет базового уровня'!AD113</f>
        <v>0</v>
      </c>
      <c r="AD113" s="390">
        <f>$D$113/12</f>
        <v>0</v>
      </c>
      <c r="AE113" s="386">
        <f>'Расчет базового уровня'!AF113</f>
        <v>0</v>
      </c>
      <c r="AF113" s="422">
        <f>$D$113/12</f>
        <v>0</v>
      </c>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row>
    <row r="114" spans="1:60" ht="18.75" customHeight="1" x14ac:dyDescent="0.25">
      <c r="A114" s="414" t="s">
        <v>868</v>
      </c>
      <c r="B114" s="378" t="s">
        <v>1165</v>
      </c>
      <c r="C114" s="390"/>
      <c r="D114" s="415">
        <f>IF(C113=0,0,D113/C113-1)</f>
        <v>0</v>
      </c>
      <c r="E114" s="50"/>
      <c r="F114" s="50"/>
      <c r="G114" s="414" t="s">
        <v>1304</v>
      </c>
      <c r="H114" s="378" t="s">
        <v>1165</v>
      </c>
      <c r="I114" s="390"/>
      <c r="J114" s="387">
        <f>IF(I113=0,0,J113/I113-1)</f>
        <v>0</v>
      </c>
      <c r="K114" s="390"/>
      <c r="L114" s="387">
        <f>IF(K113=0,0,L113/K113-1)</f>
        <v>0</v>
      </c>
      <c r="M114" s="390"/>
      <c r="N114" s="387">
        <f>IF(M113=0,0,N113/M113-1)</f>
        <v>0</v>
      </c>
      <c r="O114" s="390"/>
      <c r="P114" s="387">
        <f>IF(O113=0,0,P113/O113-1)</f>
        <v>0</v>
      </c>
      <c r="Q114" s="390"/>
      <c r="R114" s="387">
        <f>IF(Q113=0,0,R113/Q113-1)</f>
        <v>0</v>
      </c>
      <c r="S114" s="390"/>
      <c r="T114" s="387">
        <f>IF(S113=0,0,T113/S113-1)</f>
        <v>0</v>
      </c>
      <c r="U114" s="390"/>
      <c r="V114" s="387">
        <f>IF(U113=0,0,V113/U113-1)</f>
        <v>0</v>
      </c>
      <c r="W114" s="390"/>
      <c r="X114" s="387">
        <f>IF(W113=0,0,X113/W113-1)</f>
        <v>0</v>
      </c>
      <c r="Y114" s="390"/>
      <c r="Z114" s="387">
        <f>IF(Y113=0,0,Z113/Y113-1)</f>
        <v>0</v>
      </c>
      <c r="AA114" s="390"/>
      <c r="AB114" s="387">
        <f>IF(AA113=0,0,AB113/AA113-1)</f>
        <v>0</v>
      </c>
      <c r="AC114" s="390"/>
      <c r="AD114" s="387">
        <f>IF(AC113=0,0,AD113/AC113-1)</f>
        <v>0</v>
      </c>
      <c r="AE114" s="390"/>
      <c r="AF114" s="415">
        <f>IF(AE113=0,0,AF113/AE113-1)</f>
        <v>0</v>
      </c>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row>
    <row r="115" spans="1:60" ht="39.6" customHeight="1" x14ac:dyDescent="0.25">
      <c r="A115" s="423" t="s">
        <v>1212</v>
      </c>
      <c r="B115" s="378" t="s">
        <v>837</v>
      </c>
      <c r="C115" s="390"/>
      <c r="D115" s="413"/>
      <c r="E115" s="50"/>
      <c r="F115" s="50"/>
      <c r="G115" s="423" t="s">
        <v>1213</v>
      </c>
      <c r="H115" s="378" t="s">
        <v>837</v>
      </c>
      <c r="I115" s="390"/>
      <c r="J115" s="390"/>
      <c r="K115" s="390"/>
      <c r="L115" s="390"/>
      <c r="M115" s="390"/>
      <c r="N115" s="390"/>
      <c r="O115" s="390"/>
      <c r="P115" s="419"/>
      <c r="Q115" s="390"/>
      <c r="R115" s="390"/>
      <c r="S115" s="390"/>
      <c r="T115" s="390"/>
      <c r="U115" s="390"/>
      <c r="V115" s="419"/>
      <c r="W115" s="390"/>
      <c r="X115" s="419"/>
      <c r="Y115" s="390"/>
      <c r="Z115" s="390"/>
      <c r="AA115" s="390"/>
      <c r="AB115" s="419"/>
      <c r="AC115" s="390"/>
      <c r="AD115" s="419"/>
      <c r="AE115" s="390"/>
      <c r="AF115" s="42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row>
    <row r="116" spans="1:60" ht="15.75" thickBot="1" x14ac:dyDescent="0.3">
      <c r="A116" s="414" t="s">
        <v>868</v>
      </c>
      <c r="B116" s="378" t="s">
        <v>1165</v>
      </c>
      <c r="C116" s="390"/>
      <c r="D116" s="413"/>
      <c r="E116" s="50"/>
      <c r="F116" s="50"/>
      <c r="G116" s="414" t="s">
        <v>868</v>
      </c>
      <c r="H116" s="378" t="s">
        <v>1165</v>
      </c>
      <c r="I116" s="390"/>
      <c r="J116" s="390"/>
      <c r="K116" s="390"/>
      <c r="L116" s="390"/>
      <c r="M116" s="390"/>
      <c r="N116" s="390"/>
      <c r="O116" s="390"/>
      <c r="P116" s="390"/>
      <c r="Q116" s="390"/>
      <c r="R116" s="390"/>
      <c r="S116" s="390"/>
      <c r="T116" s="390"/>
      <c r="U116" s="390"/>
      <c r="V116" s="390"/>
      <c r="W116" s="390"/>
      <c r="X116" s="390"/>
      <c r="Y116" s="390"/>
      <c r="Z116" s="390"/>
      <c r="AA116" s="390"/>
      <c r="AB116" s="419"/>
      <c r="AC116" s="390"/>
      <c r="AD116" s="390"/>
      <c r="AE116" s="390"/>
      <c r="AF116" s="422"/>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row>
    <row r="117" spans="1:60" ht="24.75" thickBot="1" x14ac:dyDescent="0.3">
      <c r="A117" s="424" t="s">
        <v>1214</v>
      </c>
      <c r="B117" s="425" t="s">
        <v>1174</v>
      </c>
      <c r="C117" s="426" t="e">
        <f>'Расчет базового уровня'!D117</f>
        <v>#DIV/0!</v>
      </c>
      <c r="D117" s="427" t="e">
        <f ca="1">D100/('Ввод исходных данных'!$G$56+'Ввод исходных данных'!$D$23)</f>
        <v>#N/A</v>
      </c>
      <c r="E117" s="50"/>
      <c r="F117" s="50"/>
      <c r="G117" s="428"/>
      <c r="H117" s="429"/>
      <c r="I117" s="426">
        <f>'Расчет базового уровня'!J117</f>
        <v>0</v>
      </c>
      <c r="J117" s="429"/>
      <c r="K117" s="426">
        <f>'Расчет базового уровня'!M117</f>
        <v>0</v>
      </c>
      <c r="L117" s="429"/>
      <c r="M117" s="426">
        <f>'Расчет базового уровня'!P117</f>
        <v>0</v>
      </c>
      <c r="N117" s="429"/>
      <c r="O117" s="426">
        <f>'Расчет базового уровня'!S117</f>
        <v>0</v>
      </c>
      <c r="P117" s="429"/>
      <c r="Q117" s="426">
        <f>'Расчет базового уровня'!V117</f>
        <v>0</v>
      </c>
      <c r="R117" s="429"/>
      <c r="S117" s="426">
        <f>'Расчет базового уровня'!Y117</f>
        <v>0</v>
      </c>
      <c r="T117" s="429"/>
      <c r="U117" s="426">
        <f>'Расчет базового уровня'!AB117</f>
        <v>0</v>
      </c>
      <c r="V117" s="429"/>
      <c r="W117" s="426">
        <f>'Расчет базового уровня'!AE117</f>
        <v>0</v>
      </c>
      <c r="X117" s="429"/>
      <c r="Y117" s="426">
        <f>'Расчет базового уровня'!AH117</f>
        <v>0</v>
      </c>
      <c r="Z117" s="429"/>
      <c r="AA117" s="426">
        <f>'Расчет базового уровня'!AK117</f>
        <v>0</v>
      </c>
      <c r="AB117" s="429"/>
      <c r="AC117" s="426">
        <f>'Расчет базового уровня'!AN117</f>
        <v>0</v>
      </c>
      <c r="AD117" s="429"/>
      <c r="AE117" s="426">
        <f>'Расчет базового уровня'!AQ117</f>
        <v>0</v>
      </c>
      <c r="AF117" s="43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row>
    <row r="118" spans="1:60" ht="42" customHeight="1"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row>
    <row r="119" spans="1:60" ht="31.5" customHeight="1"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row>
    <row r="120" spans="1:60"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row>
    <row r="121" spans="1:60"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row>
    <row r="122" spans="1:60"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row>
    <row r="123" spans="1:60"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row>
    <row r="124" spans="1:60"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row>
    <row r="125" spans="1:60"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row>
    <row r="126" spans="1:60"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row>
    <row r="127" spans="1:60"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row>
    <row r="128" spans="1:60"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row>
    <row r="129" spans="1:60"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row>
    <row r="130" spans="1:60"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row>
    <row r="131" spans="1:60" x14ac:dyDescent="0.25">
      <c r="A131" s="50"/>
      <c r="B131" s="50"/>
      <c r="C131" s="50"/>
      <c r="D131" s="431" t="s">
        <v>740</v>
      </c>
      <c r="E131" s="50"/>
      <c r="F131" s="50"/>
      <c r="G131" s="431" t="s">
        <v>535</v>
      </c>
      <c r="H131" s="431" t="s">
        <v>536</v>
      </c>
      <c r="I131" s="431" t="s">
        <v>537</v>
      </c>
      <c r="J131" s="431" t="s">
        <v>538</v>
      </c>
      <c r="K131" s="431" t="s">
        <v>724</v>
      </c>
      <c r="L131" s="431" t="s">
        <v>725</v>
      </c>
      <c r="M131" s="431" t="s">
        <v>720</v>
      </c>
      <c r="N131" s="431" t="s">
        <v>721</v>
      </c>
      <c r="O131" s="431" t="s">
        <v>722</v>
      </c>
      <c r="P131" s="431" t="s">
        <v>727</v>
      </c>
      <c r="Q131" s="431" t="s">
        <v>533</v>
      </c>
      <c r="R131" s="431" t="s">
        <v>534</v>
      </c>
      <c r="S131" s="432"/>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row>
    <row r="132" spans="1:60" x14ac:dyDescent="0.25">
      <c r="A132" s="50"/>
      <c r="B132" s="50"/>
      <c r="C132" s="50"/>
      <c r="D132" s="50"/>
      <c r="E132" s="50"/>
      <c r="F132" s="50"/>
      <c r="G132" s="433">
        <f>R132+4</f>
        <v>32</v>
      </c>
      <c r="H132" s="433">
        <f>G132+4</f>
        <v>36</v>
      </c>
      <c r="I132" s="433">
        <f>H132+4</f>
        <v>40</v>
      </c>
      <c r="J132" s="433">
        <f>I132+4</f>
        <v>44</v>
      </c>
      <c r="K132" s="433">
        <f>J132+4</f>
        <v>48</v>
      </c>
      <c r="L132" s="433">
        <f>K132+4</f>
        <v>52</v>
      </c>
      <c r="M132" s="433">
        <v>8</v>
      </c>
      <c r="N132" s="433">
        <f>M132+4</f>
        <v>12</v>
      </c>
      <c r="O132" s="433">
        <f>N132+4</f>
        <v>16</v>
      </c>
      <c r="P132" s="433">
        <f>O132+4</f>
        <v>20</v>
      </c>
      <c r="Q132" s="433">
        <f>P132+4</f>
        <v>24</v>
      </c>
      <c r="R132" s="433">
        <f>Q132+4</f>
        <v>28</v>
      </c>
      <c r="S132" s="434"/>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row>
    <row r="133" spans="1:60" x14ac:dyDescent="0.25">
      <c r="A133" s="435" t="s">
        <v>1554</v>
      </c>
      <c r="B133" s="435"/>
      <c r="C133" s="435">
        <f>IF('Список мероприятий'!AB9=1,IFERROR(VLOOKUP(CONCATENATE('Список мероприятий'!D10,'Список мероприятий'!D11),'Библиотека технологий'!$C$3:$D$35,2,0),0),0)</f>
        <v>0</v>
      </c>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row>
    <row r="134" spans="1:60" x14ac:dyDescent="0.25">
      <c r="A134" s="431"/>
      <c r="B134" s="436" t="s">
        <v>443</v>
      </c>
      <c r="C134" s="436" t="s">
        <v>741</v>
      </c>
      <c r="D134" s="436" t="s">
        <v>517</v>
      </c>
      <c r="E134" s="437" t="s">
        <v>528</v>
      </c>
      <c r="F134" s="436"/>
      <c r="G134" s="438" t="s">
        <v>896</v>
      </c>
      <c r="H134" s="438" t="s">
        <v>896</v>
      </c>
      <c r="I134" s="438" t="s">
        <v>896</v>
      </c>
      <c r="J134" s="438" t="s">
        <v>896</v>
      </c>
      <c r="K134" s="438" t="s">
        <v>896</v>
      </c>
      <c r="L134" s="438" t="s">
        <v>896</v>
      </c>
      <c r="M134" s="438" t="s">
        <v>896</v>
      </c>
      <c r="N134" s="438" t="s">
        <v>896</v>
      </c>
      <c r="O134" s="438" t="s">
        <v>896</v>
      </c>
      <c r="P134" s="438" t="s">
        <v>896</v>
      </c>
      <c r="Q134" s="438" t="s">
        <v>896</v>
      </c>
      <c r="R134" s="438" t="s">
        <v>896</v>
      </c>
      <c r="S134" s="439"/>
      <c r="T134" s="50"/>
      <c r="U134" s="50"/>
      <c r="V134" s="50"/>
      <c r="W134" s="50"/>
      <c r="X134" s="50"/>
      <c r="Y134" s="50"/>
      <c r="Z134" s="50"/>
      <c r="AA134" s="50"/>
      <c r="AB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row>
    <row r="135" spans="1:60" x14ac:dyDescent="0.25">
      <c r="A135" s="431"/>
      <c r="B135" s="436" t="s">
        <v>492</v>
      </c>
      <c r="C135" s="436" t="s">
        <v>516</v>
      </c>
      <c r="D135" s="436"/>
      <c r="E135" s="436" t="s">
        <v>530</v>
      </c>
      <c r="F135" s="440" t="s">
        <v>1522</v>
      </c>
      <c r="G135" s="436" t="s">
        <v>496</v>
      </c>
      <c r="H135" s="436" t="s">
        <v>496</v>
      </c>
      <c r="I135" s="436" t="s">
        <v>496</v>
      </c>
      <c r="J135" s="436" t="s">
        <v>496</v>
      </c>
      <c r="K135" s="436" t="s">
        <v>496</v>
      </c>
      <c r="L135" s="436" t="s">
        <v>496</v>
      </c>
      <c r="M135" s="436" t="s">
        <v>496</v>
      </c>
      <c r="N135" s="436" t="s">
        <v>496</v>
      </c>
      <c r="O135" s="436" t="s">
        <v>496</v>
      </c>
      <c r="P135" s="436" t="s">
        <v>496</v>
      </c>
      <c r="Q135" s="436" t="s">
        <v>496</v>
      </c>
      <c r="R135" s="436" t="s">
        <v>496</v>
      </c>
      <c r="S135" s="441"/>
      <c r="T135" s="50"/>
      <c r="U135" s="50"/>
      <c r="V135" s="50"/>
      <c r="W135" s="50"/>
      <c r="X135" s="50"/>
      <c r="Y135" s="50"/>
      <c r="Z135" s="50"/>
      <c r="AA135" s="50"/>
      <c r="AB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row>
    <row r="136" spans="1:60" x14ac:dyDescent="0.25">
      <c r="A136" s="442" t="s">
        <v>514</v>
      </c>
      <c r="B136" s="443">
        <f>'Расчет базового уровня'!B136</f>
        <v>0</v>
      </c>
      <c r="C136" s="444" t="e">
        <f>'Расчет базового уровня'!C136/IF('Список мероприятий'!AB12=1,0.7/0.9,1)+(C133*'Расчет базового уровня'!C136)/(C133*(1-'Список мероприятий'!F9/'Расчет после реализации'!B136)+'Расчет базового уровня'!C136*'Список мероприятий'!F9/'Расчет после реализации'!B136)</f>
        <v>#N/A</v>
      </c>
      <c r="D136" s="443">
        <v>1</v>
      </c>
      <c r="E136" s="445" t="e">
        <f>IF(C136=0,0,B136/C136*D136)*(1-D165)</f>
        <v>#N/A</v>
      </c>
      <c r="F136" s="446" t="e">
        <f>E136*(20-$D$147)</f>
        <v>#N/A</v>
      </c>
      <c r="G136" s="445" t="e">
        <f t="shared" ref="G136:R136" ca="1" si="0">$E$136*0.024*G$149</f>
        <v>#N/A</v>
      </c>
      <c r="H136" s="445" t="e">
        <f t="shared" ca="1" si="0"/>
        <v>#N/A</v>
      </c>
      <c r="I136" s="445" t="e">
        <f t="shared" ca="1" si="0"/>
        <v>#N/A</v>
      </c>
      <c r="J136" s="445" t="e">
        <f t="shared" ca="1" si="0"/>
        <v>#N/A</v>
      </c>
      <c r="K136" s="445" t="e">
        <f t="shared" ca="1" si="0"/>
        <v>#N/A</v>
      </c>
      <c r="L136" s="445" t="e">
        <f t="shared" ca="1" si="0"/>
        <v>#N/A</v>
      </c>
      <c r="M136" s="445" t="e">
        <f t="shared" ca="1" si="0"/>
        <v>#N/A</v>
      </c>
      <c r="N136" s="445" t="e">
        <f t="shared" ca="1" si="0"/>
        <v>#N/A</v>
      </c>
      <c r="O136" s="445" t="e">
        <f t="shared" ca="1" si="0"/>
        <v>#N/A</v>
      </c>
      <c r="P136" s="445" t="e">
        <f t="shared" ca="1" si="0"/>
        <v>#N/A</v>
      </c>
      <c r="Q136" s="445" t="e">
        <f t="shared" ca="1" si="0"/>
        <v>#N/A</v>
      </c>
      <c r="R136" s="445" t="e">
        <f t="shared" ca="1" si="0"/>
        <v>#N/A</v>
      </c>
      <c r="S136" s="447"/>
      <c r="T136" s="50"/>
      <c r="U136" s="50"/>
      <c r="V136" s="50"/>
      <c r="W136" s="50"/>
      <c r="X136" s="50"/>
      <c r="Y136" s="50"/>
      <c r="Z136" s="50"/>
      <c r="AA136" s="50"/>
      <c r="AB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row>
    <row r="137" spans="1:60" x14ac:dyDescent="0.25">
      <c r="A137" s="442" t="s">
        <v>611</v>
      </c>
      <c r="B137" s="443">
        <f>'Расчет базового уровня'!B137</f>
        <v>0</v>
      </c>
      <c r="C137" s="448" t="e">
        <f>IF('Список мероприятий'!AB16=1,VLOOKUP('Список мероприятий'!D17,'Библиотека технологий'!A50:B61,2,0),'Расчет базового уровня'!C137)</f>
        <v>#N/A</v>
      </c>
      <c r="D137" s="443">
        <v>1</v>
      </c>
      <c r="E137" s="445" t="e">
        <f t="shared" ref="E137:E143" si="1">IF(C137=0,0,B137/C137*D137)</f>
        <v>#N/A</v>
      </c>
      <c r="F137" s="446" t="e">
        <f t="shared" ref="F137:F145" si="2">E137*(20-$D$147)</f>
        <v>#N/A</v>
      </c>
      <c r="G137" s="445" t="e">
        <f t="shared" ref="G137:R137" ca="1" si="3">$E$137*0.024*G$149</f>
        <v>#N/A</v>
      </c>
      <c r="H137" s="445" t="e">
        <f t="shared" ca="1" si="3"/>
        <v>#N/A</v>
      </c>
      <c r="I137" s="445" t="e">
        <f t="shared" ca="1" si="3"/>
        <v>#N/A</v>
      </c>
      <c r="J137" s="445" t="e">
        <f t="shared" ca="1" si="3"/>
        <v>#N/A</v>
      </c>
      <c r="K137" s="445" t="e">
        <f t="shared" ca="1" si="3"/>
        <v>#N/A</v>
      </c>
      <c r="L137" s="445" t="e">
        <f t="shared" ca="1" si="3"/>
        <v>#N/A</v>
      </c>
      <c r="M137" s="445" t="e">
        <f t="shared" ca="1" si="3"/>
        <v>#N/A</v>
      </c>
      <c r="N137" s="445" t="e">
        <f t="shared" ca="1" si="3"/>
        <v>#N/A</v>
      </c>
      <c r="O137" s="445" t="e">
        <f t="shared" ca="1" si="3"/>
        <v>#N/A</v>
      </c>
      <c r="P137" s="445" t="e">
        <f t="shared" ca="1" si="3"/>
        <v>#N/A</v>
      </c>
      <c r="Q137" s="445" t="e">
        <f t="shared" ca="1" si="3"/>
        <v>#N/A</v>
      </c>
      <c r="R137" s="445" t="e">
        <f t="shared" ca="1" si="3"/>
        <v>#N/A</v>
      </c>
      <c r="S137" s="447"/>
      <c r="T137" s="50"/>
      <c r="U137" s="50"/>
      <c r="V137" s="50"/>
      <c r="W137" s="50"/>
      <c r="X137" s="50"/>
      <c r="Y137" s="50"/>
      <c r="Z137" s="50"/>
      <c r="AA137" s="50"/>
      <c r="AB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row>
    <row r="138" spans="1:60" x14ac:dyDescent="0.25">
      <c r="A138" s="442" t="s">
        <v>612</v>
      </c>
      <c r="B138" s="443">
        <f>'Расчет базового уровня'!B138</f>
        <v>0</v>
      </c>
      <c r="C138" s="443" t="e">
        <f>IF('Список мероприятий'!AB14=1,VLOOKUP('Список мероприятий'!D15,'Библиотека технологий'!A40:B47,2,0),'Расчет базового уровня'!C138)</f>
        <v>#DIV/0!</v>
      </c>
      <c r="D138" s="443">
        <v>1</v>
      </c>
      <c r="E138" s="445" t="e">
        <f t="shared" si="1"/>
        <v>#DIV/0!</v>
      </c>
      <c r="F138" s="446" t="e">
        <f t="shared" si="2"/>
        <v>#DIV/0!</v>
      </c>
      <c r="G138" s="445" t="e">
        <f t="shared" ref="G138:R138" ca="1" si="4">$E$138*0.024*G$149</f>
        <v>#DIV/0!</v>
      </c>
      <c r="H138" s="445" t="e">
        <f t="shared" ca="1" si="4"/>
        <v>#DIV/0!</v>
      </c>
      <c r="I138" s="445" t="e">
        <f t="shared" ca="1" si="4"/>
        <v>#DIV/0!</v>
      </c>
      <c r="J138" s="445" t="e">
        <f t="shared" ca="1" si="4"/>
        <v>#DIV/0!</v>
      </c>
      <c r="K138" s="445" t="e">
        <f t="shared" ca="1" si="4"/>
        <v>#DIV/0!</v>
      </c>
      <c r="L138" s="445" t="e">
        <f t="shared" ca="1" si="4"/>
        <v>#DIV/0!</v>
      </c>
      <c r="M138" s="445" t="e">
        <f t="shared" ca="1" si="4"/>
        <v>#DIV/0!</v>
      </c>
      <c r="N138" s="445" t="e">
        <f t="shared" ca="1" si="4"/>
        <v>#DIV/0!</v>
      </c>
      <c r="O138" s="445" t="e">
        <f t="shared" ca="1" si="4"/>
        <v>#DIV/0!</v>
      </c>
      <c r="P138" s="445" t="e">
        <f t="shared" ca="1" si="4"/>
        <v>#DIV/0!</v>
      </c>
      <c r="Q138" s="445" t="e">
        <f t="shared" ca="1" si="4"/>
        <v>#DIV/0!</v>
      </c>
      <c r="R138" s="445" t="e">
        <f t="shared" ca="1" si="4"/>
        <v>#DIV/0!</v>
      </c>
      <c r="S138" s="447"/>
      <c r="T138" s="50"/>
      <c r="U138" s="50"/>
      <c r="V138" s="50"/>
      <c r="W138" s="50"/>
      <c r="X138" s="50"/>
      <c r="Y138" s="50"/>
      <c r="Z138" s="50"/>
      <c r="AA138" s="50"/>
      <c r="AB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row>
    <row r="139" spans="1:60" x14ac:dyDescent="0.25">
      <c r="A139" s="442" t="s">
        <v>1512</v>
      </c>
      <c r="B139" s="445">
        <f>'Расчет базового уровня'!B139</f>
        <v>0</v>
      </c>
      <c r="C139" s="448">
        <f>'Расчет базового уровня'!C139</f>
        <v>0.4</v>
      </c>
      <c r="D139" s="445">
        <f>'Расчет базового уровня'!D139</f>
        <v>1</v>
      </c>
      <c r="E139" s="445">
        <f>'Расчет базового уровня'!E139</f>
        <v>0</v>
      </c>
      <c r="F139" s="446" t="e">
        <f t="shared" si="2"/>
        <v>#N/A</v>
      </c>
      <c r="G139" s="445" t="e">
        <f>'Расчет базового уровня'!G139</f>
        <v>#N/A</v>
      </c>
      <c r="H139" s="445" t="e">
        <f>'Расчет базового уровня'!H139</f>
        <v>#N/A</v>
      </c>
      <c r="I139" s="445" t="e">
        <f>'Расчет базового уровня'!I139</f>
        <v>#N/A</v>
      </c>
      <c r="J139" s="445" t="e">
        <f>'Расчет базового уровня'!J139</f>
        <v>#N/A</v>
      </c>
      <c r="K139" s="445" t="e">
        <f>'Расчет базового уровня'!K139</f>
        <v>#N/A</v>
      </c>
      <c r="L139" s="445" t="e">
        <f>'Расчет базового уровня'!L139</f>
        <v>#N/A</v>
      </c>
      <c r="M139" s="445" t="e">
        <f>'Расчет базового уровня'!M139</f>
        <v>#N/A</v>
      </c>
      <c r="N139" s="445" t="e">
        <f>'Расчет базового уровня'!N139</f>
        <v>#N/A</v>
      </c>
      <c r="O139" s="445" t="e">
        <f>'Расчет базового уровня'!O139</f>
        <v>#N/A</v>
      </c>
      <c r="P139" s="445" t="e">
        <f>'Расчет базового уровня'!P139</f>
        <v>#N/A</v>
      </c>
      <c r="Q139" s="445" t="e">
        <f>'Расчет базового уровня'!Q139</f>
        <v>#N/A</v>
      </c>
      <c r="R139" s="445" t="e">
        <f>'Расчет базового уровня'!R139</f>
        <v>#N/A</v>
      </c>
      <c r="S139" s="447"/>
      <c r="T139" s="50"/>
      <c r="U139" s="50"/>
      <c r="V139" s="50"/>
      <c r="W139" s="50"/>
      <c r="X139" s="50"/>
      <c r="Y139" s="50"/>
      <c r="Z139" s="50"/>
      <c r="AA139" s="50"/>
      <c r="AB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row>
    <row r="140" spans="1:60" x14ac:dyDescent="0.25">
      <c r="A140" s="442" t="s">
        <v>1294</v>
      </c>
      <c r="B140" s="443">
        <f>'Расчет базового уровня'!B140</f>
        <v>0</v>
      </c>
      <c r="C140" s="449" t="e">
        <f>IF('Список мероприятий'!AB22=0,'Расчет базового уровня'!C140,'Расчет базового уровня'!C140+VLOOKUP(CONCATENATE('Список мероприятий'!D23,'Список мероприятий'!D24),'Библиотека технологий'!$C$3:$E$32,2,0))</f>
        <v>#N/A</v>
      </c>
      <c r="D140" s="443">
        <v>1</v>
      </c>
      <c r="E140" s="445" t="e">
        <f t="shared" si="1"/>
        <v>#N/A</v>
      </c>
      <c r="F140" s="446" t="e">
        <f t="shared" si="2"/>
        <v>#N/A</v>
      </c>
      <c r="G140" s="445" t="e">
        <f t="shared" ref="G140:R140" ca="1" si="5">$E$140*0.024*G$149</f>
        <v>#N/A</v>
      </c>
      <c r="H140" s="445" t="e">
        <f t="shared" ca="1" si="5"/>
        <v>#N/A</v>
      </c>
      <c r="I140" s="445" t="e">
        <f t="shared" ca="1" si="5"/>
        <v>#N/A</v>
      </c>
      <c r="J140" s="445" t="e">
        <f t="shared" ca="1" si="5"/>
        <v>#N/A</v>
      </c>
      <c r="K140" s="445" t="e">
        <f t="shared" ca="1" si="5"/>
        <v>#N/A</v>
      </c>
      <c r="L140" s="445" t="e">
        <f t="shared" ca="1" si="5"/>
        <v>#N/A</v>
      </c>
      <c r="M140" s="445" t="e">
        <f t="shared" ca="1" si="5"/>
        <v>#N/A</v>
      </c>
      <c r="N140" s="445" t="e">
        <f t="shared" ca="1" si="5"/>
        <v>#N/A</v>
      </c>
      <c r="O140" s="445" t="e">
        <f t="shared" ca="1" si="5"/>
        <v>#N/A</v>
      </c>
      <c r="P140" s="445" t="e">
        <f t="shared" ca="1" si="5"/>
        <v>#N/A</v>
      </c>
      <c r="Q140" s="445" t="e">
        <f t="shared" ca="1" si="5"/>
        <v>#N/A</v>
      </c>
      <c r="R140" s="445" t="e">
        <f t="shared" ca="1" si="5"/>
        <v>#N/A</v>
      </c>
      <c r="S140" s="447"/>
      <c r="T140" s="50"/>
      <c r="U140" s="50"/>
      <c r="V140" s="50"/>
      <c r="W140" s="50"/>
      <c r="X140" s="50"/>
      <c r="Y140" s="50"/>
      <c r="Z140" s="50"/>
      <c r="AA140" s="50"/>
      <c r="AB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row>
    <row r="141" spans="1:60" x14ac:dyDescent="0.25">
      <c r="A141" s="442" t="s">
        <v>1295</v>
      </c>
      <c r="B141" s="443">
        <f>IF('Список мероприятий'!AB26=0,'Расчет базового уровня'!B141,'Расчет базового уровня'!B142+'Расчет базового уровня'!B141)</f>
        <v>0</v>
      </c>
      <c r="C141" s="449" t="e">
        <f>IF('Список мероприятий'!AB29=0,'Расчет базового уровня'!C141,'Расчет базового уровня'!C141+VLOOKUP(CONCATENATE('Список мероприятий'!D30,'Список мероприятий'!D31),'Библиотека технологий'!$C$3:$E$35,2,0))</f>
        <v>#N/A</v>
      </c>
      <c r="D141" s="448">
        <f>IF(AND(списки!D31+списки!D32=1,'Список мероприятий'!AB26=0),0.9,IF(списки!D31+списки!D32=0,1,((списки!$C$56-'Расчет после реализации'!D161)/(списки!$C$56-'Расчет после реализации'!$D$147))))</f>
        <v>1</v>
      </c>
      <c r="E141" s="445" t="e">
        <f>IF(C141=0,0,B141/C141*D141)</f>
        <v>#N/A</v>
      </c>
      <c r="F141" s="446" t="e">
        <f t="shared" si="2"/>
        <v>#N/A</v>
      </c>
      <c r="G141" s="445" t="e">
        <f t="shared" ref="G141:R142" ca="1" si="6">$E$141*0.024*G$149</f>
        <v>#N/A</v>
      </c>
      <c r="H141" s="445" t="e">
        <f t="shared" ca="1" si="6"/>
        <v>#N/A</v>
      </c>
      <c r="I141" s="445" t="e">
        <f t="shared" ca="1" si="6"/>
        <v>#N/A</v>
      </c>
      <c r="J141" s="445" t="e">
        <f t="shared" ca="1" si="6"/>
        <v>#N/A</v>
      </c>
      <c r="K141" s="445" t="e">
        <f t="shared" ca="1" si="6"/>
        <v>#N/A</v>
      </c>
      <c r="L141" s="445" t="e">
        <f t="shared" ca="1" si="6"/>
        <v>#N/A</v>
      </c>
      <c r="M141" s="445" t="e">
        <f t="shared" ca="1" si="6"/>
        <v>#N/A</v>
      </c>
      <c r="N141" s="445" t="e">
        <f t="shared" ca="1" si="6"/>
        <v>#N/A</v>
      </c>
      <c r="O141" s="445" t="e">
        <f t="shared" ca="1" si="6"/>
        <v>#N/A</v>
      </c>
      <c r="P141" s="445" t="e">
        <f t="shared" ca="1" si="6"/>
        <v>#N/A</v>
      </c>
      <c r="Q141" s="445" t="e">
        <f t="shared" ca="1" si="6"/>
        <v>#N/A</v>
      </c>
      <c r="R141" s="445" t="e">
        <f t="shared" ca="1" si="6"/>
        <v>#N/A</v>
      </c>
      <c r="S141" s="447"/>
      <c r="T141" s="50"/>
      <c r="U141" s="50"/>
      <c r="V141" s="50"/>
      <c r="W141" s="50"/>
      <c r="X141" s="50"/>
      <c r="Y141" s="50"/>
      <c r="Z141" s="50"/>
      <c r="AA141" s="50"/>
      <c r="AB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row>
    <row r="142" spans="1:60" x14ac:dyDescent="0.25">
      <c r="A142" s="442" t="s">
        <v>1296</v>
      </c>
      <c r="B142" s="443">
        <f>'Расчет базового уровня'!B142+'Расчет базового уровня'!B141-'Расчет после реализации'!B141</f>
        <v>0</v>
      </c>
      <c r="C142" s="449" t="e">
        <f>IF('Список мероприятий'!AB29=0,'Расчет базового уровня'!C142,'Расчет базового уровня'!C142+VLOOKUP(CONCATENATE('Список мероприятий'!D30,'Список мероприятий'!D31),'Библиотека технологий'!$C$3:$E$35,2,0))</f>
        <v>#N/A</v>
      </c>
      <c r="D142" s="448">
        <f>IF(AND(списки!D31+списки!D32=1,
                   'Список мероприятий'!AB26=0),
              0.9,
              IF(списки!D31+списки!D32=0,
                          1,
                          ((списки!$C$56-
                              'Расчет после реализации'!D162)/
                            (списки!$C$56-
                              'Расчет после реализации'!$D$147))))</f>
        <v>1</v>
      </c>
      <c r="E142" s="445" t="e">
        <f>IF(C142=0,0,B142/C142*D142)</f>
        <v>#N/A</v>
      </c>
      <c r="F142" s="446" t="e">
        <f t="shared" si="2"/>
        <v>#N/A</v>
      </c>
      <c r="G142" s="445" t="e">
        <f t="shared" ca="1" si="6"/>
        <v>#N/A</v>
      </c>
      <c r="H142" s="445" t="e">
        <f t="shared" ca="1" si="6"/>
        <v>#N/A</v>
      </c>
      <c r="I142" s="445" t="e">
        <f t="shared" ca="1" si="6"/>
        <v>#N/A</v>
      </c>
      <c r="J142" s="445" t="e">
        <f t="shared" ca="1" si="6"/>
        <v>#N/A</v>
      </c>
      <c r="K142" s="445" t="e">
        <f t="shared" ca="1" si="6"/>
        <v>#N/A</v>
      </c>
      <c r="L142" s="445" t="e">
        <f t="shared" ca="1" si="6"/>
        <v>#N/A</v>
      </c>
      <c r="M142" s="445" t="e">
        <f t="shared" ca="1" si="6"/>
        <v>#N/A</v>
      </c>
      <c r="N142" s="445" t="e">
        <f t="shared" ca="1" si="6"/>
        <v>#N/A</v>
      </c>
      <c r="O142" s="445" t="e">
        <f t="shared" ca="1" si="6"/>
        <v>#N/A</v>
      </c>
      <c r="P142" s="445" t="e">
        <f t="shared" ca="1" si="6"/>
        <v>#N/A</v>
      </c>
      <c r="Q142" s="445" t="e">
        <f t="shared" ca="1" si="6"/>
        <v>#N/A</v>
      </c>
      <c r="R142" s="445" t="e">
        <f t="shared" ca="1" si="6"/>
        <v>#N/A</v>
      </c>
      <c r="S142" s="447"/>
      <c r="T142" s="50"/>
      <c r="U142" s="50"/>
      <c r="V142" s="50"/>
      <c r="W142" s="50"/>
      <c r="X142" s="50"/>
      <c r="Y142" s="50"/>
      <c r="Z142" s="50"/>
      <c r="AA142" s="50"/>
      <c r="AB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row>
    <row r="143" spans="1:60" x14ac:dyDescent="0.25">
      <c r="A143" s="442" t="s">
        <v>1297</v>
      </c>
      <c r="B143" s="443">
        <f>'Расчет базового уровня'!B143</f>
        <v>0</v>
      </c>
      <c r="C143" s="449" t="e">
        <f>IF('Список мероприятий'!AB64=0,'Расчет базового уровня'!C143,'Расчет базового уровня'!C143+VLOOKUP(CONCATENATE('Список мероприятий'!D65,'Список мероприятий'!D66),'Библиотека технологий'!$C$3:$E$35,2,0))</f>
        <v>#N/A</v>
      </c>
      <c r="D143" s="443">
        <v>1</v>
      </c>
      <c r="E143" s="445" t="e">
        <f t="shared" si="1"/>
        <v>#N/A</v>
      </c>
      <c r="F143" s="446" t="e">
        <f t="shared" si="2"/>
        <v>#N/A</v>
      </c>
      <c r="G143" s="445" t="e">
        <f t="shared" ref="G143:R143" ca="1" si="7">$E$143*0.024*G$149</f>
        <v>#N/A</v>
      </c>
      <c r="H143" s="445" t="e">
        <f t="shared" ca="1" si="7"/>
        <v>#N/A</v>
      </c>
      <c r="I143" s="445" t="e">
        <f t="shared" ca="1" si="7"/>
        <v>#N/A</v>
      </c>
      <c r="J143" s="445" t="e">
        <f t="shared" ca="1" si="7"/>
        <v>#N/A</v>
      </c>
      <c r="K143" s="445" t="e">
        <f t="shared" ca="1" si="7"/>
        <v>#N/A</v>
      </c>
      <c r="L143" s="445" t="e">
        <f t="shared" ca="1" si="7"/>
        <v>#N/A</v>
      </c>
      <c r="M143" s="445" t="e">
        <f t="shared" ca="1" si="7"/>
        <v>#N/A</v>
      </c>
      <c r="N143" s="445" t="e">
        <f t="shared" ca="1" si="7"/>
        <v>#N/A</v>
      </c>
      <c r="O143" s="445" t="e">
        <f t="shared" ca="1" si="7"/>
        <v>#N/A</v>
      </c>
      <c r="P143" s="445" t="e">
        <f t="shared" ca="1" si="7"/>
        <v>#N/A</v>
      </c>
      <c r="Q143" s="445" t="e">
        <f t="shared" ca="1" si="7"/>
        <v>#N/A</v>
      </c>
      <c r="R143" s="445" t="e">
        <f t="shared" ca="1" si="7"/>
        <v>#N/A</v>
      </c>
      <c r="S143" s="447"/>
      <c r="T143" s="50"/>
      <c r="U143" s="50"/>
      <c r="V143" s="50"/>
      <c r="W143" s="50"/>
      <c r="X143" s="50"/>
      <c r="Y143" s="50"/>
      <c r="Z143" s="50"/>
      <c r="AA143" s="50"/>
      <c r="AB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row>
    <row r="144" spans="1:60" x14ac:dyDescent="0.25">
      <c r="A144" s="442" t="s">
        <v>1293</v>
      </c>
      <c r="B144" s="443">
        <f>'Расчет базового уровня'!B144</f>
        <v>0</v>
      </c>
      <c r="C144" s="449" t="e">
        <f>IF('Список мероприятий'!AB71=0,'Расчет базового уровня'!C144,'Расчет базового уровня'!C144+VLOOKUP(CONCATENATE('Список мероприятий'!D70,'Список мероприятий'!D71),'Библиотека технологий'!$C$3:$E$35,2,0))</f>
        <v>#N/A</v>
      </c>
      <c r="D144" s="448" t="e">
        <f>(списки!C56-'Расчет базового уровня'!$D$162)/(списки!C56-'Расчет базового уровня'!$D$147)</f>
        <v>#N/A</v>
      </c>
      <c r="E144" s="445" t="e">
        <f>IF(C144=0,0,B144/C144*D144)</f>
        <v>#N/A</v>
      </c>
      <c r="F144" s="446" t="e">
        <f t="shared" si="2"/>
        <v>#N/A</v>
      </c>
      <c r="G144" s="445" t="e">
        <f t="shared" ref="G144:R144" ca="1" si="8">$E$144*0.024*G$149</f>
        <v>#N/A</v>
      </c>
      <c r="H144" s="445" t="e">
        <f t="shared" ca="1" si="8"/>
        <v>#N/A</v>
      </c>
      <c r="I144" s="445" t="e">
        <f t="shared" ca="1" si="8"/>
        <v>#N/A</v>
      </c>
      <c r="J144" s="445" t="e">
        <f t="shared" ca="1" si="8"/>
        <v>#N/A</v>
      </c>
      <c r="K144" s="445" t="e">
        <f t="shared" ca="1" si="8"/>
        <v>#N/A</v>
      </c>
      <c r="L144" s="445" t="e">
        <f t="shared" ca="1" si="8"/>
        <v>#N/A</v>
      </c>
      <c r="M144" s="445" t="e">
        <f t="shared" ca="1" si="8"/>
        <v>#N/A</v>
      </c>
      <c r="N144" s="445" t="e">
        <f t="shared" ca="1" si="8"/>
        <v>#N/A</v>
      </c>
      <c r="O144" s="445" t="e">
        <f t="shared" ca="1" si="8"/>
        <v>#N/A</v>
      </c>
      <c r="P144" s="445" t="e">
        <f t="shared" ca="1" si="8"/>
        <v>#N/A</v>
      </c>
      <c r="Q144" s="445" t="e">
        <f t="shared" ca="1" si="8"/>
        <v>#N/A</v>
      </c>
      <c r="R144" s="445" t="e">
        <f t="shared" ca="1" si="8"/>
        <v>#N/A</v>
      </c>
      <c r="S144" s="447"/>
      <c r="T144" s="50"/>
      <c r="U144" s="50"/>
      <c r="V144" s="50"/>
      <c r="W144" s="50"/>
      <c r="X144" s="50"/>
      <c r="Y144" s="50"/>
      <c r="Z144" s="50"/>
      <c r="AA144" s="50"/>
      <c r="AB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row>
    <row r="145" spans="1:60" x14ac:dyDescent="0.25">
      <c r="A145" s="442" t="s">
        <v>1215</v>
      </c>
      <c r="B145" s="443">
        <f>'Расчет базового уровня'!B145</f>
        <v>0</v>
      </c>
      <c r="C145" s="443">
        <f>IF('Список мероприятий'!AB75=1,0.95,'Расчет базового уровня'!C145)</f>
        <v>0.5</v>
      </c>
      <c r="D145" s="448">
        <v>1</v>
      </c>
      <c r="E145" s="445">
        <f>IF(C145=0,0,B145/C145*D145)</f>
        <v>0</v>
      </c>
      <c r="F145" s="446" t="e">
        <f t="shared" si="2"/>
        <v>#N/A</v>
      </c>
      <c r="G145" s="445" t="e">
        <f ca="1">$E$145*0.024*G$149</f>
        <v>#VALUE!</v>
      </c>
      <c r="H145" s="445" t="e">
        <f t="shared" ref="H145:R145" ca="1" si="9">$E$145*0.024*H$149</f>
        <v>#VALUE!</v>
      </c>
      <c r="I145" s="445" t="e">
        <f t="shared" ca="1" si="9"/>
        <v>#VALUE!</v>
      </c>
      <c r="J145" s="445" t="e">
        <f t="shared" ca="1" si="9"/>
        <v>#VALUE!</v>
      </c>
      <c r="K145" s="445" t="e">
        <f t="shared" ca="1" si="9"/>
        <v>#VALUE!</v>
      </c>
      <c r="L145" s="445" t="e">
        <f t="shared" ca="1" si="9"/>
        <v>#VALUE!</v>
      </c>
      <c r="M145" s="445" t="e">
        <f t="shared" ca="1" si="9"/>
        <v>#VALUE!</v>
      </c>
      <c r="N145" s="445" t="e">
        <f t="shared" ca="1" si="9"/>
        <v>#VALUE!</v>
      </c>
      <c r="O145" s="445" t="e">
        <f t="shared" ca="1" si="9"/>
        <v>#VALUE!</v>
      </c>
      <c r="P145" s="445" t="e">
        <f t="shared" ca="1" si="9"/>
        <v>#VALUE!</v>
      </c>
      <c r="Q145" s="445" t="e">
        <f t="shared" ca="1" si="9"/>
        <v>#VALUE!</v>
      </c>
      <c r="R145" s="445" t="e">
        <f t="shared" ca="1" si="9"/>
        <v>#VALUE!</v>
      </c>
      <c r="S145" s="447"/>
      <c r="T145" s="50"/>
      <c r="U145" s="50"/>
      <c r="V145" s="50"/>
      <c r="W145" s="50"/>
      <c r="X145" s="50"/>
      <c r="Y145" s="50"/>
      <c r="Z145" s="50"/>
      <c r="AA145" s="50"/>
      <c r="AB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row>
    <row r="146" spans="1:60" x14ac:dyDescent="0.25">
      <c r="A146" s="442" t="s">
        <v>515</v>
      </c>
      <c r="B146" s="443">
        <f>SUM(B136:B144)</f>
        <v>0</v>
      </c>
      <c r="C146" s="443"/>
      <c r="D146" s="443"/>
      <c r="E146" s="445" t="e">
        <f>SUM(E136:E145)</f>
        <v>#N/A</v>
      </c>
      <c r="F146" s="1444" t="e">
        <f>E146*(20-$D$147)/1000</f>
        <v>#N/A</v>
      </c>
      <c r="G146" s="445" t="e">
        <f ca="1">SUM(G136:G145)</f>
        <v>#N/A</v>
      </c>
      <c r="H146" s="445" t="e">
        <f t="shared" ref="H146:R146" ca="1" si="10">SUM(H136:H145)</f>
        <v>#N/A</v>
      </c>
      <c r="I146" s="445" t="e">
        <f t="shared" ca="1" si="10"/>
        <v>#N/A</v>
      </c>
      <c r="J146" s="445" t="e">
        <f t="shared" ca="1" si="10"/>
        <v>#N/A</v>
      </c>
      <c r="K146" s="445" t="e">
        <f t="shared" ca="1" si="10"/>
        <v>#N/A</v>
      </c>
      <c r="L146" s="445" t="e">
        <f t="shared" ca="1" si="10"/>
        <v>#N/A</v>
      </c>
      <c r="M146" s="445" t="e">
        <f t="shared" ca="1" si="10"/>
        <v>#N/A</v>
      </c>
      <c r="N146" s="445" t="e">
        <f t="shared" ca="1" si="10"/>
        <v>#N/A</v>
      </c>
      <c r="O146" s="445" t="e">
        <f t="shared" ca="1" si="10"/>
        <v>#N/A</v>
      </c>
      <c r="P146" s="445" t="e">
        <f t="shared" ca="1" si="10"/>
        <v>#N/A</v>
      </c>
      <c r="Q146" s="445" t="e">
        <f t="shared" ca="1" si="10"/>
        <v>#N/A</v>
      </c>
      <c r="R146" s="445" t="e">
        <f t="shared" ca="1" si="10"/>
        <v>#N/A</v>
      </c>
      <c r="S146" s="447"/>
      <c r="T146" s="50"/>
      <c r="U146" s="50"/>
      <c r="V146" s="50"/>
      <c r="W146" s="50"/>
      <c r="X146" s="50"/>
      <c r="Y146" s="50"/>
      <c r="Z146" s="50"/>
      <c r="AA146" s="50"/>
      <c r="AB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row>
    <row r="147" spans="1:60" x14ac:dyDescent="0.25">
      <c r="A147" s="50"/>
      <c r="B147" s="450" t="s">
        <v>742</v>
      </c>
      <c r="C147" s="451" t="s">
        <v>747</v>
      </c>
      <c r="D147" s="443" t="e">
        <f>VLOOKUP(CONCATENATE('Ввод исходных данных'!$D$10,'Ввод исходных данных'!$D$11),Климатология!$D$9:$BF$548,4,0)</f>
        <v>#N/A</v>
      </c>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row>
    <row r="148" spans="1:60" x14ac:dyDescent="0.25">
      <c r="A148" s="50"/>
      <c r="B148" s="450" t="s">
        <v>1361</v>
      </c>
      <c r="C148" s="451" t="s">
        <v>748</v>
      </c>
      <c r="D148" s="443">
        <f ca="1">'Ввод исходных данных'!D209</f>
        <v>0</v>
      </c>
      <c r="E148" s="50"/>
      <c r="F148" s="50"/>
      <c r="G148" s="452" t="str">
        <f ca="1">'Ввод исходных данных'!$I$273</f>
        <v/>
      </c>
      <c r="H148" s="452" t="str">
        <f ca="1">'Ввод исходных данных'!$I$274</f>
        <v/>
      </c>
      <c r="I148" s="452" t="str">
        <f ca="1">'Ввод исходных данных'!$I$275</f>
        <v/>
      </c>
      <c r="J148" s="452" t="str">
        <f ca="1">'Ввод исходных данных'!$I$276</f>
        <v/>
      </c>
      <c r="K148" s="452" t="str">
        <f ca="1">'Ввод исходных данных'!$I$277</f>
        <v/>
      </c>
      <c r="L148" s="452" t="str">
        <f ca="1">'Ввод исходных данных'!$I$278</f>
        <v/>
      </c>
      <c r="M148" s="452" t="str">
        <f ca="1">'Ввод исходных данных'!$I$279</f>
        <v/>
      </c>
      <c r="N148" s="452" t="str">
        <f ca="1">'Ввод исходных данных'!$I$280</f>
        <v/>
      </c>
      <c r="O148" s="452" t="str">
        <f ca="1">'Ввод исходных данных'!$I$281</f>
        <v/>
      </c>
      <c r="P148" s="452" t="str">
        <f ca="1">'Ввод исходных данных'!$I$282</f>
        <v/>
      </c>
      <c r="Q148" s="452" t="str">
        <f ca="1">'Ввод исходных данных'!$I$283</f>
        <v/>
      </c>
      <c r="R148" s="452" t="str">
        <f ca="1">'Ввод исходных данных'!$I$284</f>
        <v/>
      </c>
      <c r="S148" s="50"/>
      <c r="T148" s="50"/>
      <c r="U148" s="50"/>
      <c r="V148" s="50"/>
      <c r="W148" s="50"/>
      <c r="X148" s="50"/>
      <c r="Y148" s="50"/>
      <c r="Z148" s="50"/>
      <c r="AA148" s="50"/>
      <c r="AB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row>
    <row r="149" spans="1:60" x14ac:dyDescent="0.25">
      <c r="A149" s="50"/>
      <c r="B149" s="450" t="s">
        <v>462</v>
      </c>
      <c r="C149" s="451" t="s">
        <v>749</v>
      </c>
      <c r="D149" s="443" t="str">
        <f ca="1">'Ввод исходных данных'!G285</f>
        <v/>
      </c>
      <c r="E149" s="50"/>
      <c r="F149" s="50"/>
      <c r="G149" s="452" t="str">
        <f ca="1">'Ввод исходных данных'!$G$273</f>
        <v/>
      </c>
      <c r="H149" s="452" t="str">
        <f ca="1">'Ввод исходных данных'!$G$274</f>
        <v/>
      </c>
      <c r="I149" s="452" t="str">
        <f ca="1">'Ввод исходных данных'!$G$275</f>
        <v/>
      </c>
      <c r="J149" s="452" t="str">
        <f ca="1">'Ввод исходных данных'!$G$276</f>
        <v/>
      </c>
      <c r="K149" s="452" t="str">
        <f ca="1">'Ввод исходных данных'!$G$277</f>
        <v/>
      </c>
      <c r="L149" s="452" t="str">
        <f ca="1">'Ввод исходных данных'!$G$278</f>
        <v/>
      </c>
      <c r="M149" s="452" t="str">
        <f ca="1">'Ввод исходных данных'!$G$279</f>
        <v/>
      </c>
      <c r="N149" s="452" t="str">
        <f ca="1">'Ввод исходных данных'!$G$280</f>
        <v/>
      </c>
      <c r="O149" s="452" t="str">
        <f ca="1">'Ввод исходных данных'!$G$281</f>
        <v/>
      </c>
      <c r="P149" s="452" t="str">
        <f ca="1">'Ввод исходных данных'!$G$282</f>
        <v/>
      </c>
      <c r="Q149" s="452" t="str">
        <f ca="1">'Ввод исходных данных'!$G$283</f>
        <v/>
      </c>
      <c r="R149" s="452" t="str">
        <f ca="1">'Ввод исходных данных'!$G$284</f>
        <v/>
      </c>
      <c r="S149" s="50"/>
      <c r="T149" s="50"/>
      <c r="U149" s="50"/>
      <c r="V149" s="50"/>
      <c r="W149" s="50"/>
      <c r="X149" s="50"/>
      <c r="Y149" s="50"/>
      <c r="Z149" s="50"/>
      <c r="AA149" s="50"/>
      <c r="AB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row>
    <row r="150" spans="1:60" x14ac:dyDescent="0.25">
      <c r="A150" s="453" t="s">
        <v>497</v>
      </c>
      <c r="B150" s="454" t="s">
        <v>531</v>
      </c>
      <c r="C150" s="455" t="s">
        <v>498</v>
      </c>
      <c r="D150" s="456" t="e">
        <f>IF(D151&gt;45,10,IF(D151&lt;=20,17,17-(D151-20)*7/25))</f>
        <v>#DIV/0!</v>
      </c>
      <c r="E150" s="50"/>
      <c r="F150" s="457">
        <f>17*D152/1000</f>
        <v>0</v>
      </c>
      <c r="G150" s="50"/>
      <c r="H150" s="50"/>
      <c r="I150" s="50"/>
      <c r="J150" s="50"/>
      <c r="K150" s="50"/>
      <c r="L150" s="50"/>
      <c r="M150" s="50"/>
      <c r="N150" s="50"/>
      <c r="O150" s="50"/>
      <c r="P150" s="50"/>
      <c r="Q150" s="50"/>
      <c r="R150" s="50"/>
      <c r="S150" s="50"/>
      <c r="T150" s="50"/>
      <c r="U150" s="50"/>
      <c r="V150" s="50"/>
      <c r="W150" s="50"/>
      <c r="X150" s="50"/>
      <c r="Y150" s="50"/>
      <c r="Z150" s="50"/>
      <c r="AA150" s="50"/>
      <c r="AB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row>
    <row r="151" spans="1:60" x14ac:dyDescent="0.25">
      <c r="A151" s="453" t="s">
        <v>499</v>
      </c>
      <c r="B151" s="454" t="s">
        <v>500</v>
      </c>
      <c r="C151" s="455" t="s">
        <v>501</v>
      </c>
      <c r="D151" s="458" t="e">
        <f>'Ввод исходных данных'!G56/'Ввод исходных данных'!$D$22</f>
        <v>#DIV/0!</v>
      </c>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row>
    <row r="152" spans="1:60" x14ac:dyDescent="0.25">
      <c r="A152" s="438" t="s">
        <v>1359</v>
      </c>
      <c r="B152" s="454" t="s">
        <v>1360</v>
      </c>
      <c r="C152" s="459" t="s">
        <v>492</v>
      </c>
      <c r="D152" s="458">
        <f>'Расчет базового уровня'!D152</f>
        <v>0</v>
      </c>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row>
    <row r="153" spans="1:60" x14ac:dyDescent="0.25">
      <c r="A153" s="460" t="s">
        <v>512</v>
      </c>
      <c r="B153" s="461" t="s">
        <v>522</v>
      </c>
      <c r="C153" s="459" t="s">
        <v>526</v>
      </c>
      <c r="D153" s="462">
        <v>30</v>
      </c>
      <c r="E153" s="50"/>
      <c r="F153" s="457" t="e">
        <f>(D153*D154*'Ввод исходных данных'!$D$22*0.28+D189*0.28)*1.006*0.001*(20+25)+E163*(20+25)</f>
        <v>#DIV/0!</v>
      </c>
      <c r="G153" s="50"/>
      <c r="H153" s="50"/>
      <c r="I153" s="50"/>
      <c r="J153" s="50"/>
      <c r="K153" s="50"/>
      <c r="L153" s="50"/>
      <c r="M153" s="50"/>
      <c r="N153" s="50"/>
      <c r="O153" s="50"/>
      <c r="P153" s="50"/>
      <c r="Q153" s="50"/>
      <c r="R153" s="50"/>
      <c r="S153" s="50"/>
      <c r="T153" s="50"/>
      <c r="U153" s="50"/>
      <c r="V153" s="50"/>
      <c r="W153" s="50"/>
      <c r="X153" s="50"/>
      <c r="Y153" s="50"/>
      <c r="Z153" s="50"/>
      <c r="AA153" s="50"/>
      <c r="AB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row>
    <row r="154" spans="1:60" x14ac:dyDescent="0.25">
      <c r="A154" s="453" t="s">
        <v>506</v>
      </c>
      <c r="B154" s="454" t="s">
        <v>507</v>
      </c>
      <c r="C154" s="455" t="s">
        <v>505</v>
      </c>
      <c r="D154" s="456">
        <f>353/(273+20)</f>
        <v>1.204778156996587</v>
      </c>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row>
    <row r="155" spans="1:60" x14ac:dyDescent="0.25">
      <c r="A155" s="460" t="s">
        <v>745</v>
      </c>
      <c r="B155" s="461" t="s">
        <v>525</v>
      </c>
      <c r="C155" s="451" t="s">
        <v>746</v>
      </c>
      <c r="D155" s="463">
        <v>1.05</v>
      </c>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row>
    <row r="156" spans="1:60" x14ac:dyDescent="0.25">
      <c r="A156" s="460" t="s">
        <v>523</v>
      </c>
      <c r="B156" s="461" t="s">
        <v>524</v>
      </c>
      <c r="C156" s="451" t="s">
        <v>746</v>
      </c>
      <c r="D156" s="463">
        <v>0.9</v>
      </c>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row>
    <row r="157" spans="1:60" x14ac:dyDescent="0.25">
      <c r="A157" s="453" t="s">
        <v>502</v>
      </c>
      <c r="B157" s="454" t="s">
        <v>503</v>
      </c>
      <c r="C157" s="455" t="s">
        <v>504</v>
      </c>
      <c r="D157" s="456">
        <v>1</v>
      </c>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row>
    <row r="158" spans="1:60" x14ac:dyDescent="0.25">
      <c r="A158" s="453" t="s">
        <v>508</v>
      </c>
      <c r="B158" s="454" t="s">
        <v>509</v>
      </c>
      <c r="C158" s="459" t="s">
        <v>746</v>
      </c>
      <c r="D158" s="464">
        <f>'Расчет базового уровня'!D158</f>
        <v>0.5</v>
      </c>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row>
    <row r="159" spans="1:60" x14ac:dyDescent="0.25">
      <c r="A159" s="453" t="s">
        <v>510</v>
      </c>
      <c r="B159" s="454" t="s">
        <v>511</v>
      </c>
      <c r="C159" s="459" t="s">
        <v>746</v>
      </c>
      <c r="D159" s="456">
        <v>1</v>
      </c>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row>
    <row r="160" spans="1:60" x14ac:dyDescent="0.25">
      <c r="A160" s="453" t="s">
        <v>527</v>
      </c>
      <c r="B160" s="454" t="s">
        <v>532</v>
      </c>
      <c r="C160" s="451" t="s">
        <v>746</v>
      </c>
      <c r="D160" s="465">
        <f>IF('Список мероприятий'!AB39=1,1.05,'Расчет базового уровня'!D160)</f>
        <v>1.0900000000000001</v>
      </c>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row>
    <row r="161" spans="1:60" x14ac:dyDescent="0.25">
      <c r="A161" s="431" t="s">
        <v>743</v>
      </c>
      <c r="B161" s="466" t="s">
        <v>897</v>
      </c>
      <c r="C161" s="451" t="s">
        <v>747</v>
      </c>
      <c r="D161" s="71">
        <f>IF('Список мероприятий'!AB26=1,15,списки!C57)</f>
        <v>16</v>
      </c>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row>
    <row r="162" spans="1:60" x14ac:dyDescent="0.25">
      <c r="A162" s="431" t="s">
        <v>744</v>
      </c>
      <c r="B162" s="466" t="s">
        <v>898</v>
      </c>
      <c r="C162" s="451" t="s">
        <v>747</v>
      </c>
      <c r="D162" s="462">
        <f>списки!$C$58</f>
        <v>2</v>
      </c>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row>
    <row r="163" spans="1:60" ht="17.25" customHeight="1" x14ac:dyDescent="0.25">
      <c r="A163" s="431" t="s">
        <v>1514</v>
      </c>
      <c r="B163" s="466"/>
      <c r="C163" s="451" t="s">
        <v>496</v>
      </c>
      <c r="D163" s="462" t="e">
        <f ca="1">0.28*(4*'Ввод исходных данных'!$D$23*'Расчет базового уровня'!$D$154*0.5+'Расчет базового уровня'!$D$164*'Расчет базового уровня'!$D$156*0.5)*'Расчет базового уровня'!$D$157*0.024*D149</f>
        <v>#VALUE!</v>
      </c>
      <c r="E163" s="50">
        <f>IF('Ввод исходных данных'!$D$23=0,0,0.28*(4*'Ввод исходных данных'!$D$23*'Расчет базового уровня'!$D$154*0.5+'Расчет базового уровня'!$D$164*'Расчет базового уровня'!$D$156*0.5)*'Расчет базового уровня'!$D$157*0.001)</f>
        <v>0</v>
      </c>
      <c r="F163" s="50"/>
      <c r="G163" s="462" t="e">
        <f ca="1">0.28*(4*'Ввод исходных данных'!$D$23*'Расчет базового уровня'!$D$154*0.5+'Расчет базового уровня'!$D$164*'Расчет базового уровня'!$D$156*0.5)*'Расчет базового уровня'!$D$157*0.024*G149</f>
        <v>#VALUE!</v>
      </c>
      <c r="H163" s="462" t="e">
        <f ca="1">0.28*(4*'Ввод исходных данных'!$D$23*'Расчет базового уровня'!$D$154*0.5+'Расчет базового уровня'!$D$164*'Расчет базового уровня'!$D$156*0.5)*'Расчет базового уровня'!$D$157*0.024*H149</f>
        <v>#VALUE!</v>
      </c>
      <c r="I163" s="462" t="e">
        <f ca="1">0.28*(4*'Ввод исходных данных'!$D$23*'Расчет базового уровня'!$D$154*0.5+'Расчет базового уровня'!$D$164*'Расчет базового уровня'!$D$156*0.5)*'Расчет базового уровня'!$D$157*0.024*I149</f>
        <v>#VALUE!</v>
      </c>
      <c r="J163" s="462" t="e">
        <f ca="1">0.28*(4*'Ввод исходных данных'!$D$23*'Расчет базового уровня'!$D$154*0.5+'Расчет базового уровня'!$D$164*'Расчет базового уровня'!$D$156*0.5)*'Расчет базового уровня'!$D$157*0.024*J149</f>
        <v>#VALUE!</v>
      </c>
      <c r="K163" s="462" t="e">
        <f ca="1">0.28*(4*'Ввод исходных данных'!$D$23*'Расчет базового уровня'!$D$154*0.5+'Расчет базового уровня'!$D$164*'Расчет базового уровня'!$D$156*0.5)*'Расчет базового уровня'!$D$157*0.024*K149</f>
        <v>#VALUE!</v>
      </c>
      <c r="L163" s="462" t="e">
        <f ca="1">0.28*(4*'Ввод исходных данных'!$D$23*'Расчет базового уровня'!$D$154*0.5+'Расчет базового уровня'!$D$164*'Расчет базового уровня'!$D$156*0.5)*'Расчет базового уровня'!$D$157*0.024*L149</f>
        <v>#VALUE!</v>
      </c>
      <c r="M163" s="462" t="e">
        <f ca="1">0.28*(4*'Ввод исходных данных'!$D$23*'Расчет базового уровня'!$D$154*0.5+'Расчет базового уровня'!$D$164*'Расчет базового уровня'!$D$156*0.5)*'Расчет базового уровня'!$D$157*0.024*M149</f>
        <v>#VALUE!</v>
      </c>
      <c r="N163" s="462" t="e">
        <f ca="1">0.28*(4*'Ввод исходных данных'!$D$23*'Расчет базового уровня'!$D$154*0.5+'Расчет базового уровня'!$D$164*'Расчет базового уровня'!$D$156*0.5)*'Расчет базового уровня'!$D$157*0.024*N149</f>
        <v>#VALUE!</v>
      </c>
      <c r="O163" s="462" t="e">
        <f ca="1">0.28*(4*'Ввод исходных данных'!$D$23*'Расчет базового уровня'!$D$154*0.5+'Расчет базового уровня'!$D$164*'Расчет базового уровня'!$D$156*0.5)*'Расчет базового уровня'!$D$157*0.024*O149</f>
        <v>#VALUE!</v>
      </c>
      <c r="P163" s="462" t="e">
        <f ca="1">0.28*(4*'Ввод исходных данных'!$D$23*'Расчет базового уровня'!$D$154*0.5+'Расчет базового уровня'!$D$164*'Расчет базового уровня'!$D$156*0.5)*'Расчет базового уровня'!$D$157*0.024*P149</f>
        <v>#VALUE!</v>
      </c>
      <c r="Q163" s="462" t="e">
        <f ca="1">0.28*(4*'Ввод исходных данных'!$D$23*'Расчет базового уровня'!$D$154*0.5+'Расчет базового уровня'!$D$164*'Расчет базового уровня'!$D$156*0.5)*'Расчет базового уровня'!$D$157*0.024*Q149</f>
        <v>#VALUE!</v>
      </c>
      <c r="R163" s="462" t="e">
        <f ca="1">0.28*(4*'Ввод исходных данных'!$D$23*'Расчет базового уровня'!$D$154*0.5+'Расчет базового уровня'!$D$164*'Расчет базового уровня'!$D$156*0.5)*'Расчет базового уровня'!$D$157*0.024*R149</f>
        <v>#VALUE!</v>
      </c>
      <c r="S163" s="50"/>
      <c r="T163" s="50"/>
      <c r="U163" s="50"/>
      <c r="V163" s="50"/>
      <c r="W163" s="50"/>
      <c r="X163" s="50"/>
      <c r="Y163" s="50"/>
      <c r="Z163" s="50"/>
      <c r="AA163" s="50"/>
      <c r="AB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row>
    <row r="164" spans="1:60" x14ac:dyDescent="0.25">
      <c r="A164" s="431" t="s">
        <v>1515</v>
      </c>
      <c r="B164" s="466"/>
      <c r="C164" s="451" t="s">
        <v>1506</v>
      </c>
      <c r="D164" s="462">
        <f>IF('Ввод исходных данных'!D23=0,0,($B$139/(0.12*(1-'Ввод исходных данных'!$D$35/'Ввод исходных данных'!$G$70)+0.86*('Ввод исходных данных'!$D$35/'Ввод исходных данных'!$G$70)))*('Расчет базового уровня'!$D$184/10)^(1/2))</f>
        <v>0</v>
      </c>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row>
    <row r="165" spans="1:60" x14ac:dyDescent="0.25">
      <c r="A165" s="431" t="s">
        <v>1291</v>
      </c>
      <c r="B165" s="466"/>
      <c r="C165" s="451" t="s">
        <v>1165</v>
      </c>
      <c r="D165" s="467">
        <f>IF('Список мероприятий'!AB13=1,'Ввод исходных данных'!G63/('Ввод исходных данных'!G66+'Ввод исходных данных'!G63+'Ввод исходных данных'!G69)*0.02,0)</f>
        <v>0</v>
      </c>
      <c r="E165" s="50"/>
      <c r="F165" s="50"/>
      <c r="G165" s="50">
        <v>31</v>
      </c>
      <c r="H165" s="50">
        <v>28</v>
      </c>
      <c r="I165" s="50">
        <v>31</v>
      </c>
      <c r="J165" s="50">
        <v>30</v>
      </c>
      <c r="K165" s="50">
        <v>31</v>
      </c>
      <c r="L165" s="50">
        <v>30</v>
      </c>
      <c r="M165" s="50">
        <v>31</v>
      </c>
      <c r="N165" s="50">
        <v>31</v>
      </c>
      <c r="O165" s="50">
        <v>30</v>
      </c>
      <c r="P165" s="50">
        <v>31</v>
      </c>
      <c r="Q165" s="50">
        <v>30</v>
      </c>
      <c r="R165" s="50">
        <v>31</v>
      </c>
      <c r="S165" s="50"/>
      <c r="T165" s="50"/>
      <c r="U165" s="50"/>
      <c r="V165" s="50"/>
      <c r="W165" s="50"/>
      <c r="X165" s="50"/>
      <c r="Y165" s="50"/>
      <c r="Z165" s="50"/>
      <c r="AA165" s="50"/>
      <c r="AB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row>
    <row r="166" spans="1:60" ht="15.75" customHeight="1" x14ac:dyDescent="0.25">
      <c r="A166" s="431" t="s">
        <v>541</v>
      </c>
      <c r="B166" s="431"/>
      <c r="C166" s="431"/>
      <c r="D166" s="431"/>
      <c r="E166" s="50"/>
      <c r="F166" s="50"/>
      <c r="G166" s="1772">
        <f>IFERROR(IF(VLOOKUP(G$131,'Ввод исходных данных'!$C$127:$D$132,2,FALSE)&gt;0,1,0),0)</f>
        <v>0</v>
      </c>
      <c r="H166" s="1772">
        <f>IFERROR(IF(VLOOKUP(H$131,'Ввод исходных данных'!$C$127:$D$132,2,FALSE)&gt;0,1,0),0)</f>
        <v>0</v>
      </c>
      <c r="I166" s="1772">
        <f>IFERROR(IF(VLOOKUP(I$131,'Ввод исходных данных'!$C$127:$D$132,2,FALSE)&gt;0,1,0),0)</f>
        <v>0</v>
      </c>
      <c r="J166" s="1772">
        <f>IFERROR(IF(VLOOKUP(J$131,'Ввод исходных данных'!$C$127:$D$132,2,FALSE)&gt;0,1,0),0)</f>
        <v>0</v>
      </c>
      <c r="K166" s="1772">
        <f>IFERROR(IF(VLOOKUP(K$131,'Ввод исходных данных'!$C$127:$D$132,2,FALSE)&gt;0,1,0),0)</f>
        <v>0</v>
      </c>
      <c r="L166" s="1772">
        <f>IFERROR(IF(VLOOKUP(L$131,'Ввод исходных данных'!$C$127:$D$132,2,FALSE)&gt;0,1,0),0)</f>
        <v>1</v>
      </c>
      <c r="M166" s="1772">
        <f>IFERROR(IF(VLOOKUP(M$131,'Ввод исходных данных'!$C$127:$D$132,2,FALSE)&gt;0,1,0),0)</f>
        <v>0</v>
      </c>
      <c r="N166" s="1772">
        <f>IFERROR(IF(VLOOKUP(N$131,'Ввод исходных данных'!$C$127:$D$132,2,FALSE)&gt;0,1,0),0)</f>
        <v>0</v>
      </c>
      <c r="O166" s="1772">
        <f>IFERROR(IF(VLOOKUP(O$131,'Ввод исходных данных'!$C$127:$D$132,2,FALSE)&gt;0,1,0),0)</f>
        <v>0</v>
      </c>
      <c r="P166" s="1772">
        <f>IFERROR(IF(VLOOKUP(P$131,'Ввод исходных данных'!$C$127:$D$132,2,FALSE)&gt;0,1,0),0)</f>
        <v>0</v>
      </c>
      <c r="Q166" s="1772">
        <f>IFERROR(IF(VLOOKUP(Q$131,'Ввод исходных данных'!$C$127:$D$132,2,FALSE)&gt;0,1,0),0)</f>
        <v>0</v>
      </c>
      <c r="R166" s="1772">
        <f>IFERROR(IF(VLOOKUP(R$131,'Ввод исходных данных'!$C$127:$D$132,2,FALSE)&gt;0,1,0),0)</f>
        <v>0</v>
      </c>
      <c r="S166" s="50"/>
      <c r="T166" s="50"/>
      <c r="U166" s="50"/>
      <c r="V166" s="50"/>
      <c r="W166" s="50"/>
      <c r="X166" s="50"/>
      <c r="Y166" s="50"/>
      <c r="Z166" s="50"/>
      <c r="AA166" s="50"/>
      <c r="AB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row>
    <row r="167" spans="1:60" ht="15.75" customHeight="1" x14ac:dyDescent="0.25">
      <c r="A167" s="468" t="s">
        <v>899</v>
      </c>
      <c r="B167" s="469" t="s">
        <v>1415</v>
      </c>
      <c r="C167" s="451" t="s">
        <v>900</v>
      </c>
      <c r="D167" s="470">
        <f ca="1">D168*365/(D148+D169*(D170-D148))</f>
        <v>121.32003798670463</v>
      </c>
      <c r="E167" s="50"/>
      <c r="F167" s="50"/>
      <c r="G167" s="470" t="e">
        <f>'Расчет базового уровня'!G169</f>
        <v>#N/A</v>
      </c>
      <c r="H167" s="470" t="e">
        <f>'Расчет базового уровня'!H169</f>
        <v>#N/A</v>
      </c>
      <c r="I167" s="470" t="e">
        <f>'Расчет базового уровня'!I169</f>
        <v>#N/A</v>
      </c>
      <c r="J167" s="470" t="e">
        <f>'Расчет базового уровня'!J169</f>
        <v>#N/A</v>
      </c>
      <c r="K167" s="470" t="e">
        <f>'Расчет базового уровня'!K169</f>
        <v>#N/A</v>
      </c>
      <c r="L167" s="470" t="e">
        <f>'Расчет базового уровня'!L169</f>
        <v>#N/A</v>
      </c>
      <c r="M167" s="470" t="e">
        <f>'Расчет базового уровня'!M169</f>
        <v>#N/A</v>
      </c>
      <c r="N167" s="470" t="e">
        <f>'Расчет базового уровня'!N169</f>
        <v>#N/A</v>
      </c>
      <c r="O167" s="470" t="e">
        <f>'Расчет базового уровня'!O169</f>
        <v>#N/A</v>
      </c>
      <c r="P167" s="470" t="e">
        <f>'Расчет базового уровня'!P169</f>
        <v>#N/A</v>
      </c>
      <c r="Q167" s="470" t="e">
        <f>'Расчет базового уровня'!Q169</f>
        <v>#N/A</v>
      </c>
      <c r="R167" s="470" t="e">
        <f>'Расчет базового уровня'!R169</f>
        <v>#N/A</v>
      </c>
      <c r="S167" s="50"/>
      <c r="T167" s="50"/>
      <c r="U167" s="50"/>
      <c r="V167" s="50"/>
      <c r="W167" s="50"/>
      <c r="X167" s="50"/>
      <c r="Y167" s="50"/>
      <c r="Z167" s="50"/>
      <c r="AA167" s="50"/>
      <c r="AB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row>
    <row r="168" spans="1:60" ht="15.75" customHeight="1" x14ac:dyDescent="0.25">
      <c r="A168" s="468" t="s">
        <v>901</v>
      </c>
      <c r="B168" s="469" t="s">
        <v>542</v>
      </c>
      <c r="C168" s="451" t="s">
        <v>900</v>
      </c>
      <c r="D168" s="471">
        <f>'Расчет базового уровня'!D170</f>
        <v>105</v>
      </c>
      <c r="E168" s="50"/>
      <c r="F168" s="50"/>
      <c r="G168" s="470">
        <f>'Расчет базового уровня'!G170</f>
        <v>105</v>
      </c>
      <c r="H168" s="470">
        <f>'Расчет базового уровня'!H170</f>
        <v>105</v>
      </c>
      <c r="I168" s="470">
        <f>'Расчет базового уровня'!I170</f>
        <v>105</v>
      </c>
      <c r="J168" s="470">
        <f>'Расчет базового уровня'!J170</f>
        <v>105</v>
      </c>
      <c r="K168" s="470">
        <f>'Расчет базового уровня'!K170</f>
        <v>105</v>
      </c>
      <c r="L168" s="470">
        <f>'Расчет базового уровня'!L170</f>
        <v>105</v>
      </c>
      <c r="M168" s="470">
        <f>'Расчет базового уровня'!M170</f>
        <v>105</v>
      </c>
      <c r="N168" s="470">
        <f>'Расчет базового уровня'!N170</f>
        <v>105</v>
      </c>
      <c r="O168" s="470">
        <f>'Расчет базового уровня'!O170</f>
        <v>105</v>
      </c>
      <c r="P168" s="470">
        <f>'Расчет базового уровня'!P170</f>
        <v>105</v>
      </c>
      <c r="Q168" s="470">
        <f>'Расчет базового уровня'!Q170</f>
        <v>105</v>
      </c>
      <c r="R168" s="470">
        <f>'Расчет базового уровня'!R170</f>
        <v>105</v>
      </c>
      <c r="S168" s="50"/>
      <c r="T168" s="50"/>
      <c r="U168" s="50"/>
      <c r="V168" s="50"/>
      <c r="W168" s="50"/>
      <c r="X168" s="50"/>
      <c r="Y168" s="50"/>
      <c r="Z168" s="50"/>
      <c r="AA168" s="50"/>
      <c r="AB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row>
    <row r="169" spans="1:60" ht="15.75" customHeight="1" x14ac:dyDescent="0.25">
      <c r="A169" s="472" t="s">
        <v>544</v>
      </c>
      <c r="B169" s="469" t="s">
        <v>545</v>
      </c>
      <c r="C169" s="451" t="s">
        <v>746</v>
      </c>
      <c r="D169" s="473">
        <f>'Расчет базового уровня'!D171</f>
        <v>0.9</v>
      </c>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row>
    <row r="170" spans="1:60" ht="15.75" customHeight="1" x14ac:dyDescent="0.25">
      <c r="A170" s="468"/>
      <c r="B170" s="469" t="s">
        <v>546</v>
      </c>
      <c r="C170" s="451" t="s">
        <v>543</v>
      </c>
      <c r="D170" s="473">
        <f>365-SUM('Ввод исходных данных'!D127:D132)</f>
        <v>351</v>
      </c>
      <c r="E170" s="50"/>
      <c r="F170" s="50"/>
      <c r="G170" s="1774">
        <f>G165-G166*IFERROR(VLOOKUP(G$131,'Ввод исходных данных'!$C$127:$D$132,2,FALSE),0)</f>
        <v>31</v>
      </c>
      <c r="H170" s="1774">
        <f>H165-H166*IFERROR(VLOOKUP(H$131,'Ввод исходных данных'!$C$127:$D$132,2,FALSE),0)</f>
        <v>28</v>
      </c>
      <c r="I170" s="1774">
        <f>I165-I166*IFERROR(VLOOKUP(I$131,'Ввод исходных данных'!$C$127:$D$132,2,FALSE),0)</f>
        <v>31</v>
      </c>
      <c r="J170" s="1774">
        <f>J165-J166*IFERROR(VLOOKUP(J$131,'Ввод исходных данных'!$C$127:$D$132,2,FALSE),0)</f>
        <v>30</v>
      </c>
      <c r="K170" s="1774">
        <f>K165-K166*IFERROR(VLOOKUP(K$131,'Ввод исходных данных'!$C$127:$D$132,2,FALSE),0)</f>
        <v>31</v>
      </c>
      <c r="L170" s="1774">
        <f>L165-L166*IFERROR(VLOOKUP(L$131,'Ввод исходных данных'!$C$127:$D$132,2,FALSE),0)</f>
        <v>16</v>
      </c>
      <c r="M170" s="1774">
        <f>M165-M166*IFERROR(VLOOKUP(M$131,'Ввод исходных данных'!$C$127:$D$132,2,FALSE),0)</f>
        <v>31</v>
      </c>
      <c r="N170" s="1774">
        <f>N165-N166*IFERROR(VLOOKUP(N$131,'Ввод исходных данных'!$C$127:$D$132,2,FALSE),0)</f>
        <v>31</v>
      </c>
      <c r="O170" s="1774">
        <f>O165-O166*IFERROR(VLOOKUP(O$131,'Ввод исходных данных'!$C$127:$D$132,2,FALSE),0)</f>
        <v>30</v>
      </c>
      <c r="P170" s="1774">
        <f>P165-P166*IFERROR(VLOOKUP(P$131,'Ввод исходных данных'!$C$127:$D$132,2,FALSE),0)</f>
        <v>31</v>
      </c>
      <c r="Q170" s="1774">
        <f>Q165-Q166*IFERROR(VLOOKUP(Q$131,'Ввод исходных данных'!$C$127:$D$132,2,FALSE),0)</f>
        <v>30</v>
      </c>
      <c r="R170" s="1774">
        <f>R165-R166*IFERROR(VLOOKUP(R$131,'Ввод исходных данных'!$C$127:$D$132,2,FALSE),0)</f>
        <v>31</v>
      </c>
      <c r="S170" s="50"/>
      <c r="T170" s="50"/>
      <c r="U170" s="50"/>
      <c r="V170" s="50"/>
      <c r="W170" s="50"/>
      <c r="X170" s="50"/>
      <c r="Y170" s="50"/>
      <c r="Z170" s="50"/>
      <c r="AA170" s="50"/>
      <c r="AB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row>
    <row r="171" spans="1:60" ht="15.75" customHeight="1" x14ac:dyDescent="0.25">
      <c r="A171" s="468" t="s">
        <v>902</v>
      </c>
      <c r="B171" s="469" t="s">
        <v>547</v>
      </c>
      <c r="C171" s="451" t="s">
        <v>559</v>
      </c>
      <c r="D171" s="474">
        <f ca="1">D167*'Ввод исходных данных'!$D$22/24/1000</f>
        <v>0</v>
      </c>
      <c r="E171" s="50"/>
      <c r="F171" s="50"/>
      <c r="G171" s="474" t="e">
        <f>G167*'Ввод исходных данных'!$D$22/24/1000</f>
        <v>#N/A</v>
      </c>
      <c r="H171" s="474" t="e">
        <f>H167*'Ввод исходных данных'!$D$22/24/1000</f>
        <v>#N/A</v>
      </c>
      <c r="I171" s="474" t="e">
        <f>I167*'Ввод исходных данных'!$D$22/24/1000</f>
        <v>#N/A</v>
      </c>
      <c r="J171" s="474" t="e">
        <f>J167*'Ввод исходных данных'!$D$22/24/1000</f>
        <v>#N/A</v>
      </c>
      <c r="K171" s="474" t="e">
        <f>K167*'Ввод исходных данных'!$D$22/24/1000</f>
        <v>#N/A</v>
      </c>
      <c r="L171" s="474" t="e">
        <f>L167*'Ввод исходных данных'!$D$22/24/1000</f>
        <v>#N/A</v>
      </c>
      <c r="M171" s="474" t="e">
        <f>M167*'Ввод исходных данных'!$D$22/24/1000</f>
        <v>#N/A</v>
      </c>
      <c r="N171" s="474" t="e">
        <f>N167*'Ввод исходных данных'!$D$22/24/1000</f>
        <v>#N/A</v>
      </c>
      <c r="O171" s="474" t="e">
        <f>O167*'Ввод исходных данных'!$D$22/24/1000</f>
        <v>#N/A</v>
      </c>
      <c r="P171" s="474" t="e">
        <f>P167*'Ввод исходных данных'!$D$22/24/1000</f>
        <v>#N/A</v>
      </c>
      <c r="Q171" s="474" t="e">
        <f>Q167*'Ввод исходных данных'!$D$22/24/1000</f>
        <v>#N/A</v>
      </c>
      <c r="R171" s="474" t="e">
        <f>R167*'Ввод исходных данных'!$D$22/24/1000</f>
        <v>#N/A</v>
      </c>
      <c r="S171" s="50"/>
      <c r="T171" s="50"/>
      <c r="U171" s="50"/>
      <c r="V171" s="50"/>
      <c r="W171" s="50"/>
      <c r="X171" s="50"/>
      <c r="Y171" s="50"/>
      <c r="Z171" s="50"/>
      <c r="AA171" s="50"/>
      <c r="AB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row>
    <row r="172" spans="1:60" ht="15.75" customHeight="1" x14ac:dyDescent="0.25">
      <c r="A172" s="468" t="s">
        <v>903</v>
      </c>
      <c r="B172" s="469" t="s">
        <v>548</v>
      </c>
      <c r="C172" s="451" t="s">
        <v>559</v>
      </c>
      <c r="D172" s="474" t="e">
        <f ca="1">D171*'Система электроснабжения'!$C$54</f>
        <v>#DIV/0!</v>
      </c>
      <c r="E172" s="50"/>
      <c r="F172" s="50"/>
      <c r="G172" s="474" t="e">
        <f>G171*'Система электроснабжения'!$C$54</f>
        <v>#N/A</v>
      </c>
      <c r="H172" s="474" t="e">
        <f>H171*'Система электроснабжения'!$C$54</f>
        <v>#N/A</v>
      </c>
      <c r="I172" s="474" t="e">
        <f>I171*'Система электроснабжения'!$C$54</f>
        <v>#N/A</v>
      </c>
      <c r="J172" s="474" t="e">
        <f>J171*'Система электроснабжения'!$C$54</f>
        <v>#N/A</v>
      </c>
      <c r="K172" s="474" t="e">
        <f>K171*'Система электроснабжения'!$C$54</f>
        <v>#N/A</v>
      </c>
      <c r="L172" s="474" t="e">
        <f>L171*'Система электроснабжения'!$C$54</f>
        <v>#N/A</v>
      </c>
      <c r="M172" s="474" t="e">
        <f>M171*'Система электроснабжения'!$C$54</f>
        <v>#N/A</v>
      </c>
      <c r="N172" s="474" t="e">
        <f>N171*'Система электроснабжения'!$C$54</f>
        <v>#N/A</v>
      </c>
      <c r="O172" s="474" t="e">
        <f>O171*'Система электроснабжения'!$C$54</f>
        <v>#N/A</v>
      </c>
      <c r="P172" s="474" t="e">
        <f>P171*'Система электроснабжения'!$C$54</f>
        <v>#N/A</v>
      </c>
      <c r="Q172" s="474" t="e">
        <f>Q171*'Система электроснабжения'!$C$54</f>
        <v>#N/A</v>
      </c>
      <c r="R172" s="474" t="e">
        <f>R171*'Система электроснабжения'!$C$54</f>
        <v>#N/A</v>
      </c>
      <c r="S172" s="50"/>
      <c r="T172" s="50"/>
      <c r="U172" s="50"/>
      <c r="V172" s="50"/>
      <c r="W172" s="50"/>
      <c r="X172" s="50"/>
      <c r="Y172" s="50"/>
      <c r="Z172" s="50"/>
      <c r="AA172" s="50"/>
      <c r="AB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row>
    <row r="173" spans="1:60" ht="15.75" customHeight="1" x14ac:dyDescent="0.25">
      <c r="A173" s="468" t="s">
        <v>904</v>
      </c>
      <c r="B173" s="469" t="s">
        <v>551</v>
      </c>
      <c r="C173" s="451" t="s">
        <v>513</v>
      </c>
      <c r="D173" s="475">
        <f ca="1" xml:space="preserve"> (D167*(D174-D175)*(1+D176)*1*D177)/(3.6*24*D178)</f>
        <v>19.461756093700533</v>
      </c>
      <c r="E173" s="50"/>
      <c r="F173" s="50"/>
      <c r="G173" s="475" t="e">
        <f xml:space="preserve"> (G167*($D$174-$D$175)*(1+$D$176)*1*$D$177)/(3.6*24*$D$178)</f>
        <v>#N/A</v>
      </c>
      <c r="H173" s="475" t="e">
        <f t="shared" ref="H173:R173" si="11" xml:space="preserve"> (H167*($D$174-$D$175)*(1+$D$176)*1*$D$177)/(3.6*24*$D$178)</f>
        <v>#N/A</v>
      </c>
      <c r="I173" s="475" t="e">
        <f t="shared" si="11"/>
        <v>#N/A</v>
      </c>
      <c r="J173" s="475" t="e">
        <f t="shared" si="11"/>
        <v>#N/A</v>
      </c>
      <c r="K173" s="475" t="e">
        <f t="shared" si="11"/>
        <v>#N/A</v>
      </c>
      <c r="L173" s="475" t="e">
        <f t="shared" si="11"/>
        <v>#N/A</v>
      </c>
      <c r="M173" s="475" t="e">
        <f t="shared" si="11"/>
        <v>#N/A</v>
      </c>
      <c r="N173" s="475" t="e">
        <f t="shared" si="11"/>
        <v>#N/A</v>
      </c>
      <c r="O173" s="475" t="e">
        <f t="shared" si="11"/>
        <v>#N/A</v>
      </c>
      <c r="P173" s="475" t="e">
        <f t="shared" si="11"/>
        <v>#N/A</v>
      </c>
      <c r="Q173" s="475" t="e">
        <f t="shared" si="11"/>
        <v>#N/A</v>
      </c>
      <c r="R173" s="475" t="e">
        <f t="shared" si="11"/>
        <v>#N/A</v>
      </c>
      <c r="S173" s="50"/>
      <c r="T173" s="50"/>
      <c r="U173" s="50"/>
      <c r="V173" s="50"/>
      <c r="W173" s="50"/>
      <c r="X173" s="50"/>
      <c r="Y173" s="50"/>
      <c r="Z173" s="50"/>
      <c r="AA173" s="50"/>
      <c r="AB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row>
    <row r="174" spans="1:60" ht="15.75" customHeight="1" x14ac:dyDescent="0.25">
      <c r="A174" s="468" t="s">
        <v>552</v>
      </c>
      <c r="B174" s="469" t="s">
        <v>905</v>
      </c>
      <c r="C174" s="451" t="s">
        <v>747</v>
      </c>
      <c r="D174" s="473">
        <f>списки!C59</f>
        <v>60</v>
      </c>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row>
    <row r="175" spans="1:60" ht="15.75" customHeight="1" x14ac:dyDescent="0.35">
      <c r="A175" s="472" t="s">
        <v>560</v>
      </c>
      <c r="B175" s="469" t="s">
        <v>906</v>
      </c>
      <c r="C175" s="451" t="s">
        <v>747</v>
      </c>
      <c r="D175" s="473">
        <f>списки!C60</f>
        <v>5</v>
      </c>
      <c r="E175" s="476">
        <f ca="1">(D148*D175+MAX(0,365-D148-SUM('Ввод исходных данных'!D127:D132))*списки!C61)/(365-SUM('Ввод исходных данных'!D127:D132))</f>
        <v>15</v>
      </c>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row>
    <row r="176" spans="1:60" ht="15.75" customHeight="1" x14ac:dyDescent="0.35">
      <c r="A176" s="472" t="s">
        <v>561</v>
      </c>
      <c r="B176" s="477" t="s">
        <v>553</v>
      </c>
      <c r="C176" s="451" t="s">
        <v>746</v>
      </c>
      <c r="D176" s="478">
        <f>'Расчет базового уровня'!D178-IF('Список мероприятий'!AB40=1,0.1,0)-IF(AND('Система ГВС'!C11=0,'Список мероприятий'!D35=списки!$N$46),0.05,0)</f>
        <v>0.2</v>
      </c>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row>
    <row r="177" spans="1:60" ht="15.75" customHeight="1" x14ac:dyDescent="0.25">
      <c r="A177" s="472" t="s">
        <v>1220</v>
      </c>
      <c r="B177" s="477"/>
      <c r="C177" s="451" t="s">
        <v>1221</v>
      </c>
      <c r="D177" s="478">
        <v>4.2</v>
      </c>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row>
    <row r="178" spans="1:60" ht="15.75" customHeight="1" x14ac:dyDescent="0.25">
      <c r="A178" s="472" t="s">
        <v>907</v>
      </c>
      <c r="B178" s="477" t="s">
        <v>1416</v>
      </c>
      <c r="C178" s="451" t="s">
        <v>562</v>
      </c>
      <c r="D178" s="473">
        <v>20</v>
      </c>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row>
    <row r="179" spans="1:60" ht="15.75" customHeight="1" x14ac:dyDescent="0.25">
      <c r="A179" s="472" t="s">
        <v>908</v>
      </c>
      <c r="B179" s="477" t="s">
        <v>750</v>
      </c>
      <c r="C179" s="451" t="s">
        <v>562</v>
      </c>
      <c r="D179" s="470" t="e">
        <f>'Расчет базового уровня'!D181</f>
        <v>#DIV/0!</v>
      </c>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row>
    <row r="180" spans="1:60" x14ac:dyDescent="0.25">
      <c r="A180" s="472" t="s">
        <v>1487</v>
      </c>
      <c r="B180" s="477"/>
      <c r="C180" s="451" t="s">
        <v>1168</v>
      </c>
      <c r="D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ГВС'!$F$19=0,12.9,17.7))*8424/1000000</f>
        <v>0</v>
      </c>
      <c r="E180" s="50"/>
      <c r="F180" s="285"/>
      <c r="G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ГВС'!$F$19=0,12.9,17.7))*G170*24/1000000</f>
        <v>0</v>
      </c>
      <c r="H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ГВС'!$F$19=0,12.9,17.7))*H170*24/1000000</f>
        <v>0</v>
      </c>
      <c r="I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ГВС'!$F$19=0,12.9,17.7))*I170*24/1000000</f>
        <v>0</v>
      </c>
      <c r="J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ГВС'!$F$19=0,12.9,17.7))*J170*24/1000000</f>
        <v>0</v>
      </c>
      <c r="K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ГВС'!$F$19=0,12.9,17.7))*K170*24/1000000</f>
        <v>0</v>
      </c>
      <c r="L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ГВС'!$F$19=0,12.9,17.7))*L170*24/1000000</f>
        <v>0</v>
      </c>
      <c r="M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ГВС'!$F$19=0,12.9,17.7))*M170*24/1000000</f>
        <v>0</v>
      </c>
      <c r="N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ГВС'!$F$19=0,12.9,17.7))*N170*24/1000000</f>
        <v>0</v>
      </c>
      <c r="O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ГВС'!$F$19=0,12.9,17.7))*O170*24/1000000</f>
        <v>0</v>
      </c>
      <c r="P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ГВС'!$F$19=0,12.9,17.7))*P170*24/1000000</f>
        <v>0</v>
      </c>
      <c r="Q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ГВС'!$F$19=0,12.9,17.7))*Q170*24/1000000</f>
        <v>0</v>
      </c>
      <c r="R180" s="470">
        <f>'Список мероприятий'!$AB$41*IF('Список мероприятий'!$D$43=0,(2*('Ввод исходных данных'!$G$58+'Ввод исходных данных'!$G$59)*IF('Система ГВС'!$F$19=0,IF(списки!$D$32=0,19.4,12.6),IF(списки!$D$32=0,23.7,16.9))+'Ввод исходных данных'!$G$60*IF('Система ГВС'!$F$19=0,12.9,17.7)),('Список мероприятий'!$D$43-'Ввод исходных данных'!$G$60)*IF('Система ГВС'!$F$19=0,IF(списки!$D$32=0,19.4,12.6),IF(списки!$D$32=0,23.7,16.9))+'Ввод исходных данных'!$G$60*IF('Система ГВС'!$F$19=0,12.9,17.7))*R170*24/1000000</f>
        <v>0</v>
      </c>
      <c r="S180" s="50"/>
      <c r="T180" s="50"/>
      <c r="U180" s="50"/>
      <c r="V180" s="50"/>
      <c r="W180" s="50"/>
      <c r="X180" s="50"/>
      <c r="Y180" s="50"/>
      <c r="Z180" s="50"/>
      <c r="AA180" s="50"/>
      <c r="AB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row>
    <row r="181" spans="1:60" x14ac:dyDescent="0.25">
      <c r="A181" s="472" t="s">
        <v>1496</v>
      </c>
      <c r="B181" s="477" t="s">
        <v>1497</v>
      </c>
      <c r="C181" s="451" t="s">
        <v>1503</v>
      </c>
      <c r="D181" s="470" t="e">
        <f>0.28*'Ввод исходных данных'!$G$60*(D183-D184)+0.03*D183*Климатология!$H$2^2</f>
        <v>#N/A</v>
      </c>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row>
    <row r="182" spans="1:60" x14ac:dyDescent="0.25">
      <c r="A182" s="472" t="s">
        <v>1499</v>
      </c>
      <c r="B182" s="477" t="s">
        <v>1498</v>
      </c>
      <c r="C182" s="451" t="s">
        <v>1503</v>
      </c>
      <c r="D182" s="470" t="e">
        <f>0.55*('Ввод исходных данных'!$G$60-1)*(D183-D184)+0.03*D183*Климатология!$H$2^2</f>
        <v>#N/A</v>
      </c>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row>
    <row r="183" spans="1:60" x14ac:dyDescent="0.25">
      <c r="A183" s="472" t="s">
        <v>1500</v>
      </c>
      <c r="B183" s="477"/>
      <c r="C183" s="451" t="s">
        <v>1504</v>
      </c>
      <c r="D183" s="470" t="e">
        <f>3463/(273+Климатология!$F$2)</f>
        <v>#N/A</v>
      </c>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row>
    <row r="184" spans="1:60" x14ac:dyDescent="0.25">
      <c r="A184" s="472" t="s">
        <v>1501</v>
      </c>
      <c r="B184" s="477"/>
      <c r="C184" s="451" t="s">
        <v>1504</v>
      </c>
      <c r="D184" s="470">
        <f>3463/(273+списки!$C$56)</f>
        <v>11.819112627986348</v>
      </c>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row>
    <row r="185" spans="1:60" x14ac:dyDescent="0.25">
      <c r="A185" s="472" t="s">
        <v>1495</v>
      </c>
      <c r="B185" s="477"/>
      <c r="C185" s="451" t="s">
        <v>1505</v>
      </c>
      <c r="D185" s="479" t="e">
        <f>IF('Список мероприятий'!AB14=1,0.86,'Расчет базового уровня'!D187)</f>
        <v>#DIV/0!</v>
      </c>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row>
    <row r="186" spans="1:60" x14ac:dyDescent="0.25">
      <c r="A186" s="472" t="s">
        <v>1494</v>
      </c>
      <c r="B186" s="477"/>
      <c r="C186" s="451" t="s">
        <v>1505</v>
      </c>
      <c r="D186" s="479">
        <f>IF('Список мероприятий'!AB75=1,0.16,'Расчет базового уровня'!D188)</f>
        <v>0.14000000000000001</v>
      </c>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row>
    <row r="187" spans="1:60" x14ac:dyDescent="0.25">
      <c r="A187" s="472" t="s">
        <v>1493</v>
      </c>
      <c r="B187" s="477"/>
      <c r="C187" s="451" t="s">
        <v>1506</v>
      </c>
      <c r="D187" s="470" t="e">
        <f>(B138/D185)*(D181/10)^(2/3)</f>
        <v>#DIV/0!</v>
      </c>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row>
    <row r="188" spans="1:60" x14ac:dyDescent="0.25">
      <c r="A188" s="472" t="s">
        <v>1492</v>
      </c>
      <c r="B188" s="477"/>
      <c r="C188" s="451" t="s">
        <v>1506</v>
      </c>
      <c r="D188" s="470" t="e">
        <f>(B145/D186)*(D182/10)^(1/2)</f>
        <v>#N/A</v>
      </c>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row>
    <row r="189" spans="1:60" x14ac:dyDescent="0.25">
      <c r="A189" s="472" t="s">
        <v>1491</v>
      </c>
      <c r="B189" s="477"/>
      <c r="C189" s="451" t="s">
        <v>1506</v>
      </c>
      <c r="D189" s="470" t="e">
        <f>D187+D188</f>
        <v>#DIV/0!</v>
      </c>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row>
    <row r="190" spans="1:60" x14ac:dyDescent="0.25">
      <c r="A190" s="472" t="s">
        <v>1490</v>
      </c>
      <c r="B190" s="477"/>
      <c r="C190" s="451" t="s">
        <v>496</v>
      </c>
      <c r="D190" s="470" t="e">
        <f>0.024*D187*'Расчет базового уровня'!$D$149*0.28</f>
        <v>#DIV/0!</v>
      </c>
      <c r="E190" s="50"/>
      <c r="F190" s="50"/>
      <c r="G190" s="470" t="e">
        <f ca="1">0.024*$D$187*G$149*0.28</f>
        <v>#DIV/0!</v>
      </c>
      <c r="H190" s="470" t="e">
        <f t="shared" ref="H190:R190" ca="1" si="12">0.024*$D$187*H$149*0.28</f>
        <v>#DIV/0!</v>
      </c>
      <c r="I190" s="470" t="e">
        <f t="shared" ca="1" si="12"/>
        <v>#DIV/0!</v>
      </c>
      <c r="J190" s="470" t="e">
        <f t="shared" ca="1" si="12"/>
        <v>#DIV/0!</v>
      </c>
      <c r="K190" s="470" t="e">
        <f t="shared" ca="1" si="12"/>
        <v>#DIV/0!</v>
      </c>
      <c r="L190" s="470" t="e">
        <f t="shared" ca="1" si="12"/>
        <v>#DIV/0!</v>
      </c>
      <c r="M190" s="470" t="e">
        <f t="shared" ca="1" si="12"/>
        <v>#DIV/0!</v>
      </c>
      <c r="N190" s="470" t="e">
        <f t="shared" ca="1" si="12"/>
        <v>#DIV/0!</v>
      </c>
      <c r="O190" s="470" t="e">
        <f t="shared" ca="1" si="12"/>
        <v>#DIV/0!</v>
      </c>
      <c r="P190" s="470" t="e">
        <f t="shared" ca="1" si="12"/>
        <v>#DIV/0!</v>
      </c>
      <c r="Q190" s="470" t="e">
        <f t="shared" ca="1" si="12"/>
        <v>#DIV/0!</v>
      </c>
      <c r="R190" s="470" t="e">
        <f t="shared" ca="1" si="12"/>
        <v>#DIV/0!</v>
      </c>
      <c r="S190" s="50"/>
      <c r="T190" s="50"/>
      <c r="U190" s="50"/>
      <c r="V190" s="50"/>
      <c r="W190" s="50"/>
      <c r="X190" s="50"/>
      <c r="Y190" s="50"/>
      <c r="Z190" s="50"/>
      <c r="AA190" s="50"/>
      <c r="AB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row>
    <row r="191" spans="1:60" x14ac:dyDescent="0.25">
      <c r="A191" s="472" t="s">
        <v>1489</v>
      </c>
      <c r="B191" s="477"/>
      <c r="C191" s="451" t="s">
        <v>496</v>
      </c>
      <c r="D191" s="470" t="e">
        <f>0.024*D188*'Расчет базового уровня'!$D$149*0.28</f>
        <v>#N/A</v>
      </c>
      <c r="E191" s="50"/>
      <c r="F191" s="50"/>
      <c r="G191" s="470" t="e">
        <f ca="1">0.024*$D$188*G$149*0.28</f>
        <v>#N/A</v>
      </c>
      <c r="H191" s="470" t="e">
        <f t="shared" ref="H191:R191" ca="1" si="13">0.024*$D$188*H$149*0.28</f>
        <v>#N/A</v>
      </c>
      <c r="I191" s="470" t="e">
        <f t="shared" ca="1" si="13"/>
        <v>#N/A</v>
      </c>
      <c r="J191" s="470" t="e">
        <f t="shared" ca="1" si="13"/>
        <v>#N/A</v>
      </c>
      <c r="K191" s="470" t="e">
        <f t="shared" ca="1" si="13"/>
        <v>#N/A</v>
      </c>
      <c r="L191" s="470" t="e">
        <f t="shared" ca="1" si="13"/>
        <v>#N/A</v>
      </c>
      <c r="M191" s="470" t="e">
        <f t="shared" ca="1" si="13"/>
        <v>#N/A</v>
      </c>
      <c r="N191" s="470" t="e">
        <f t="shared" ca="1" si="13"/>
        <v>#N/A</v>
      </c>
      <c r="O191" s="470" t="e">
        <f t="shared" ca="1" si="13"/>
        <v>#N/A</v>
      </c>
      <c r="P191" s="470" t="e">
        <f t="shared" ca="1" si="13"/>
        <v>#N/A</v>
      </c>
      <c r="Q191" s="470" t="e">
        <f t="shared" ca="1" si="13"/>
        <v>#N/A</v>
      </c>
      <c r="R191" s="470" t="e">
        <f t="shared" ca="1" si="13"/>
        <v>#N/A</v>
      </c>
      <c r="S191" s="50"/>
      <c r="T191" s="50"/>
      <c r="U191" s="50"/>
      <c r="V191" s="50"/>
      <c r="W191" s="50"/>
      <c r="X191" s="50"/>
      <c r="Y191" s="50"/>
      <c r="Z191" s="50"/>
      <c r="AA191" s="50"/>
      <c r="AB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row>
    <row r="192" spans="1:60" x14ac:dyDescent="0.25">
      <c r="A192" s="472" t="s">
        <v>1488</v>
      </c>
      <c r="B192" s="477"/>
      <c r="C192" s="451" t="s">
        <v>496</v>
      </c>
      <c r="D192" s="470" t="e">
        <f>0.024*D189*'Расчет базового уровня'!$D$149*0.28</f>
        <v>#DIV/0!</v>
      </c>
      <c r="E192" s="50"/>
      <c r="F192" s="50"/>
      <c r="G192" s="470" t="e">
        <f ca="1">0.024*$D$189*G$149*0.28</f>
        <v>#DIV/0!</v>
      </c>
      <c r="H192" s="470" t="e">
        <f t="shared" ref="H192:R192" ca="1" si="14">0.024*$D$189*H$149*0.28</f>
        <v>#DIV/0!</v>
      </c>
      <c r="I192" s="470" t="e">
        <f t="shared" ca="1" si="14"/>
        <v>#DIV/0!</v>
      </c>
      <c r="J192" s="470" t="e">
        <f t="shared" ca="1" si="14"/>
        <v>#DIV/0!</v>
      </c>
      <c r="K192" s="470" t="e">
        <f t="shared" ca="1" si="14"/>
        <v>#DIV/0!</v>
      </c>
      <c r="L192" s="470" t="e">
        <f t="shared" ca="1" si="14"/>
        <v>#DIV/0!</v>
      </c>
      <c r="M192" s="470" t="e">
        <f t="shared" ca="1" si="14"/>
        <v>#DIV/0!</v>
      </c>
      <c r="N192" s="470" t="e">
        <f t="shared" ca="1" si="14"/>
        <v>#DIV/0!</v>
      </c>
      <c r="O192" s="470" t="e">
        <f t="shared" ca="1" si="14"/>
        <v>#DIV/0!</v>
      </c>
      <c r="P192" s="470" t="e">
        <f t="shared" ca="1" si="14"/>
        <v>#DIV/0!</v>
      </c>
      <c r="Q192" s="470" t="e">
        <f t="shared" ca="1" si="14"/>
        <v>#DIV/0!</v>
      </c>
      <c r="R192" s="470" t="e">
        <f t="shared" ca="1" si="14"/>
        <v>#DIV/0!</v>
      </c>
      <c r="S192" s="50"/>
      <c r="T192" s="50"/>
      <c r="U192" s="50"/>
      <c r="V192" s="50"/>
      <c r="W192" s="50"/>
      <c r="X192" s="50"/>
      <c r="Y192" s="50"/>
      <c r="Z192" s="50"/>
      <c r="AA192" s="50"/>
      <c r="AB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row>
    <row r="193" spans="1:60"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row>
    <row r="194" spans="1:60"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row>
    <row r="195" spans="1:60"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row>
    <row r="196" spans="1:60"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row>
    <row r="197" spans="1:60"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row>
    <row r="198" spans="1:60"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row>
  </sheetData>
  <sheetProtection password="ECB1"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101"/>
  <sheetViews>
    <sheetView workbookViewId="0">
      <selection sqref="A1:XFD1048576"/>
    </sheetView>
  </sheetViews>
  <sheetFormatPr defaultColWidth="9.140625" defaultRowHeight="15" x14ac:dyDescent="0.25"/>
  <cols>
    <col min="1" max="1" width="47" style="51" customWidth="1"/>
    <col min="2" max="2" width="9.140625" style="51"/>
    <col min="3" max="3" width="44" style="51" customWidth="1"/>
    <col min="4" max="16384" width="9.140625" style="51"/>
  </cols>
  <sheetData>
    <row r="1" spans="1:11" x14ac:dyDescent="0.25">
      <c r="C1" s="51">
        <v>1</v>
      </c>
      <c r="D1" s="51">
        <v>2</v>
      </c>
      <c r="E1" s="51">
        <v>3</v>
      </c>
      <c r="F1" s="51">
        <v>4</v>
      </c>
      <c r="G1" s="50"/>
      <c r="H1" s="50"/>
      <c r="I1" s="50"/>
      <c r="J1" s="50"/>
      <c r="K1" s="50"/>
    </row>
    <row r="2" spans="1:11" s="215" customFormat="1" ht="135" x14ac:dyDescent="0.25">
      <c r="A2" s="259" t="s">
        <v>895</v>
      </c>
      <c r="B2" s="259" t="s">
        <v>1277</v>
      </c>
      <c r="C2" s="259" t="s">
        <v>1340</v>
      </c>
      <c r="D2" s="259" t="s">
        <v>1278</v>
      </c>
      <c r="E2" s="259" t="s">
        <v>1542</v>
      </c>
      <c r="F2" s="259" t="s">
        <v>1541</v>
      </c>
      <c r="G2" s="50"/>
      <c r="H2" s="50"/>
      <c r="I2" s="50"/>
      <c r="J2" s="50"/>
      <c r="K2" s="50"/>
    </row>
    <row r="3" spans="1:11" x14ac:dyDescent="0.25">
      <c r="A3" s="71" t="s">
        <v>1231</v>
      </c>
      <c r="B3" s="71">
        <v>5</v>
      </c>
      <c r="C3" s="71" t="str">
        <f>CONCATENATE(A3,B3)</f>
        <v>минеральная вата (штукатурный фасад)5</v>
      </c>
      <c r="D3" s="260">
        <f t="shared" ref="D3:D8" si="0">B3/0.042/100</f>
        <v>1.1904761904761905</v>
      </c>
      <c r="E3" s="261">
        <f t="shared" ref="E3:E8" si="1">6350*B3/100</f>
        <v>317.5</v>
      </c>
      <c r="F3" s="71">
        <v>900</v>
      </c>
      <c r="G3" s="50"/>
      <c r="H3" s="50"/>
      <c r="I3" s="50"/>
      <c r="J3" s="50"/>
      <c r="K3" s="50"/>
    </row>
    <row r="4" spans="1:11" x14ac:dyDescent="0.25">
      <c r="A4" s="71" t="s">
        <v>1231</v>
      </c>
      <c r="B4" s="71">
        <v>10</v>
      </c>
      <c r="C4" s="71" t="str">
        <f t="shared" ref="C4:C36" si="2">CONCATENATE(A4,B4)</f>
        <v>минеральная вата (штукатурный фасад)10</v>
      </c>
      <c r="D4" s="260">
        <f t="shared" si="0"/>
        <v>2.3809523809523809</v>
      </c>
      <c r="E4" s="261">
        <f t="shared" si="1"/>
        <v>635</v>
      </c>
      <c r="F4" s="71">
        <v>900</v>
      </c>
      <c r="G4" s="50"/>
      <c r="H4" s="50"/>
      <c r="I4" s="50"/>
      <c r="J4" s="50"/>
      <c r="K4" s="50"/>
    </row>
    <row r="5" spans="1:11" x14ac:dyDescent="0.25">
      <c r="A5" s="71" t="s">
        <v>1231</v>
      </c>
      <c r="B5" s="71">
        <v>15</v>
      </c>
      <c r="C5" s="71" t="str">
        <f t="shared" si="2"/>
        <v>минеральная вата (штукатурный фасад)15</v>
      </c>
      <c r="D5" s="260">
        <f t="shared" si="0"/>
        <v>3.5714285714285712</v>
      </c>
      <c r="E5" s="261">
        <f t="shared" si="1"/>
        <v>952.5</v>
      </c>
      <c r="F5" s="71">
        <v>900</v>
      </c>
      <c r="G5" s="50"/>
      <c r="H5" s="50"/>
      <c r="I5" s="50"/>
      <c r="J5" s="50"/>
      <c r="K5" s="50"/>
    </row>
    <row r="6" spans="1:11" x14ac:dyDescent="0.25">
      <c r="A6" s="71" t="s">
        <v>1231</v>
      </c>
      <c r="B6" s="71">
        <v>20</v>
      </c>
      <c r="C6" s="71" t="str">
        <f t="shared" si="2"/>
        <v>минеральная вата (штукатурный фасад)20</v>
      </c>
      <c r="D6" s="260">
        <f t="shared" si="0"/>
        <v>4.7619047619047619</v>
      </c>
      <c r="E6" s="261">
        <f t="shared" si="1"/>
        <v>1270</v>
      </c>
      <c r="F6" s="71">
        <v>900</v>
      </c>
      <c r="G6" s="50"/>
      <c r="H6" s="50"/>
      <c r="I6" s="50"/>
      <c r="J6" s="50"/>
      <c r="K6" s="50"/>
    </row>
    <row r="7" spans="1:11" x14ac:dyDescent="0.25">
      <c r="A7" s="71" t="s">
        <v>1231</v>
      </c>
      <c r="B7" s="71">
        <v>25</v>
      </c>
      <c r="C7" s="71" t="str">
        <f t="shared" si="2"/>
        <v>минеральная вата (штукатурный фасад)25</v>
      </c>
      <c r="D7" s="260">
        <f t="shared" si="0"/>
        <v>5.9523809523809517</v>
      </c>
      <c r="E7" s="261">
        <f t="shared" si="1"/>
        <v>1587.5</v>
      </c>
      <c r="F7" s="71">
        <v>900</v>
      </c>
      <c r="G7" s="50"/>
      <c r="H7" s="50"/>
      <c r="I7" s="50"/>
      <c r="J7" s="50"/>
      <c r="K7" s="50"/>
    </row>
    <row r="8" spans="1:11" x14ac:dyDescent="0.25">
      <c r="A8" s="71" t="s">
        <v>1231</v>
      </c>
      <c r="B8" s="71">
        <v>30</v>
      </c>
      <c r="C8" s="71" t="str">
        <f t="shared" si="2"/>
        <v>минеральная вата (штукатурный фасад)30</v>
      </c>
      <c r="D8" s="260">
        <f t="shared" si="0"/>
        <v>7.1428571428571423</v>
      </c>
      <c r="E8" s="261">
        <f t="shared" si="1"/>
        <v>1905</v>
      </c>
      <c r="F8" s="71">
        <v>900</v>
      </c>
      <c r="G8" s="50"/>
      <c r="H8" s="50"/>
      <c r="I8" s="50"/>
      <c r="J8" s="50"/>
      <c r="K8" s="50"/>
    </row>
    <row r="9" spans="1:11" x14ac:dyDescent="0.25">
      <c r="A9" s="71" t="s">
        <v>1232</v>
      </c>
      <c r="B9" s="71">
        <v>5</v>
      </c>
      <c r="C9" s="71" t="str">
        <f t="shared" si="2"/>
        <v>плиты пенополистирол (штукатурный фасад)5</v>
      </c>
      <c r="D9" s="260">
        <f t="shared" ref="D9:D14" si="3">B9/100/0.045</f>
        <v>1.1111111111111112</v>
      </c>
      <c r="E9" s="71">
        <f t="shared" ref="E9:E14" si="4">B9/100*2000</f>
        <v>100</v>
      </c>
      <c r="F9" s="71">
        <v>900</v>
      </c>
      <c r="G9" s="50"/>
      <c r="H9" s="50"/>
      <c r="I9" s="50"/>
      <c r="J9" s="50"/>
      <c r="K9" s="50"/>
    </row>
    <row r="10" spans="1:11" x14ac:dyDescent="0.25">
      <c r="A10" s="71" t="s">
        <v>1232</v>
      </c>
      <c r="B10" s="71">
        <v>10</v>
      </c>
      <c r="C10" s="71" t="str">
        <f t="shared" si="2"/>
        <v>плиты пенополистирол (штукатурный фасад)10</v>
      </c>
      <c r="D10" s="260">
        <f t="shared" si="3"/>
        <v>2.2222222222222223</v>
      </c>
      <c r="E10" s="71">
        <f t="shared" si="4"/>
        <v>200</v>
      </c>
      <c r="F10" s="71">
        <v>900</v>
      </c>
      <c r="G10" s="50"/>
      <c r="H10" s="50"/>
      <c r="I10" s="50"/>
      <c r="J10" s="50"/>
      <c r="K10" s="50"/>
    </row>
    <row r="11" spans="1:11" x14ac:dyDescent="0.25">
      <c r="A11" s="71" t="s">
        <v>1232</v>
      </c>
      <c r="B11" s="71">
        <v>15</v>
      </c>
      <c r="C11" s="71" t="str">
        <f t="shared" si="2"/>
        <v>плиты пенополистирол (штукатурный фасад)15</v>
      </c>
      <c r="D11" s="260">
        <f t="shared" si="3"/>
        <v>3.3333333333333335</v>
      </c>
      <c r="E11" s="71">
        <f t="shared" si="4"/>
        <v>300</v>
      </c>
      <c r="F11" s="71">
        <v>900</v>
      </c>
      <c r="G11" s="50"/>
      <c r="H11" s="50"/>
      <c r="I11" s="50"/>
      <c r="J11" s="50"/>
      <c r="K11" s="50"/>
    </row>
    <row r="12" spans="1:11" x14ac:dyDescent="0.25">
      <c r="A12" s="71" t="s">
        <v>1232</v>
      </c>
      <c r="B12" s="71">
        <v>20</v>
      </c>
      <c r="C12" s="71" t="str">
        <f>CONCATENATE(A12,B12)</f>
        <v>плиты пенополистирол (штукатурный фасад)20</v>
      </c>
      <c r="D12" s="260">
        <f t="shared" si="3"/>
        <v>4.4444444444444446</v>
      </c>
      <c r="E12" s="71">
        <f t="shared" si="4"/>
        <v>400</v>
      </c>
      <c r="F12" s="71">
        <v>900</v>
      </c>
      <c r="G12" s="50"/>
      <c r="H12" s="50"/>
      <c r="I12" s="50"/>
      <c r="J12" s="50"/>
      <c r="K12" s="50"/>
    </row>
    <row r="13" spans="1:11" x14ac:dyDescent="0.25">
      <c r="A13" s="71" t="s">
        <v>1232</v>
      </c>
      <c r="B13" s="71">
        <v>25</v>
      </c>
      <c r="C13" s="71" t="str">
        <f>CONCATENATE(A13,B13)</f>
        <v>плиты пенополистирол (штукатурный фасад)25</v>
      </c>
      <c r="D13" s="260">
        <f t="shared" si="3"/>
        <v>5.5555555555555554</v>
      </c>
      <c r="E13" s="71">
        <f t="shared" si="4"/>
        <v>500</v>
      </c>
      <c r="F13" s="71">
        <v>900</v>
      </c>
      <c r="G13" s="50"/>
      <c r="H13" s="50"/>
      <c r="I13" s="50"/>
      <c r="J13" s="50"/>
      <c r="K13" s="50"/>
    </row>
    <row r="14" spans="1:11" x14ac:dyDescent="0.25">
      <c r="A14" s="71" t="s">
        <v>1232</v>
      </c>
      <c r="B14" s="71">
        <v>30</v>
      </c>
      <c r="C14" s="71" t="str">
        <f>CONCATENATE(A14,B14)</f>
        <v>плиты пенополистирол (штукатурный фасад)30</v>
      </c>
      <c r="D14" s="260">
        <f t="shared" si="3"/>
        <v>6.666666666666667</v>
      </c>
      <c r="E14" s="71">
        <f t="shared" si="4"/>
        <v>600</v>
      </c>
      <c r="F14" s="71">
        <v>900</v>
      </c>
      <c r="G14" s="50"/>
      <c r="H14" s="50"/>
      <c r="I14" s="50"/>
      <c r="J14" s="50"/>
      <c r="K14" s="50"/>
    </row>
    <row r="15" spans="1:11" x14ac:dyDescent="0.25">
      <c r="A15" s="71" t="s">
        <v>1460</v>
      </c>
      <c r="B15" s="71">
        <v>5</v>
      </c>
      <c r="C15" s="71" t="str">
        <f t="shared" si="2"/>
        <v>панели "Неопорм"5</v>
      </c>
      <c r="D15" s="260">
        <f t="shared" ref="D15:D20" si="5">B15/100/0.053</f>
        <v>0.94339622641509446</v>
      </c>
      <c r="E15" s="71">
        <v>1300</v>
      </c>
      <c r="F15" s="71">
        <v>900</v>
      </c>
      <c r="G15" s="50"/>
      <c r="H15" s="50"/>
      <c r="I15" s="50"/>
      <c r="J15" s="50"/>
      <c r="K15" s="50"/>
    </row>
    <row r="16" spans="1:11" x14ac:dyDescent="0.25">
      <c r="A16" s="71" t="s">
        <v>1460</v>
      </c>
      <c r="B16" s="71">
        <v>10</v>
      </c>
      <c r="C16" s="71" t="str">
        <f t="shared" si="2"/>
        <v>панели "Неопорм"10</v>
      </c>
      <c r="D16" s="260">
        <f t="shared" si="5"/>
        <v>1.8867924528301889</v>
      </c>
      <c r="E16" s="71">
        <f>E15/B15*B16</f>
        <v>2600</v>
      </c>
      <c r="F16" s="71">
        <v>900</v>
      </c>
      <c r="G16" s="50"/>
      <c r="H16" s="50"/>
      <c r="I16" s="50"/>
      <c r="J16" s="50"/>
      <c r="K16" s="50"/>
    </row>
    <row r="17" spans="1:11" x14ac:dyDescent="0.25">
      <c r="A17" s="71" t="s">
        <v>1460</v>
      </c>
      <c r="B17" s="71">
        <v>15</v>
      </c>
      <c r="C17" s="71" t="str">
        <f t="shared" si="2"/>
        <v>панели "Неопорм"15</v>
      </c>
      <c r="D17" s="260">
        <f t="shared" si="5"/>
        <v>2.8301886792452828</v>
      </c>
      <c r="E17" s="71">
        <f>E16/B16*B17</f>
        <v>3900</v>
      </c>
      <c r="F17" s="71">
        <v>900</v>
      </c>
      <c r="G17" s="50"/>
      <c r="H17" s="50"/>
      <c r="I17" s="50"/>
      <c r="J17" s="50"/>
      <c r="K17" s="50"/>
    </row>
    <row r="18" spans="1:11" x14ac:dyDescent="0.25">
      <c r="A18" s="71" t="s">
        <v>1460</v>
      </c>
      <c r="B18" s="71">
        <v>20</v>
      </c>
      <c r="C18" s="71" t="str">
        <f t="shared" si="2"/>
        <v>панели "Неопорм"20</v>
      </c>
      <c r="D18" s="260">
        <f t="shared" si="5"/>
        <v>3.7735849056603779</v>
      </c>
      <c r="E18" s="71">
        <f>E17/B17*B18</f>
        <v>5200</v>
      </c>
      <c r="F18" s="71">
        <v>900</v>
      </c>
      <c r="G18" s="50"/>
      <c r="H18" s="50"/>
      <c r="I18" s="50"/>
      <c r="J18" s="50"/>
      <c r="K18" s="50"/>
    </row>
    <row r="19" spans="1:11" x14ac:dyDescent="0.25">
      <c r="A19" s="71" t="s">
        <v>1460</v>
      </c>
      <c r="B19" s="71">
        <v>25</v>
      </c>
      <c r="C19" s="71" t="str">
        <f t="shared" si="2"/>
        <v>панели "Неопорм"25</v>
      </c>
      <c r="D19" s="260">
        <f t="shared" si="5"/>
        <v>4.716981132075472</v>
      </c>
      <c r="E19" s="71">
        <f>E18/B18*B19</f>
        <v>6500</v>
      </c>
      <c r="F19" s="71">
        <v>900</v>
      </c>
      <c r="G19" s="50"/>
      <c r="H19" s="50"/>
      <c r="I19" s="50"/>
      <c r="J19" s="50"/>
      <c r="K19" s="50"/>
    </row>
    <row r="20" spans="1:11" x14ac:dyDescent="0.25">
      <c r="A20" s="71" t="s">
        <v>1460</v>
      </c>
      <c r="B20" s="71">
        <v>30</v>
      </c>
      <c r="C20" s="71" t="str">
        <f t="shared" si="2"/>
        <v>панели "Неопорм"30</v>
      </c>
      <c r="D20" s="260">
        <f t="shared" si="5"/>
        <v>5.6603773584905657</v>
      </c>
      <c r="E20" s="71">
        <f>E19/B19*B20</f>
        <v>7800</v>
      </c>
      <c r="F20" s="71">
        <v>900</v>
      </c>
      <c r="G20" s="50"/>
      <c r="H20" s="50"/>
      <c r="I20" s="50"/>
      <c r="J20" s="50"/>
      <c r="K20" s="50"/>
    </row>
    <row r="21" spans="1:11" x14ac:dyDescent="0.25">
      <c r="A21" s="71" t="s">
        <v>1237</v>
      </c>
      <c r="B21" s="71">
        <v>5</v>
      </c>
      <c r="C21" s="71" t="str">
        <f t="shared" si="2"/>
        <v>рыхлые засыпки (гравий керамзитовый)5</v>
      </c>
      <c r="D21" s="260">
        <f t="shared" ref="D21:D26" si="6">B21/100/0.15</f>
        <v>0.33333333333333337</v>
      </c>
      <c r="E21" s="71">
        <f t="shared" ref="E21:E26" si="7">2500*B21/100</f>
        <v>125</v>
      </c>
      <c r="F21" s="71"/>
      <c r="G21" s="50"/>
      <c r="H21" s="50"/>
      <c r="I21" s="50"/>
      <c r="J21" s="50"/>
      <c r="K21" s="50"/>
    </row>
    <row r="22" spans="1:11" x14ac:dyDescent="0.25">
      <c r="A22" s="71" t="s">
        <v>1237</v>
      </c>
      <c r="B22" s="71">
        <v>10</v>
      </c>
      <c r="C22" s="71" t="str">
        <f t="shared" si="2"/>
        <v>рыхлые засыпки (гравий керамзитовый)10</v>
      </c>
      <c r="D22" s="260">
        <f t="shared" si="6"/>
        <v>0.66666666666666674</v>
      </c>
      <c r="E22" s="71">
        <f t="shared" si="7"/>
        <v>250</v>
      </c>
      <c r="F22" s="71"/>
      <c r="G22" s="50"/>
      <c r="H22" s="50"/>
      <c r="I22" s="50"/>
      <c r="J22" s="50"/>
      <c r="K22" s="50"/>
    </row>
    <row r="23" spans="1:11" x14ac:dyDescent="0.25">
      <c r="A23" s="71" t="s">
        <v>1237</v>
      </c>
      <c r="B23" s="71">
        <v>15</v>
      </c>
      <c r="C23" s="71" t="str">
        <f t="shared" si="2"/>
        <v>рыхлые засыпки (гравий керамзитовый)15</v>
      </c>
      <c r="D23" s="260">
        <f t="shared" si="6"/>
        <v>1</v>
      </c>
      <c r="E23" s="71">
        <f t="shared" si="7"/>
        <v>375</v>
      </c>
      <c r="F23" s="71"/>
      <c r="G23" s="50"/>
      <c r="H23" s="50"/>
      <c r="I23" s="50"/>
      <c r="J23" s="50"/>
      <c r="K23" s="50"/>
    </row>
    <row r="24" spans="1:11" x14ac:dyDescent="0.25">
      <c r="A24" s="71" t="s">
        <v>1237</v>
      </c>
      <c r="B24" s="71">
        <v>20</v>
      </c>
      <c r="C24" s="71" t="str">
        <f t="shared" si="2"/>
        <v>рыхлые засыпки (гравий керамзитовый)20</v>
      </c>
      <c r="D24" s="260">
        <f t="shared" si="6"/>
        <v>1.3333333333333335</v>
      </c>
      <c r="E24" s="71">
        <f t="shared" si="7"/>
        <v>500</v>
      </c>
      <c r="F24" s="71"/>
      <c r="G24" s="50"/>
      <c r="H24" s="50"/>
      <c r="I24" s="50"/>
      <c r="J24" s="50"/>
      <c r="K24" s="50"/>
    </row>
    <row r="25" spans="1:11" x14ac:dyDescent="0.25">
      <c r="A25" s="71" t="s">
        <v>1237</v>
      </c>
      <c r="B25" s="71">
        <v>25</v>
      </c>
      <c r="C25" s="71" t="str">
        <f t="shared" si="2"/>
        <v>рыхлые засыпки (гравий керамзитовый)25</v>
      </c>
      <c r="D25" s="260">
        <f t="shared" si="6"/>
        <v>1.6666666666666667</v>
      </c>
      <c r="E25" s="71">
        <f t="shared" si="7"/>
        <v>625</v>
      </c>
      <c r="F25" s="71"/>
      <c r="G25" s="50"/>
      <c r="H25" s="50"/>
      <c r="I25" s="50"/>
      <c r="J25" s="50"/>
      <c r="K25" s="50"/>
    </row>
    <row r="26" spans="1:11" x14ac:dyDescent="0.25">
      <c r="A26" s="71" t="s">
        <v>1237</v>
      </c>
      <c r="B26" s="71">
        <v>30</v>
      </c>
      <c r="C26" s="71" t="str">
        <f t="shared" si="2"/>
        <v>рыхлые засыпки (гравий керамзитовый)30</v>
      </c>
      <c r="D26" s="260">
        <f t="shared" si="6"/>
        <v>2</v>
      </c>
      <c r="E26" s="71">
        <f t="shared" si="7"/>
        <v>750</v>
      </c>
      <c r="F26" s="71"/>
      <c r="G26" s="50"/>
      <c r="H26" s="50"/>
      <c r="I26" s="50"/>
      <c r="J26" s="50"/>
      <c r="K26" s="50"/>
    </row>
    <row r="27" spans="1:11" x14ac:dyDescent="0.25">
      <c r="A27" s="71" t="s">
        <v>1233</v>
      </c>
      <c r="B27" s="71">
        <v>5</v>
      </c>
      <c r="C27" s="71" t="str">
        <f t="shared" si="2"/>
        <v>вентилируемый навесной фасад5</v>
      </c>
      <c r="D27" s="260">
        <f>B27/100/0.04*0.59+0.13</f>
        <v>0.86749999999999994</v>
      </c>
      <c r="E27" s="71">
        <f>4022*B27/100</f>
        <v>201.1</v>
      </c>
      <c r="F27" s="71">
        <f>3000</f>
        <v>3000</v>
      </c>
      <c r="G27" s="50"/>
      <c r="H27" s="50"/>
      <c r="I27" s="50"/>
      <c r="J27" s="50"/>
      <c r="K27" s="50"/>
    </row>
    <row r="28" spans="1:11" x14ac:dyDescent="0.25">
      <c r="A28" s="71" t="s">
        <v>1233</v>
      </c>
      <c r="B28" s="71">
        <v>10</v>
      </c>
      <c r="C28" s="71" t="str">
        <f>CONCATENATE(A28,B28)</f>
        <v>вентилируемый навесной фасад10</v>
      </c>
      <c r="D28" s="260">
        <f>B28/100/0.04*0.59+0.13</f>
        <v>1.605</v>
      </c>
      <c r="E28" s="71">
        <f>4022*B28/100</f>
        <v>402.2</v>
      </c>
      <c r="F28" s="71">
        <f>3000</f>
        <v>3000</v>
      </c>
      <c r="G28" s="50"/>
      <c r="H28" s="50"/>
      <c r="I28" s="50"/>
      <c r="J28" s="50"/>
      <c r="K28" s="50"/>
    </row>
    <row r="29" spans="1:11" x14ac:dyDescent="0.25">
      <c r="A29" s="71" t="s">
        <v>1233</v>
      </c>
      <c r="B29" s="71">
        <v>15</v>
      </c>
      <c r="C29" s="71" t="str">
        <f>CONCATENATE(A29,B29)</f>
        <v>вентилируемый навесной фасад15</v>
      </c>
      <c r="D29" s="260">
        <f>B29/100/0.04*0.59+0.13</f>
        <v>2.3424999999999998</v>
      </c>
      <c r="E29" s="71">
        <f>4022*B29/100</f>
        <v>603.29999999999995</v>
      </c>
      <c r="F29" s="71">
        <f>3000</f>
        <v>3000</v>
      </c>
      <c r="G29" s="50"/>
      <c r="H29" s="50"/>
      <c r="I29" s="50"/>
      <c r="J29" s="50"/>
      <c r="K29" s="50"/>
    </row>
    <row r="30" spans="1:11" ht="14.25" customHeight="1" x14ac:dyDescent="0.25">
      <c r="A30" s="71" t="s">
        <v>1236</v>
      </c>
      <c r="B30" s="71">
        <v>5</v>
      </c>
      <c r="C30" s="71" t="str">
        <f t="shared" si="2"/>
        <v>плитный утеплитель (минеральная вата)5</v>
      </c>
      <c r="D30" s="260">
        <f t="shared" ref="D30:D35" si="8">B30/100/0.041</f>
        <v>1.2195121951219512</v>
      </c>
      <c r="E30" s="71">
        <v>333</v>
      </c>
      <c r="F30" s="71">
        <f t="shared" ref="F30:F35" si="9">E30*0.2</f>
        <v>66.600000000000009</v>
      </c>
      <c r="G30" s="50"/>
      <c r="H30" s="50"/>
      <c r="I30" s="50"/>
      <c r="J30" s="50"/>
      <c r="K30" s="50"/>
    </row>
    <row r="31" spans="1:11" x14ac:dyDescent="0.25">
      <c r="A31" s="71" t="s">
        <v>1236</v>
      </c>
      <c r="B31" s="71">
        <v>10</v>
      </c>
      <c r="C31" s="71" t="str">
        <f t="shared" si="2"/>
        <v>плитный утеплитель (минеральная вата)10</v>
      </c>
      <c r="D31" s="260">
        <f t="shared" si="8"/>
        <v>2.4390243902439024</v>
      </c>
      <c r="E31" s="71">
        <v>666</v>
      </c>
      <c r="F31" s="71">
        <f t="shared" si="9"/>
        <v>133.20000000000002</v>
      </c>
      <c r="G31" s="50"/>
      <c r="H31" s="50"/>
      <c r="I31" s="50"/>
      <c r="J31" s="50"/>
      <c r="K31" s="50"/>
    </row>
    <row r="32" spans="1:11" x14ac:dyDescent="0.25">
      <c r="A32" s="71" t="s">
        <v>1236</v>
      </c>
      <c r="B32" s="71">
        <v>15</v>
      </c>
      <c r="C32" s="71" t="str">
        <f t="shared" si="2"/>
        <v>плитный утеплитель (минеральная вата)15</v>
      </c>
      <c r="D32" s="260">
        <f t="shared" si="8"/>
        <v>3.6585365853658534</v>
      </c>
      <c r="E32" s="71">
        <v>999</v>
      </c>
      <c r="F32" s="71">
        <f t="shared" si="9"/>
        <v>199.8</v>
      </c>
      <c r="G32" s="50"/>
      <c r="H32" s="50"/>
      <c r="I32" s="50"/>
      <c r="J32" s="50"/>
      <c r="K32" s="50"/>
    </row>
    <row r="33" spans="1:11" x14ac:dyDescent="0.25">
      <c r="A33" s="71" t="s">
        <v>1236</v>
      </c>
      <c r="B33" s="71">
        <v>20</v>
      </c>
      <c r="C33" s="71" t="str">
        <f t="shared" si="2"/>
        <v>плитный утеплитель (минеральная вата)20</v>
      </c>
      <c r="D33" s="260">
        <f t="shared" si="8"/>
        <v>4.8780487804878048</v>
      </c>
      <c r="E33" s="71">
        <v>1000</v>
      </c>
      <c r="F33" s="71">
        <f t="shared" si="9"/>
        <v>200</v>
      </c>
      <c r="G33" s="50"/>
      <c r="H33" s="50"/>
      <c r="I33" s="50"/>
      <c r="J33" s="50"/>
      <c r="K33" s="50"/>
    </row>
    <row r="34" spans="1:11" x14ac:dyDescent="0.25">
      <c r="A34" s="71" t="s">
        <v>1236</v>
      </c>
      <c r="B34" s="71">
        <v>25</v>
      </c>
      <c r="C34" s="71" t="str">
        <f t="shared" si="2"/>
        <v>плитный утеплитель (минеральная вата)25</v>
      </c>
      <c r="D34" s="260">
        <f t="shared" si="8"/>
        <v>6.0975609756097562</v>
      </c>
      <c r="E34" s="71">
        <v>1001</v>
      </c>
      <c r="F34" s="71">
        <f t="shared" si="9"/>
        <v>200.20000000000002</v>
      </c>
      <c r="G34" s="50"/>
      <c r="H34" s="50"/>
      <c r="I34" s="50"/>
      <c r="J34" s="50"/>
      <c r="K34" s="50"/>
    </row>
    <row r="35" spans="1:11" x14ac:dyDescent="0.25">
      <c r="A35" s="71" t="s">
        <v>1236</v>
      </c>
      <c r="B35" s="71">
        <v>30</v>
      </c>
      <c r="C35" s="71" t="str">
        <f t="shared" si="2"/>
        <v>плитный утеплитель (минеральная вата)30</v>
      </c>
      <c r="D35" s="260">
        <f t="shared" si="8"/>
        <v>7.3170731707317067</v>
      </c>
      <c r="E35" s="71">
        <v>1002</v>
      </c>
      <c r="F35" s="71">
        <f t="shared" si="9"/>
        <v>200.4</v>
      </c>
      <c r="G35" s="50"/>
      <c r="H35" s="50"/>
      <c r="I35" s="50"/>
      <c r="J35" s="50"/>
      <c r="K35" s="50"/>
    </row>
    <row r="36" spans="1:11" x14ac:dyDescent="0.25">
      <c r="A36" s="74" t="s">
        <v>1526</v>
      </c>
      <c r="B36" s="74">
        <v>1</v>
      </c>
      <c r="C36" s="71" t="str">
        <f t="shared" si="2"/>
        <v>Частотный преобразователь (на кВт мощности)1</v>
      </c>
      <c r="D36" s="71"/>
      <c r="E36" s="71">
        <f>B36*150*60</f>
        <v>9000</v>
      </c>
      <c r="F36" s="71"/>
      <c r="G36" s="50"/>
      <c r="H36" s="50"/>
      <c r="I36" s="50"/>
      <c r="J36" s="50"/>
      <c r="K36" s="50"/>
    </row>
    <row r="37" spans="1:11" x14ac:dyDescent="0.25">
      <c r="A37" s="50"/>
      <c r="B37" s="50"/>
      <c r="C37" s="50"/>
      <c r="D37" s="50"/>
      <c r="E37" s="50"/>
      <c r="F37" s="50"/>
      <c r="G37" s="50"/>
      <c r="H37" s="50"/>
      <c r="I37" s="50"/>
      <c r="J37" s="50"/>
      <c r="K37" s="50"/>
    </row>
    <row r="38" spans="1:11" x14ac:dyDescent="0.25">
      <c r="A38" s="50"/>
      <c r="B38" s="50"/>
      <c r="C38" s="50"/>
      <c r="D38" s="50"/>
      <c r="E38" s="50"/>
      <c r="F38" s="50"/>
      <c r="G38" s="50"/>
      <c r="H38" s="50"/>
      <c r="I38" s="50"/>
      <c r="J38" s="50"/>
      <c r="K38" s="50"/>
    </row>
    <row r="39" spans="1:11" x14ac:dyDescent="0.25">
      <c r="A39" s="71" t="s">
        <v>612</v>
      </c>
      <c r="B39" s="71" t="s">
        <v>1280</v>
      </c>
      <c r="C39" s="50"/>
      <c r="D39" s="50"/>
      <c r="E39" s="50"/>
      <c r="F39" s="50"/>
      <c r="G39" s="50"/>
      <c r="H39" s="50"/>
      <c r="I39" s="50"/>
      <c r="J39" s="50"/>
      <c r="K39" s="50"/>
    </row>
    <row r="40" spans="1:11" x14ac:dyDescent="0.25">
      <c r="A40" s="71" t="s">
        <v>1241</v>
      </c>
      <c r="B40" s="71">
        <v>0.55000000000000004</v>
      </c>
      <c r="C40" s="50"/>
      <c r="D40" s="50"/>
      <c r="E40" s="50"/>
      <c r="F40" s="50"/>
      <c r="G40" s="50"/>
      <c r="H40" s="50"/>
      <c r="I40" s="50"/>
      <c r="J40" s="50"/>
      <c r="K40" s="50"/>
    </row>
    <row r="41" spans="1:11" x14ac:dyDescent="0.25">
      <c r="A41" s="71" t="s">
        <v>1242</v>
      </c>
      <c r="B41" s="71">
        <v>0.54</v>
      </c>
      <c r="C41" s="50"/>
      <c r="D41" s="50"/>
      <c r="E41" s="50"/>
      <c r="F41" s="50"/>
      <c r="G41" s="50"/>
      <c r="H41" s="50"/>
      <c r="I41" s="50"/>
      <c r="J41" s="50"/>
      <c r="K41" s="50"/>
    </row>
    <row r="42" spans="1:11" x14ac:dyDescent="0.25">
      <c r="A42" s="71" t="s">
        <v>1243</v>
      </c>
      <c r="B42" s="71">
        <v>0.68</v>
      </c>
      <c r="C42" s="50"/>
      <c r="D42" s="50"/>
      <c r="E42" s="50"/>
      <c r="F42" s="50"/>
      <c r="G42" s="50"/>
      <c r="H42" s="50"/>
      <c r="I42" s="50"/>
      <c r="J42" s="50"/>
      <c r="K42" s="50"/>
    </row>
    <row r="43" spans="1:11" x14ac:dyDescent="0.25">
      <c r="A43" s="71" t="s">
        <v>1247</v>
      </c>
      <c r="B43" s="71">
        <v>0.56000000000000005</v>
      </c>
      <c r="C43" s="50"/>
      <c r="D43" s="50"/>
      <c r="E43" s="50"/>
      <c r="F43" s="50"/>
      <c r="G43" s="50"/>
      <c r="H43" s="50"/>
      <c r="I43" s="50"/>
      <c r="J43" s="50"/>
      <c r="K43" s="50"/>
    </row>
    <row r="44" spans="1:11" x14ac:dyDescent="0.25">
      <c r="A44" s="71" t="s">
        <v>1248</v>
      </c>
      <c r="B44" s="71">
        <v>0.72</v>
      </c>
      <c r="C44" s="50"/>
      <c r="D44" s="50"/>
      <c r="E44" s="50"/>
      <c r="F44" s="50"/>
      <c r="G44" s="50"/>
      <c r="H44" s="50"/>
      <c r="I44" s="50"/>
      <c r="J44" s="50"/>
      <c r="K44" s="50"/>
    </row>
    <row r="45" spans="1:11" x14ac:dyDescent="0.25">
      <c r="A45" s="71" t="s">
        <v>1244</v>
      </c>
      <c r="B45" s="71">
        <v>0.7</v>
      </c>
      <c r="C45" s="50"/>
      <c r="D45" s="50"/>
      <c r="E45" s="50"/>
      <c r="F45" s="50"/>
      <c r="G45" s="50"/>
      <c r="H45" s="50"/>
      <c r="I45" s="50"/>
      <c r="J45" s="50"/>
      <c r="K45" s="50"/>
    </row>
    <row r="46" spans="1:11" x14ac:dyDescent="0.25">
      <c r="A46" s="71" t="s">
        <v>1245</v>
      </c>
      <c r="B46" s="71">
        <v>0.74</v>
      </c>
      <c r="C46" s="50"/>
      <c r="D46" s="50"/>
      <c r="E46" s="50"/>
      <c r="F46" s="50"/>
      <c r="G46" s="50"/>
      <c r="H46" s="50"/>
      <c r="I46" s="50"/>
      <c r="J46" s="50"/>
      <c r="K46" s="50"/>
    </row>
    <row r="47" spans="1:11" x14ac:dyDescent="0.25">
      <c r="A47" s="71" t="s">
        <v>1246</v>
      </c>
      <c r="B47" s="71">
        <v>0.8</v>
      </c>
      <c r="C47" s="50"/>
      <c r="D47" s="50"/>
      <c r="E47" s="50"/>
      <c r="F47" s="50"/>
      <c r="G47" s="50"/>
      <c r="H47" s="50"/>
      <c r="I47" s="50"/>
      <c r="J47" s="50"/>
      <c r="K47" s="50"/>
    </row>
    <row r="48" spans="1:11" x14ac:dyDescent="0.25">
      <c r="A48" s="50"/>
      <c r="B48" s="50"/>
      <c r="C48" s="50"/>
      <c r="D48" s="50"/>
      <c r="E48" s="50"/>
      <c r="F48" s="50"/>
      <c r="G48" s="50"/>
      <c r="H48" s="50"/>
      <c r="I48" s="50"/>
      <c r="J48" s="50"/>
      <c r="K48" s="50"/>
    </row>
    <row r="49" spans="1:11" x14ac:dyDescent="0.25">
      <c r="A49" s="71" t="s">
        <v>611</v>
      </c>
      <c r="B49" s="71" t="s">
        <v>1280</v>
      </c>
      <c r="C49" s="50"/>
      <c r="D49" s="50"/>
      <c r="E49" s="50"/>
      <c r="F49" s="50"/>
      <c r="G49" s="50"/>
      <c r="H49" s="50"/>
      <c r="I49" s="50"/>
      <c r="J49" s="50"/>
      <c r="K49" s="50"/>
    </row>
    <row r="50" spans="1:11" x14ac:dyDescent="0.25">
      <c r="A50" s="71" t="s">
        <v>1241</v>
      </c>
      <c r="B50" s="71">
        <v>0.55000000000000004</v>
      </c>
      <c r="C50" s="50"/>
      <c r="D50" s="50"/>
      <c r="E50" s="50"/>
      <c r="F50" s="50"/>
      <c r="G50" s="50"/>
      <c r="H50" s="50"/>
      <c r="I50" s="50"/>
      <c r="J50" s="50"/>
      <c r="K50" s="50"/>
    </row>
    <row r="51" spans="1:11" x14ac:dyDescent="0.25">
      <c r="A51" s="71" t="s">
        <v>1242</v>
      </c>
      <c r="B51" s="71">
        <v>0.54</v>
      </c>
      <c r="C51" s="50"/>
      <c r="D51" s="50"/>
      <c r="E51" s="50"/>
      <c r="F51" s="50"/>
      <c r="G51" s="50"/>
      <c r="H51" s="50"/>
      <c r="I51" s="50"/>
      <c r="J51" s="50"/>
      <c r="K51" s="50"/>
    </row>
    <row r="52" spans="1:11" x14ac:dyDescent="0.25">
      <c r="A52" s="71" t="s">
        <v>1243</v>
      </c>
      <c r="B52" s="71">
        <v>0.68</v>
      </c>
      <c r="C52" s="50"/>
      <c r="D52" s="50"/>
      <c r="E52" s="50"/>
      <c r="F52" s="50"/>
      <c r="G52" s="50"/>
      <c r="H52" s="50"/>
      <c r="I52" s="50"/>
      <c r="J52" s="50"/>
      <c r="K52" s="50"/>
    </row>
    <row r="53" spans="1:11" x14ac:dyDescent="0.25">
      <c r="A53" s="71" t="s">
        <v>1247</v>
      </c>
      <c r="B53" s="71">
        <v>0.56000000000000005</v>
      </c>
      <c r="C53" s="50"/>
      <c r="D53" s="50"/>
      <c r="E53" s="50"/>
      <c r="F53" s="50"/>
      <c r="G53" s="50"/>
      <c r="H53" s="50"/>
      <c r="I53" s="50"/>
      <c r="J53" s="50"/>
      <c r="K53" s="50"/>
    </row>
    <row r="54" spans="1:11" x14ac:dyDescent="0.25">
      <c r="A54" s="71" t="s">
        <v>1248</v>
      </c>
      <c r="B54" s="71">
        <v>0.72</v>
      </c>
      <c r="C54" s="50"/>
      <c r="D54" s="50"/>
      <c r="E54" s="50"/>
      <c r="F54" s="50"/>
      <c r="G54" s="50"/>
      <c r="H54" s="50"/>
      <c r="I54" s="50"/>
      <c r="J54" s="50"/>
      <c r="K54" s="50"/>
    </row>
    <row r="55" spans="1:11" x14ac:dyDescent="0.25">
      <c r="A55" s="71" t="s">
        <v>1244</v>
      </c>
      <c r="B55" s="71">
        <v>0.7</v>
      </c>
      <c r="C55" s="50"/>
      <c r="D55" s="50"/>
      <c r="E55" s="50"/>
      <c r="F55" s="50"/>
      <c r="G55" s="50"/>
      <c r="H55" s="50"/>
      <c r="I55" s="50"/>
      <c r="J55" s="50"/>
      <c r="K55" s="50"/>
    </row>
    <row r="56" spans="1:11" x14ac:dyDescent="0.25">
      <c r="A56" s="71" t="s">
        <v>1245</v>
      </c>
      <c r="B56" s="71">
        <v>0.74</v>
      </c>
      <c r="C56" s="50"/>
      <c r="D56" s="50"/>
      <c r="E56" s="50"/>
      <c r="F56" s="50"/>
      <c r="G56" s="50"/>
      <c r="H56" s="50"/>
      <c r="I56" s="50"/>
      <c r="J56" s="50"/>
      <c r="K56" s="50"/>
    </row>
    <row r="57" spans="1:11" x14ac:dyDescent="0.25">
      <c r="A57" s="71" t="s">
        <v>1246</v>
      </c>
      <c r="B57" s="71">
        <v>0.8</v>
      </c>
      <c r="C57" s="50"/>
      <c r="D57" s="50"/>
      <c r="E57" s="50"/>
      <c r="F57" s="50"/>
      <c r="G57" s="50"/>
      <c r="H57" s="50"/>
      <c r="I57" s="50"/>
      <c r="J57" s="50"/>
      <c r="K57" s="50"/>
    </row>
    <row r="58" spans="1:11" x14ac:dyDescent="0.25">
      <c r="A58" s="71" t="s">
        <v>2126</v>
      </c>
      <c r="B58" s="71">
        <v>0.87</v>
      </c>
      <c r="C58" s="50"/>
      <c r="D58" s="50"/>
      <c r="E58" s="50"/>
      <c r="F58" s="50"/>
      <c r="G58" s="50"/>
      <c r="H58" s="50"/>
      <c r="I58" s="50"/>
      <c r="J58" s="50"/>
      <c r="K58" s="50"/>
    </row>
    <row r="59" spans="1:11" x14ac:dyDescent="0.25">
      <c r="A59" s="71" t="s">
        <v>2127</v>
      </c>
      <c r="B59" s="71">
        <v>0.94</v>
      </c>
      <c r="C59" s="50"/>
      <c r="D59" s="50"/>
      <c r="E59" s="50"/>
      <c r="F59" s="50"/>
      <c r="G59" s="50"/>
      <c r="H59" s="50"/>
      <c r="I59" s="50"/>
      <c r="J59" s="50"/>
      <c r="K59" s="50"/>
    </row>
    <row r="60" spans="1:11" x14ac:dyDescent="0.25">
      <c r="A60" s="71" t="s">
        <v>2125</v>
      </c>
      <c r="B60" s="71">
        <v>1</v>
      </c>
      <c r="C60" s="50"/>
      <c r="D60" s="50"/>
      <c r="E60" s="50"/>
      <c r="F60" s="50"/>
      <c r="G60" s="50"/>
      <c r="H60" s="50"/>
      <c r="I60" s="50"/>
      <c r="J60" s="50"/>
      <c r="K60" s="50"/>
    </row>
    <row r="61" spans="1:11" x14ac:dyDescent="0.25">
      <c r="A61" s="71" t="s">
        <v>2128</v>
      </c>
      <c r="B61" s="71">
        <v>1.1499999999999999</v>
      </c>
      <c r="C61" s="50"/>
      <c r="D61" s="50"/>
      <c r="E61" s="50"/>
      <c r="F61" s="50"/>
      <c r="G61" s="50"/>
      <c r="H61" s="50"/>
      <c r="I61" s="50"/>
      <c r="J61" s="50"/>
      <c r="K61" s="50"/>
    </row>
    <row r="62" spans="1:11" x14ac:dyDescent="0.25">
      <c r="A62" s="50"/>
      <c r="B62" s="50"/>
      <c r="C62" s="50"/>
      <c r="D62" s="50"/>
      <c r="E62" s="50"/>
      <c r="F62" s="50"/>
      <c r="G62" s="50"/>
      <c r="H62" s="50"/>
      <c r="I62" s="50"/>
      <c r="J62" s="50"/>
      <c r="K62" s="50"/>
    </row>
    <row r="63" spans="1:11" x14ac:dyDescent="0.25">
      <c r="A63" s="50"/>
      <c r="B63" s="50"/>
      <c r="C63" s="50"/>
      <c r="D63" s="50"/>
      <c r="E63" s="50"/>
      <c r="F63" s="50"/>
      <c r="G63" s="50"/>
      <c r="H63" s="50"/>
      <c r="I63" s="50"/>
      <c r="J63" s="50"/>
      <c r="K63" s="50"/>
    </row>
    <row r="64" spans="1:11" x14ac:dyDescent="0.25">
      <c r="A64" s="50"/>
      <c r="B64" s="50"/>
      <c r="C64" s="50"/>
      <c r="D64" s="50"/>
      <c r="E64" s="50"/>
      <c r="F64" s="50"/>
      <c r="G64" s="50"/>
      <c r="H64" s="50"/>
      <c r="I64" s="50"/>
      <c r="J64" s="50"/>
      <c r="K64" s="50"/>
    </row>
    <row r="65" spans="1:11" x14ac:dyDescent="0.25">
      <c r="A65" s="50"/>
      <c r="B65" s="50"/>
      <c r="C65" s="50"/>
      <c r="D65" s="50"/>
      <c r="E65" s="50"/>
      <c r="F65" s="50"/>
      <c r="G65" s="50"/>
      <c r="H65" s="50"/>
      <c r="I65" s="50"/>
      <c r="J65" s="50"/>
      <c r="K65" s="50"/>
    </row>
    <row r="66" spans="1:11" x14ac:dyDescent="0.25">
      <c r="A66" s="50"/>
      <c r="B66" s="50"/>
      <c r="C66" s="50"/>
      <c r="D66" s="50"/>
      <c r="E66" s="50"/>
      <c r="F66" s="50"/>
      <c r="G66" s="50"/>
      <c r="H66" s="50"/>
      <c r="I66" s="50"/>
      <c r="J66" s="50"/>
      <c r="K66" s="50"/>
    </row>
    <row r="67" spans="1:11" x14ac:dyDescent="0.25">
      <c r="A67" s="50"/>
      <c r="B67" s="50"/>
      <c r="C67" s="50"/>
      <c r="D67" s="50"/>
      <c r="E67" s="50"/>
      <c r="F67" s="50"/>
      <c r="G67" s="50"/>
      <c r="H67" s="50"/>
      <c r="I67" s="50"/>
      <c r="J67" s="50"/>
      <c r="K67" s="50"/>
    </row>
    <row r="68" spans="1:11" x14ac:dyDescent="0.25">
      <c r="A68" s="50"/>
      <c r="B68" s="50"/>
      <c r="C68" s="50"/>
      <c r="D68" s="50"/>
      <c r="E68" s="50"/>
      <c r="F68" s="50"/>
      <c r="G68" s="50"/>
      <c r="H68" s="50"/>
      <c r="I68" s="50"/>
      <c r="J68" s="50"/>
      <c r="K68" s="50"/>
    </row>
    <row r="69" spans="1:11" x14ac:dyDescent="0.25">
      <c r="A69" s="50"/>
      <c r="B69" s="50"/>
      <c r="C69" s="50"/>
      <c r="D69" s="50"/>
      <c r="E69" s="50"/>
      <c r="F69" s="50"/>
      <c r="G69" s="50"/>
      <c r="H69" s="50"/>
      <c r="I69" s="50"/>
      <c r="J69" s="50"/>
      <c r="K69" s="50"/>
    </row>
    <row r="70" spans="1:11" x14ac:dyDescent="0.25">
      <c r="A70" s="50"/>
      <c r="B70" s="50"/>
      <c r="C70" s="50"/>
      <c r="D70" s="50"/>
      <c r="E70" s="50"/>
      <c r="F70" s="50"/>
      <c r="G70" s="50"/>
      <c r="H70" s="50"/>
      <c r="I70" s="50"/>
      <c r="J70" s="50"/>
      <c r="K70" s="50"/>
    </row>
    <row r="71" spans="1:11" x14ac:dyDescent="0.25">
      <c r="A71" s="50"/>
      <c r="B71" s="50"/>
      <c r="C71" s="50"/>
      <c r="D71" s="50"/>
      <c r="E71" s="50"/>
      <c r="F71" s="50"/>
      <c r="G71" s="50"/>
      <c r="H71" s="50"/>
      <c r="I71" s="50"/>
      <c r="J71" s="50"/>
      <c r="K71" s="50"/>
    </row>
    <row r="72" spans="1:11" x14ac:dyDescent="0.25">
      <c r="A72" s="50"/>
      <c r="B72" s="50"/>
      <c r="C72" s="50"/>
      <c r="D72" s="50"/>
      <c r="E72" s="50"/>
      <c r="F72" s="50"/>
      <c r="G72" s="50"/>
      <c r="H72" s="50"/>
      <c r="I72" s="50"/>
      <c r="J72" s="50"/>
      <c r="K72" s="50"/>
    </row>
    <row r="73" spans="1:11" x14ac:dyDescent="0.25">
      <c r="A73" s="50"/>
      <c r="B73" s="50"/>
      <c r="C73" s="50"/>
      <c r="D73" s="50"/>
      <c r="E73" s="50"/>
      <c r="F73" s="50"/>
      <c r="G73" s="50"/>
      <c r="H73" s="50"/>
      <c r="I73" s="50"/>
      <c r="J73" s="50"/>
      <c r="K73" s="50"/>
    </row>
    <row r="74" spans="1:11" x14ac:dyDescent="0.25">
      <c r="A74" s="50"/>
      <c r="B74" s="50"/>
      <c r="C74" s="50"/>
      <c r="D74" s="50"/>
      <c r="E74" s="50"/>
      <c r="F74" s="50"/>
      <c r="G74" s="50"/>
      <c r="H74" s="50"/>
      <c r="I74" s="50"/>
      <c r="J74" s="50"/>
      <c r="K74" s="50"/>
    </row>
    <row r="75" spans="1:11" x14ac:dyDescent="0.25">
      <c r="A75" s="50"/>
      <c r="B75" s="50"/>
      <c r="C75" s="50"/>
      <c r="D75" s="50"/>
      <c r="E75" s="50"/>
      <c r="F75" s="50"/>
      <c r="G75" s="50"/>
      <c r="H75" s="50"/>
      <c r="I75" s="50"/>
      <c r="J75" s="50"/>
      <c r="K75" s="50"/>
    </row>
    <row r="76" spans="1:11" x14ac:dyDescent="0.25">
      <c r="A76" s="50"/>
      <c r="B76" s="50"/>
      <c r="C76" s="50"/>
      <c r="D76" s="50"/>
      <c r="E76" s="50"/>
      <c r="F76" s="50"/>
      <c r="G76" s="50"/>
      <c r="H76" s="50"/>
      <c r="I76" s="50"/>
      <c r="J76" s="50"/>
      <c r="K76" s="50"/>
    </row>
    <row r="77" spans="1:11" x14ac:dyDescent="0.25">
      <c r="A77" s="71"/>
      <c r="B77" s="71"/>
      <c r="C77" s="71" t="s">
        <v>1539</v>
      </c>
      <c r="D77" s="71" t="s">
        <v>1540</v>
      </c>
      <c r="E77" s="50"/>
      <c r="F77" s="50"/>
      <c r="G77" s="50"/>
      <c r="H77" s="50"/>
      <c r="I77" s="50"/>
      <c r="J77" s="50"/>
      <c r="K77" s="50"/>
    </row>
    <row r="78" spans="1:11" x14ac:dyDescent="0.25">
      <c r="A78" s="71" t="s">
        <v>1470</v>
      </c>
      <c r="B78" s="71" t="s">
        <v>1286</v>
      </c>
      <c r="C78" s="71">
        <v>6000</v>
      </c>
      <c r="D78" s="71">
        <v>5000</v>
      </c>
      <c r="E78" s="50"/>
      <c r="F78" s="50"/>
      <c r="G78" s="50"/>
      <c r="H78" s="50"/>
      <c r="I78" s="50"/>
      <c r="J78" s="50"/>
      <c r="K78" s="50"/>
    </row>
    <row r="79" spans="1:11" x14ac:dyDescent="0.25">
      <c r="A79" s="71" t="s">
        <v>1471</v>
      </c>
      <c r="B79" s="71" t="s">
        <v>1472</v>
      </c>
      <c r="C79" s="71">
        <v>3800</v>
      </c>
      <c r="D79" s="71"/>
      <c r="E79" s="50"/>
      <c r="F79" s="50"/>
      <c r="G79" s="50"/>
      <c r="H79" s="50"/>
      <c r="I79" s="50"/>
      <c r="J79" s="50"/>
      <c r="K79" s="50"/>
    </row>
    <row r="80" spans="1:11" x14ac:dyDescent="0.25">
      <c r="A80" s="71" t="s">
        <v>1473</v>
      </c>
      <c r="B80" s="71" t="s">
        <v>853</v>
      </c>
      <c r="C80" s="71" t="e">
        <f>IF('Система электроснабжения'!D33*0.86&lt;200,700000,900000)</f>
        <v>#N/A</v>
      </c>
      <c r="D80" s="71" t="e">
        <f>C80*0.2+100000</f>
        <v>#N/A</v>
      </c>
      <c r="E80" s="50"/>
      <c r="F80" s="50"/>
      <c r="G80" s="50"/>
      <c r="H80" s="50"/>
      <c r="I80" s="50"/>
      <c r="J80" s="50"/>
      <c r="K80" s="50"/>
    </row>
    <row r="81" spans="1:11" x14ac:dyDescent="0.25">
      <c r="A81" s="71" t="s">
        <v>796</v>
      </c>
      <c r="B81" s="71" t="s">
        <v>853</v>
      </c>
      <c r="C81" s="261" t="e">
        <f>2349*('Система электроснабжения'!D33+'Расчет базового уровня'!E174)+1151900</f>
        <v>#N/A</v>
      </c>
      <c r="D81" s="261" t="e">
        <f>C81*0.2+100000</f>
        <v>#N/A</v>
      </c>
      <c r="E81" s="50"/>
      <c r="F81" s="50"/>
      <c r="G81" s="50"/>
      <c r="H81" s="50"/>
      <c r="I81" s="50"/>
      <c r="J81" s="50"/>
      <c r="K81" s="50"/>
    </row>
    <row r="82" spans="1:11" x14ac:dyDescent="0.25">
      <c r="A82" s="71" t="s">
        <v>1534</v>
      </c>
      <c r="B82" s="71" t="s">
        <v>853</v>
      </c>
      <c r="C82" s="261" t="e">
        <f>531500+285*'Расчет базового уровня'!E174</f>
        <v>#N/A</v>
      </c>
      <c r="D82" s="71" t="e">
        <f>C82*0.2+100000</f>
        <v>#N/A</v>
      </c>
      <c r="E82" s="50"/>
      <c r="F82" s="50"/>
      <c r="G82" s="50"/>
      <c r="H82" s="50"/>
      <c r="I82" s="50"/>
      <c r="J82" s="50"/>
      <c r="K82" s="50"/>
    </row>
    <row r="83" spans="1:11" x14ac:dyDescent="0.25">
      <c r="A83" s="71" t="s">
        <v>1538</v>
      </c>
      <c r="B83" s="71" t="s">
        <v>853</v>
      </c>
      <c r="C83" s="261" t="e">
        <f>150121*'Расчет базового уровня'!E175+23232</f>
        <v>#N/A</v>
      </c>
      <c r="D83" s="71"/>
      <c r="E83" s="50"/>
      <c r="F83" s="50"/>
      <c r="G83" s="50"/>
      <c r="H83" s="50"/>
      <c r="I83" s="50"/>
      <c r="J83" s="50"/>
      <c r="K83" s="50"/>
    </row>
    <row r="84" spans="1:11" x14ac:dyDescent="0.25">
      <c r="A84" s="71" t="s">
        <v>1476</v>
      </c>
      <c r="B84" s="71" t="s">
        <v>493</v>
      </c>
      <c r="C84" s="71">
        <v>400</v>
      </c>
      <c r="D84" s="71"/>
      <c r="E84" s="50"/>
      <c r="F84" s="50"/>
      <c r="G84" s="50"/>
      <c r="H84" s="50"/>
      <c r="I84" s="50"/>
      <c r="J84" s="50"/>
      <c r="K84" s="50"/>
    </row>
    <row r="85" spans="1:11" x14ac:dyDescent="0.25">
      <c r="A85" s="71" t="s">
        <v>1477</v>
      </c>
      <c r="B85" s="71" t="s">
        <v>493</v>
      </c>
      <c r="C85" s="71">
        <f>285+91</f>
        <v>376</v>
      </c>
      <c r="D85" s="71"/>
      <c r="E85" s="50"/>
      <c r="F85" s="50"/>
      <c r="G85" s="50"/>
      <c r="H85" s="50"/>
      <c r="I85" s="50"/>
      <c r="J85" s="50"/>
      <c r="K85" s="50"/>
    </row>
    <row r="86" spans="1:11" x14ac:dyDescent="0.25">
      <c r="A86" s="71" t="s">
        <v>1530</v>
      </c>
      <c r="B86" s="71" t="s">
        <v>1286</v>
      </c>
      <c r="C86" s="71">
        <v>650000</v>
      </c>
      <c r="D86" s="71">
        <v>600000</v>
      </c>
      <c r="E86" s="50"/>
      <c r="F86" s="50"/>
      <c r="G86" s="50"/>
      <c r="H86" s="50"/>
      <c r="I86" s="50"/>
      <c r="J86" s="50"/>
      <c r="K86" s="50"/>
    </row>
    <row r="87" spans="1:11" x14ac:dyDescent="0.25">
      <c r="A87" s="71" t="s">
        <v>1474</v>
      </c>
      <c r="B87" s="71" t="s">
        <v>493</v>
      </c>
      <c r="C87" s="71">
        <v>90</v>
      </c>
      <c r="D87" s="71"/>
      <c r="E87" s="50"/>
      <c r="F87" s="50"/>
      <c r="G87" s="50"/>
      <c r="H87" s="50"/>
      <c r="I87" s="50"/>
      <c r="J87" s="50"/>
      <c r="K87" s="50"/>
    </row>
    <row r="88" spans="1:11" x14ac:dyDescent="0.25">
      <c r="A88" s="74" t="s">
        <v>1475</v>
      </c>
      <c r="B88" s="71" t="s">
        <v>1286</v>
      </c>
      <c r="C88" s="71">
        <v>150</v>
      </c>
      <c r="D88" s="71"/>
      <c r="E88" s="50"/>
      <c r="F88" s="50"/>
      <c r="G88" s="50"/>
      <c r="H88" s="50"/>
      <c r="I88" s="50"/>
      <c r="J88" s="50"/>
      <c r="K88" s="50"/>
    </row>
    <row r="89" spans="1:11" x14ac:dyDescent="0.25">
      <c r="A89" s="74" t="s">
        <v>1478</v>
      </c>
      <c r="B89" s="71" t="s">
        <v>1286</v>
      </c>
      <c r="C89" s="74">
        <v>500</v>
      </c>
      <c r="D89" s="71"/>
      <c r="E89" s="50"/>
      <c r="F89" s="50"/>
      <c r="G89" s="50"/>
      <c r="H89" s="50"/>
      <c r="I89" s="50"/>
      <c r="J89" s="50"/>
      <c r="K89" s="50"/>
    </row>
    <row r="90" spans="1:11" x14ac:dyDescent="0.25">
      <c r="A90" s="74" t="s">
        <v>1479</v>
      </c>
      <c r="B90" s="71" t="s">
        <v>1286</v>
      </c>
      <c r="C90" s="74">
        <v>36000</v>
      </c>
      <c r="D90" s="71"/>
      <c r="E90" s="50"/>
      <c r="F90" s="50"/>
      <c r="G90" s="50"/>
      <c r="H90" s="50"/>
      <c r="I90" s="50"/>
      <c r="J90" s="50"/>
      <c r="K90" s="50"/>
    </row>
    <row r="91" spans="1:11" x14ac:dyDescent="0.25">
      <c r="A91" s="74" t="s">
        <v>1532</v>
      </c>
      <c r="B91" s="71" t="s">
        <v>1533</v>
      </c>
      <c r="C91" s="74">
        <v>4000</v>
      </c>
      <c r="D91" s="71"/>
      <c r="E91" s="50"/>
      <c r="F91" s="50"/>
      <c r="G91" s="50"/>
      <c r="H91" s="50"/>
      <c r="I91" s="50"/>
      <c r="J91" s="50"/>
      <c r="K91" s="50"/>
    </row>
    <row r="92" spans="1:11" x14ac:dyDescent="0.25">
      <c r="A92" s="74" t="s">
        <v>1535</v>
      </c>
      <c r="B92" s="71" t="s">
        <v>1536</v>
      </c>
      <c r="C92" s="74">
        <v>400</v>
      </c>
      <c r="D92" s="71"/>
      <c r="E92" s="50" t="s">
        <v>1537</v>
      </c>
      <c r="F92" s="50"/>
      <c r="G92" s="50"/>
      <c r="H92" s="50"/>
      <c r="I92" s="50"/>
      <c r="J92" s="50"/>
      <c r="K92" s="50"/>
    </row>
    <row r="93" spans="1:11" x14ac:dyDescent="0.25">
      <c r="A93" s="74" t="s">
        <v>1480</v>
      </c>
      <c r="B93" s="71" t="s">
        <v>1286</v>
      </c>
      <c r="C93" s="262">
        <f>2000/18*0.5</f>
        <v>55.555555555555557</v>
      </c>
      <c r="D93" s="71"/>
      <c r="E93" s="50"/>
      <c r="F93" s="50"/>
      <c r="G93" s="50"/>
      <c r="H93" s="50"/>
      <c r="I93" s="50"/>
      <c r="J93" s="50"/>
      <c r="K93" s="50"/>
    </row>
    <row r="94" spans="1:11" x14ac:dyDescent="0.25">
      <c r="A94" s="50"/>
      <c r="B94" s="50"/>
      <c r="C94" s="50"/>
      <c r="D94" s="50"/>
      <c r="E94" s="50"/>
      <c r="F94" s="50"/>
      <c r="G94" s="50"/>
      <c r="H94" s="50"/>
      <c r="I94" s="50"/>
      <c r="J94" s="50"/>
      <c r="K94" s="50"/>
    </row>
    <row r="95" spans="1:11" x14ac:dyDescent="0.25">
      <c r="A95" s="50"/>
      <c r="B95" s="50"/>
      <c r="C95" s="50"/>
      <c r="D95" s="50"/>
      <c r="E95" s="50"/>
      <c r="F95" s="50"/>
      <c r="G95" s="50"/>
      <c r="H95" s="50"/>
      <c r="I95" s="50"/>
      <c r="J95" s="50"/>
      <c r="K95" s="50"/>
    </row>
    <row r="96" spans="1:11" x14ac:dyDescent="0.25">
      <c r="A96" s="50"/>
      <c r="B96" s="50"/>
      <c r="C96" s="50"/>
      <c r="D96" s="50"/>
      <c r="E96" s="50"/>
      <c r="F96" s="50"/>
      <c r="G96" s="50"/>
      <c r="H96" s="50"/>
      <c r="I96" s="50"/>
      <c r="J96" s="50"/>
      <c r="K96" s="50"/>
    </row>
    <row r="97" spans="1:11" x14ac:dyDescent="0.25">
      <c r="A97" s="50"/>
      <c r="B97" s="50"/>
      <c r="C97" s="50"/>
      <c r="D97" s="50"/>
      <c r="E97" s="50"/>
      <c r="F97" s="50"/>
      <c r="G97" s="50"/>
      <c r="H97" s="50"/>
      <c r="I97" s="50"/>
      <c r="J97" s="50"/>
      <c r="K97" s="50"/>
    </row>
    <row r="98" spans="1:11" x14ac:dyDescent="0.25">
      <c r="A98" s="50"/>
      <c r="B98" s="50"/>
      <c r="C98" s="50"/>
      <c r="D98" s="50"/>
      <c r="E98" s="50"/>
      <c r="F98" s="50"/>
      <c r="G98" s="50"/>
      <c r="H98" s="50"/>
      <c r="I98" s="50"/>
      <c r="J98" s="50"/>
      <c r="K98" s="50"/>
    </row>
    <row r="99" spans="1:11" x14ac:dyDescent="0.25">
      <c r="A99" s="50"/>
      <c r="B99" s="50"/>
      <c r="C99" s="50"/>
      <c r="D99" s="50"/>
      <c r="E99" s="50"/>
      <c r="F99" s="50"/>
      <c r="G99" s="50"/>
      <c r="H99" s="50"/>
      <c r="I99" s="50"/>
      <c r="J99" s="50"/>
      <c r="K99" s="50"/>
    </row>
    <row r="100" spans="1:11" x14ac:dyDescent="0.25">
      <c r="A100" s="50"/>
      <c r="B100" s="50"/>
      <c r="C100" s="50"/>
      <c r="D100" s="50"/>
      <c r="E100" s="50"/>
      <c r="F100" s="50"/>
      <c r="G100" s="50"/>
      <c r="H100" s="50"/>
      <c r="I100" s="50"/>
      <c r="J100" s="50"/>
      <c r="K100" s="50"/>
    </row>
    <row r="101" spans="1:11" x14ac:dyDescent="0.25">
      <c r="A101" s="51" t="s">
        <v>1543</v>
      </c>
    </row>
  </sheetData>
  <sheetProtection password="ECB1" sheet="1" objects="1" scenarios="1"/>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H596"/>
  <sheetViews>
    <sheetView zoomScale="60" zoomScaleNormal="60" zoomScalePageLayoutView="75" workbookViewId="0">
      <pane xSplit="3" ySplit="8" topLeftCell="D186" activePane="bottomRight" state="frozen"/>
      <selection activeCell="B77" sqref="B77:E77"/>
      <selection pane="topRight" activeCell="B77" sqref="B77:E77"/>
      <selection pane="bottomLeft" activeCell="B77" sqref="B77:E77"/>
      <selection pane="bottomRight" sqref="A1:XFD1048576"/>
    </sheetView>
  </sheetViews>
  <sheetFormatPr defaultColWidth="8.85546875" defaultRowHeight="15.75" customHeight="1" x14ac:dyDescent="0.25"/>
  <cols>
    <col min="1" max="1" width="8.85546875" style="972"/>
    <col min="2" max="2" width="22.5703125" style="972" customWidth="1"/>
    <col min="3" max="3" width="37.5703125" style="972" customWidth="1"/>
    <col min="4" max="4" width="30.85546875" style="972" customWidth="1"/>
    <col min="5" max="5" width="11.85546875" style="972" customWidth="1"/>
    <col min="6" max="6" width="16.42578125" style="972" customWidth="1"/>
    <col min="7" max="7" width="10.85546875" style="972" customWidth="1"/>
    <col min="8" max="8" width="14.5703125" style="972" customWidth="1"/>
    <col min="9" max="9" width="10" style="972" customWidth="1"/>
    <col min="10" max="10" width="13.85546875" style="972" customWidth="1"/>
    <col min="11" max="11" width="11.42578125" style="973" customWidth="1"/>
    <col min="12" max="12" width="2.28515625" style="973" customWidth="1"/>
    <col min="13" max="13" width="7" style="973" customWidth="1"/>
    <col min="14" max="14" width="7.28515625" style="973" customWidth="1"/>
    <col min="15" max="15" width="9.28515625" style="974" customWidth="1"/>
    <col min="16" max="16" width="2" style="974" customWidth="1"/>
    <col min="17" max="17" width="6" style="974" customWidth="1"/>
    <col min="18" max="18" width="8.42578125" style="974" customWidth="1"/>
    <col min="19" max="19" width="9.140625" style="975" customWidth="1"/>
    <col min="20" max="20" width="3" style="975" customWidth="1"/>
    <col min="21" max="21" width="7.5703125" style="975" customWidth="1"/>
    <col min="22" max="22" width="8.42578125" style="975" customWidth="1"/>
    <col min="23" max="23" width="10.42578125" style="976" customWidth="1"/>
    <col min="24" max="24" width="2.42578125" style="976" customWidth="1"/>
    <col min="25" max="26" width="8.42578125" style="976" customWidth="1"/>
    <col min="27" max="27" width="9.7109375" style="977" customWidth="1"/>
    <col min="28" max="28" width="2.42578125" style="977" customWidth="1"/>
    <col min="29" max="29" width="6" style="977" customWidth="1"/>
    <col min="30" max="30" width="8.42578125" style="977" customWidth="1"/>
    <col min="31" max="31" width="9" style="978" customWidth="1"/>
    <col min="32" max="32" width="3.7109375" style="978" customWidth="1"/>
    <col min="33" max="33" width="7.5703125" style="978" customWidth="1"/>
    <col min="34" max="34" width="8.42578125" style="978" customWidth="1"/>
    <col min="35" max="35" width="9.28515625" style="979" customWidth="1"/>
    <col min="36" max="36" width="2" style="979" customWidth="1"/>
    <col min="37" max="37" width="8.140625" style="979" customWidth="1"/>
    <col min="38" max="38" width="8.42578125" style="979" customWidth="1"/>
    <col min="39" max="39" width="10.28515625" style="980" customWidth="1"/>
    <col min="40" max="40" width="2.28515625" style="980" customWidth="1"/>
    <col min="41" max="41" width="6.140625" style="980" customWidth="1"/>
    <col min="42" max="42" width="8.42578125" style="980" customWidth="1"/>
    <col min="43" max="43" width="9.28515625" style="975" customWidth="1"/>
    <col min="44" max="44" width="2.42578125" style="975" customWidth="1"/>
    <col min="45" max="46" width="8.42578125" style="975" customWidth="1"/>
    <col min="47" max="47" width="9.28515625" style="981" customWidth="1"/>
    <col min="48" max="48" width="3" style="981" customWidth="1"/>
    <col min="49" max="49" width="7.5703125" style="981" customWidth="1"/>
    <col min="50" max="50" width="7.28515625" style="981" customWidth="1"/>
    <col min="51" max="51" width="10" style="982" customWidth="1"/>
    <col min="52" max="52" width="3.140625" style="982" customWidth="1"/>
    <col min="53" max="54" width="8.42578125" style="982" customWidth="1"/>
    <col min="55" max="55" width="9" style="983" customWidth="1"/>
    <col min="56" max="56" width="3.85546875" style="983" customWidth="1"/>
    <col min="57" max="57" width="7.5703125" style="983" customWidth="1"/>
    <col min="58" max="58" width="8.42578125" style="983" customWidth="1"/>
    <col min="59" max="60" width="14.42578125" style="972" customWidth="1"/>
    <col min="61" max="61" width="1.85546875" style="972" customWidth="1"/>
    <col min="62" max="16384" width="8.85546875" style="972"/>
  </cols>
  <sheetData>
    <row r="1" spans="1:60" s="51" customFormat="1" ht="15.75" customHeight="1" x14ac:dyDescent="0.45">
      <c r="A1" s="968"/>
      <c r="B1" s="968"/>
      <c r="C1" s="968"/>
      <c r="D1" s="968"/>
      <c r="E1" s="968"/>
      <c r="F1" s="968"/>
      <c r="G1" s="968"/>
      <c r="H1" s="968"/>
      <c r="I1" s="968"/>
      <c r="J1" s="968"/>
      <c r="K1" s="968"/>
      <c r="L1" s="968"/>
      <c r="M1" s="968"/>
      <c r="N1" s="968"/>
      <c r="O1" s="968"/>
      <c r="P1" s="968"/>
      <c r="Q1" s="968"/>
      <c r="R1" s="968"/>
      <c r="S1" s="968"/>
      <c r="T1" s="968"/>
      <c r="U1" s="968"/>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1:60" s="51" customFormat="1" ht="15.75" customHeight="1" x14ac:dyDescent="0.25">
      <c r="B2" s="969" t="s">
        <v>463</v>
      </c>
      <c r="C2" s="970" t="e">
        <f>VLOOKUP(CONCATENATE('Ввод исходных данных'!$D$10,'Ввод исходных данных'!$D$11),Климатология!$D$9:$BF$548,$J$7,0)</f>
        <v>#N/A</v>
      </c>
      <c r="D2" s="971"/>
      <c r="E2" s="51" t="e">
        <f>VLOOKUP(CONCATENATE('Ввод исходных данных'!$D$10,'Ввод исходных данных'!$D$11),Климатология!$D$9:$BF$548,E7,0)</f>
        <v>#N/A</v>
      </c>
      <c r="F2" s="51" t="e">
        <f>VLOOKUP(CONCATENATE('Ввод исходных данных'!$D$10,'Ввод исходных данных'!$D$11),Климатология!$D$9:$BF$548,F7,0)</f>
        <v>#N/A</v>
      </c>
      <c r="G2" s="51" t="e">
        <f>VLOOKUP(CONCATENATE('Ввод исходных данных'!$D$10,'Ввод исходных данных'!$D$11),Климатология!$D$9:$BF$548,G7,0)</f>
        <v>#N/A</v>
      </c>
      <c r="H2" s="51" t="e">
        <f>VLOOKUP(CONCATENATE('Ввод исходных данных'!$D$10,'Ввод исходных данных'!$D$11),Климатология!$D$9:$BF$548,H7,0)</f>
        <v>#N/A</v>
      </c>
      <c r="I2" s="51" t="e">
        <f>VLOOKUP(CONCATENATE('Ввод исходных данных'!$D$10,'Ввод исходных данных'!$D$11),Климатология!$D$9:$BF$548,I7,0)</f>
        <v>#N/A</v>
      </c>
      <c r="J2" s="51" t="e">
        <f>VLOOKUP(CONCATENATE('Ввод исходных данных'!$D$10,'Ввод исходных данных'!$D$11),Климатология!$D$9:$BF$548,J7,0)</f>
        <v>#N/A</v>
      </c>
      <c r="K2" s="51" t="e">
        <f>VLOOKUP(CONCATENATE('Ввод исходных данных'!$D$10,'Ввод исходных данных'!$D$11),Климатология!$D$9:$BF$548,K7,0)</f>
        <v>#N/A</v>
      </c>
      <c r="M2" s="51" t="e">
        <f>VLOOKUP(CONCATENATE('Ввод исходных данных'!$D$10,'Ввод исходных данных'!$D$11),Климатология!$D$9:$BF$548,M7,0)</f>
        <v>#N/A</v>
      </c>
      <c r="N2" s="51" t="e">
        <f>VLOOKUP(CONCATENATE('Ввод исходных данных'!$D$10,'Ввод исходных данных'!$D$11),Климатология!$D$9:$BF$548,N7,0)</f>
        <v>#N/A</v>
      </c>
      <c r="O2" s="51" t="e">
        <f>VLOOKUP(CONCATENATE('Ввод исходных данных'!$D$10,'Ввод исходных данных'!$D$11),Климатология!$D$9:$BF$548,O7,0)</f>
        <v>#N/A</v>
      </c>
      <c r="Q2" s="51" t="e">
        <f>VLOOKUP(CONCATENATE('Ввод исходных данных'!$D$10,'Ввод исходных данных'!$D$11),Климатология!$D$9:$BF$548,Q7,0)</f>
        <v>#N/A</v>
      </c>
      <c r="R2" s="51" t="e">
        <f>VLOOKUP(CONCATENATE('Ввод исходных данных'!$D$10,'Ввод исходных данных'!$D$11),Климатология!$D$9:$BF$548,R7,0)</f>
        <v>#N/A</v>
      </c>
      <c r="S2" s="51" t="e">
        <f>VLOOKUP(CONCATENATE('Ввод исходных данных'!$D$10,'Ввод исходных данных'!$D$11),Климатология!$D$9:$BF$548,S7,0)</f>
        <v>#N/A</v>
      </c>
      <c r="U2" s="51" t="e">
        <f>VLOOKUP(CONCATENATE('Ввод исходных данных'!$D$10,'Ввод исходных данных'!$D$11),Климатология!$D$9:$BF$548,U7,0)</f>
        <v>#N/A</v>
      </c>
      <c r="V2" s="51" t="e">
        <f>VLOOKUP(CONCATENATE('Ввод исходных данных'!$D$10,'Ввод исходных данных'!$D$11),Климатология!$D$9:$BF$548,V7,0)</f>
        <v>#N/A</v>
      </c>
      <c r="W2" s="51" t="e">
        <f>VLOOKUP(CONCATENATE('Ввод исходных данных'!$D$10,'Ввод исходных данных'!$D$11),Климатология!$D$9:$BF$548,W7,0)</f>
        <v>#N/A</v>
      </c>
      <c r="Y2" s="51" t="e">
        <f>VLOOKUP(CONCATENATE('Ввод исходных данных'!$D$10,'Ввод исходных данных'!$D$11),Климатология!$D$9:$BF$548,Y7,0)</f>
        <v>#N/A</v>
      </c>
      <c r="Z2" s="51" t="e">
        <f>VLOOKUP(CONCATENATE('Ввод исходных данных'!$D$10,'Ввод исходных данных'!$D$11),Климатология!$D$9:$BF$548,Z7,0)</f>
        <v>#N/A</v>
      </c>
      <c r="AA2" s="51" t="e">
        <f>VLOOKUP(CONCATENATE('Ввод исходных данных'!$D$10,'Ввод исходных данных'!$D$11),Климатология!$D$9:$BF$548,AA7,0)</f>
        <v>#N/A</v>
      </c>
      <c r="AC2" s="51" t="e">
        <f>VLOOKUP(CONCATENATE('Ввод исходных данных'!$D$10,'Ввод исходных данных'!$D$11),Климатология!$D$9:$BF$548,AC7,0)</f>
        <v>#N/A</v>
      </c>
      <c r="AD2" s="51" t="e">
        <f>VLOOKUP(CONCATENATE('Ввод исходных данных'!$D$10,'Ввод исходных данных'!$D$11),Климатология!$D$9:$BF$548,AD7,0)</f>
        <v>#N/A</v>
      </c>
      <c r="AE2" s="51" t="e">
        <f>VLOOKUP(CONCATENATE('Ввод исходных данных'!$D$10,'Ввод исходных данных'!$D$11),Климатология!$D$9:$BF$548,AE7,0)</f>
        <v>#N/A</v>
      </c>
      <c r="AG2" s="51" t="e">
        <f>VLOOKUP(CONCATENATE('Ввод исходных данных'!$D$10,'Ввод исходных данных'!$D$11),Климатология!$D$9:$BF$548,AG7,0)</f>
        <v>#N/A</v>
      </c>
      <c r="AH2" s="51" t="e">
        <f>VLOOKUP(CONCATENATE('Ввод исходных данных'!$D$10,'Ввод исходных данных'!$D$11),Климатология!$D$9:$BF$548,AH7,0)</f>
        <v>#N/A</v>
      </c>
      <c r="AI2" s="51" t="e">
        <f>VLOOKUP(CONCATENATE('Ввод исходных данных'!$D$10,'Ввод исходных данных'!$D$11),Климатология!$D$9:$BF$548,AI7,0)</f>
        <v>#N/A</v>
      </c>
      <c r="AK2" s="51" t="e">
        <f>VLOOKUP(CONCATENATE('Ввод исходных данных'!$D$10,'Ввод исходных данных'!$D$11),Климатология!$D$9:$BF$548,AK7,0)</f>
        <v>#N/A</v>
      </c>
      <c r="AL2" s="51" t="e">
        <f>VLOOKUP(CONCATENATE('Ввод исходных данных'!$D$10,'Ввод исходных данных'!$D$11),Климатология!$D$9:$BF$548,AL7,0)</f>
        <v>#N/A</v>
      </c>
      <c r="AM2" s="51" t="e">
        <f>VLOOKUP(CONCATENATE('Ввод исходных данных'!$D$10,'Ввод исходных данных'!$D$11),Климатология!$D$9:$BF$548,AM7,0)</f>
        <v>#N/A</v>
      </c>
      <c r="AO2" s="51" t="e">
        <f>VLOOKUP(CONCATENATE('Ввод исходных данных'!$D$10,'Ввод исходных данных'!$D$11),Климатология!$D$9:$BF$548,AO7,0)</f>
        <v>#N/A</v>
      </c>
      <c r="AP2" s="51" t="e">
        <f>VLOOKUP(CONCATENATE('Ввод исходных данных'!$D$10,'Ввод исходных данных'!$D$11),Климатология!$D$9:$BF$548,AP7,0)</f>
        <v>#N/A</v>
      </c>
      <c r="AQ2" s="51" t="e">
        <f>VLOOKUP(CONCATENATE('Ввод исходных данных'!$D$10,'Ввод исходных данных'!$D$11),Климатология!$D$9:$BF$548,AQ7,0)</f>
        <v>#N/A</v>
      </c>
      <c r="AS2" s="51" t="e">
        <f>VLOOKUP(CONCATENATE('Ввод исходных данных'!$D$10,'Ввод исходных данных'!$D$11),Климатология!$D$9:$BF$548,AS7,0)</f>
        <v>#N/A</v>
      </c>
      <c r="AT2" s="51" t="e">
        <f>VLOOKUP(CONCATENATE('Ввод исходных данных'!$D$10,'Ввод исходных данных'!$D$11),Климатология!$D$9:$BF$548,AT7,0)</f>
        <v>#N/A</v>
      </c>
      <c r="AU2" s="51" t="e">
        <f>VLOOKUP(CONCATENATE('Ввод исходных данных'!$D$10,'Ввод исходных данных'!$D$11),Климатология!$D$9:$BF$548,AU7,0)</f>
        <v>#N/A</v>
      </c>
      <c r="AW2" s="51" t="e">
        <f>VLOOKUP(CONCATENATE('Ввод исходных данных'!$D$10,'Ввод исходных данных'!$D$11),Климатология!$D$9:$BF$548,AW7,0)</f>
        <v>#N/A</v>
      </c>
      <c r="AX2" s="51" t="e">
        <f>VLOOKUP(CONCATENATE('Ввод исходных данных'!$D$10,'Ввод исходных данных'!$D$11),Климатология!$D$9:$BF$548,AX7,0)</f>
        <v>#N/A</v>
      </c>
      <c r="AY2" s="51" t="e">
        <f>VLOOKUP(CONCATENATE('Ввод исходных данных'!$D$10,'Ввод исходных данных'!$D$11),Климатология!$D$9:$BF$548,AY7,0)</f>
        <v>#N/A</v>
      </c>
      <c r="BA2" s="51" t="e">
        <f>VLOOKUP(CONCATENATE('Ввод исходных данных'!$D$10,'Ввод исходных данных'!$D$11),Климатология!$D$9:$BF$548,BA7,0)</f>
        <v>#N/A</v>
      </c>
      <c r="BB2" s="51" t="e">
        <f>VLOOKUP(CONCATENATE('Ввод исходных данных'!$D$10,'Ввод исходных данных'!$D$11),Климатология!$D$9:$BF$548,BB7,0)</f>
        <v>#N/A</v>
      </c>
      <c r="BC2" s="51" t="e">
        <f>VLOOKUP(CONCATENATE('Ввод исходных данных'!$D$10,'Ввод исходных данных'!$D$11),Климатология!$D$9:$BF$548,BC7,0)</f>
        <v>#N/A</v>
      </c>
      <c r="BE2" s="51" t="e">
        <f>VLOOKUP(CONCATENATE('Ввод исходных данных'!$D$10,'Ввод исходных данных'!$D$11),Климатология!$D$9:$BF$548,BE7,0)</f>
        <v>#N/A</v>
      </c>
      <c r="BF2" s="51" t="e">
        <f>VLOOKUP(CONCATENATE('Ввод исходных данных'!$D$10,'Ввод исходных данных'!$D$11),Климатология!$D$9:$BF$548,BF7,0)</f>
        <v>#N/A</v>
      </c>
    </row>
    <row r="3" spans="1:60" ht="15.75" customHeight="1" x14ac:dyDescent="0.25">
      <c r="C3" s="972" t="str">
        <f>CONCATENATE('Ввод исходных данных'!$D$10,'Ввод исходных данных'!$D$11)</f>
        <v>Пожалуйста, выберите…Пожалуйста, выберите…</v>
      </c>
    </row>
    <row r="4" spans="1:60" ht="15.75" customHeight="1" x14ac:dyDescent="0.25">
      <c r="A4" s="50"/>
      <c r="B4" s="50"/>
      <c r="C4" s="50"/>
      <c r="D4" s="50"/>
      <c r="E4" s="50"/>
      <c r="F4" s="50"/>
      <c r="G4" s="50"/>
      <c r="H4" s="50"/>
      <c r="I4" s="50"/>
      <c r="J4" s="50"/>
    </row>
    <row r="5" spans="1:60" ht="15.75" customHeight="1" x14ac:dyDescent="0.25">
      <c r="A5" s="50"/>
      <c r="B5" s="50"/>
      <c r="C5" s="50"/>
      <c r="D5" s="50"/>
      <c r="E5" s="50"/>
      <c r="F5" s="50"/>
      <c r="G5" s="50"/>
      <c r="H5" s="50"/>
      <c r="I5" s="50"/>
      <c r="J5" s="50"/>
    </row>
    <row r="6" spans="1:60" ht="15.75" customHeight="1" x14ac:dyDescent="0.25">
      <c r="A6" s="50"/>
      <c r="B6" s="50"/>
      <c r="C6" s="50"/>
      <c r="D6" s="50"/>
      <c r="E6" s="50"/>
      <c r="F6" s="50"/>
      <c r="G6" s="50"/>
      <c r="H6" s="50"/>
      <c r="I6" s="50"/>
      <c r="J6" s="50"/>
      <c r="K6" s="2511" t="s">
        <v>720</v>
      </c>
      <c r="L6" s="2511"/>
      <c r="M6" s="2511"/>
      <c r="N6" s="2511"/>
      <c r="O6" s="2512" t="s">
        <v>721</v>
      </c>
      <c r="P6" s="2512"/>
      <c r="Q6" s="2512"/>
      <c r="R6" s="2512"/>
      <c r="S6" s="2513" t="s">
        <v>722</v>
      </c>
      <c r="T6" s="2513"/>
      <c r="U6" s="2513"/>
      <c r="V6" s="2513"/>
      <c r="W6" s="2517" t="s">
        <v>482</v>
      </c>
      <c r="X6" s="2517"/>
      <c r="Y6" s="2517"/>
      <c r="Z6" s="2517"/>
      <c r="AA6" s="2518" t="s">
        <v>486</v>
      </c>
      <c r="AB6" s="2518"/>
      <c r="AC6" s="2518"/>
      <c r="AD6" s="2518"/>
      <c r="AE6" s="2519" t="s">
        <v>487</v>
      </c>
      <c r="AF6" s="2519"/>
      <c r="AG6" s="2519"/>
      <c r="AH6" s="2519"/>
      <c r="AI6" s="2520" t="s">
        <v>488</v>
      </c>
      <c r="AJ6" s="2520"/>
      <c r="AK6" s="2520"/>
      <c r="AL6" s="2520"/>
      <c r="AM6" s="2521" t="s">
        <v>489</v>
      </c>
      <c r="AN6" s="2521"/>
      <c r="AO6" s="2521"/>
      <c r="AP6" s="2521"/>
      <c r="AQ6" s="2513" t="s">
        <v>490</v>
      </c>
      <c r="AR6" s="2513"/>
      <c r="AS6" s="2513"/>
      <c r="AT6" s="2513"/>
      <c r="AU6" s="2516" t="s">
        <v>491</v>
      </c>
      <c r="AV6" s="2516"/>
      <c r="AW6" s="2516"/>
      <c r="AX6" s="2516"/>
      <c r="AY6" s="2514" t="s">
        <v>724</v>
      </c>
      <c r="AZ6" s="2514"/>
      <c r="BA6" s="2514"/>
      <c r="BB6" s="2514"/>
      <c r="BC6" s="2515" t="s">
        <v>725</v>
      </c>
      <c r="BD6" s="2515"/>
      <c r="BE6" s="2515"/>
      <c r="BF6" s="2515"/>
    </row>
    <row r="7" spans="1:60" ht="15.75" customHeight="1" x14ac:dyDescent="0.25">
      <c r="B7" s="984"/>
      <c r="C7" s="984"/>
      <c r="D7" s="985">
        <v>1</v>
      </c>
      <c r="E7" s="985">
        <v>2</v>
      </c>
      <c r="F7" s="985">
        <v>3</v>
      </c>
      <c r="G7" s="985">
        <v>4</v>
      </c>
      <c r="H7" s="985">
        <v>5</v>
      </c>
      <c r="I7" s="985">
        <v>6</v>
      </c>
      <c r="J7" s="985">
        <v>7</v>
      </c>
      <c r="K7" s="985">
        <v>8</v>
      </c>
      <c r="L7" s="985">
        <v>9</v>
      </c>
      <c r="M7" s="985">
        <v>10</v>
      </c>
      <c r="N7" s="985">
        <v>11</v>
      </c>
      <c r="O7" s="985">
        <v>12</v>
      </c>
      <c r="P7" s="985">
        <v>13</v>
      </c>
      <c r="Q7" s="985">
        <v>14</v>
      </c>
      <c r="R7" s="985">
        <v>15</v>
      </c>
      <c r="S7" s="985">
        <v>16</v>
      </c>
      <c r="T7" s="985">
        <v>17</v>
      </c>
      <c r="U7" s="985">
        <v>18</v>
      </c>
      <c r="V7" s="985">
        <v>19</v>
      </c>
      <c r="W7" s="985">
        <v>20</v>
      </c>
      <c r="X7" s="985">
        <v>21</v>
      </c>
      <c r="Y7" s="985">
        <v>22</v>
      </c>
      <c r="Z7" s="985">
        <v>23</v>
      </c>
      <c r="AA7" s="985">
        <v>24</v>
      </c>
      <c r="AB7" s="985">
        <v>25</v>
      </c>
      <c r="AC7" s="985">
        <v>26</v>
      </c>
      <c r="AD7" s="985">
        <v>27</v>
      </c>
      <c r="AE7" s="985">
        <v>28</v>
      </c>
      <c r="AF7" s="985">
        <v>29</v>
      </c>
      <c r="AG7" s="985">
        <v>30</v>
      </c>
      <c r="AH7" s="985">
        <v>31</v>
      </c>
      <c r="AI7" s="985">
        <v>32</v>
      </c>
      <c r="AJ7" s="985">
        <v>33</v>
      </c>
      <c r="AK7" s="985">
        <v>34</v>
      </c>
      <c r="AL7" s="985">
        <v>35</v>
      </c>
      <c r="AM7" s="985">
        <v>36</v>
      </c>
      <c r="AN7" s="985">
        <v>37</v>
      </c>
      <c r="AO7" s="985">
        <v>38</v>
      </c>
      <c r="AP7" s="985">
        <v>39</v>
      </c>
      <c r="AQ7" s="985">
        <v>40</v>
      </c>
      <c r="AR7" s="985">
        <v>41</v>
      </c>
      <c r="AS7" s="985">
        <v>42</v>
      </c>
      <c r="AT7" s="985">
        <v>43</v>
      </c>
      <c r="AU7" s="985">
        <v>44</v>
      </c>
      <c r="AV7" s="985">
        <v>45</v>
      </c>
      <c r="AW7" s="985">
        <v>46</v>
      </c>
      <c r="AX7" s="985">
        <v>47</v>
      </c>
      <c r="AY7" s="985">
        <v>48</v>
      </c>
      <c r="AZ7" s="985">
        <v>49</v>
      </c>
      <c r="BA7" s="985">
        <v>50</v>
      </c>
      <c r="BB7" s="985">
        <v>51</v>
      </c>
      <c r="BC7" s="985">
        <v>52</v>
      </c>
      <c r="BD7" s="985">
        <v>53</v>
      </c>
      <c r="BE7" s="985">
        <v>54</v>
      </c>
      <c r="BF7" s="985">
        <v>55</v>
      </c>
    </row>
    <row r="8" spans="1:60" s="986" customFormat="1" ht="77.25" customHeight="1" x14ac:dyDescent="0.25">
      <c r="B8" s="987" t="s">
        <v>1222</v>
      </c>
      <c r="C8" s="987" t="s">
        <v>457</v>
      </c>
      <c r="D8" s="988" t="s">
        <v>1340</v>
      </c>
      <c r="E8" s="988" t="s">
        <v>485</v>
      </c>
      <c r="F8" s="988" t="s">
        <v>751</v>
      </c>
      <c r="G8" s="988" t="s">
        <v>1468</v>
      </c>
      <c r="H8" s="989" t="s">
        <v>1502</v>
      </c>
      <c r="I8" s="989" t="s">
        <v>462</v>
      </c>
      <c r="J8" s="990" t="s">
        <v>464</v>
      </c>
      <c r="K8" s="991" t="s">
        <v>723</v>
      </c>
      <c r="L8" s="991"/>
      <c r="M8" s="991" t="s">
        <v>539</v>
      </c>
      <c r="N8" s="992" t="s">
        <v>484</v>
      </c>
      <c r="O8" s="993" t="s">
        <v>723</v>
      </c>
      <c r="P8" s="993"/>
      <c r="Q8" s="993" t="s">
        <v>539</v>
      </c>
      <c r="R8" s="994" t="s">
        <v>484</v>
      </c>
      <c r="S8" s="995" t="s">
        <v>723</v>
      </c>
      <c r="T8" s="995"/>
      <c r="U8" s="995" t="s">
        <v>539</v>
      </c>
      <c r="V8" s="996" t="s">
        <v>484</v>
      </c>
      <c r="W8" s="997" t="s">
        <v>483</v>
      </c>
      <c r="X8" s="997"/>
      <c r="Y8" s="997" t="s">
        <v>539</v>
      </c>
      <c r="Z8" s="998" t="s">
        <v>484</v>
      </c>
      <c r="AA8" s="999" t="s">
        <v>714</v>
      </c>
      <c r="AB8" s="999"/>
      <c r="AC8" s="999" t="s">
        <v>539</v>
      </c>
      <c r="AD8" s="1000" t="s">
        <v>484</v>
      </c>
      <c r="AE8" s="1001" t="s">
        <v>715</v>
      </c>
      <c r="AF8" s="1001"/>
      <c r="AG8" s="1001" t="s">
        <v>539</v>
      </c>
      <c r="AH8" s="1002" t="s">
        <v>484</v>
      </c>
      <c r="AI8" s="1003" t="s">
        <v>716</v>
      </c>
      <c r="AJ8" s="1003"/>
      <c r="AK8" s="1003" t="s">
        <v>540</v>
      </c>
      <c r="AL8" s="1004" t="s">
        <v>484</v>
      </c>
      <c r="AM8" s="1005" t="s">
        <v>717</v>
      </c>
      <c r="AN8" s="1005"/>
      <c r="AO8" s="1005" t="s">
        <v>540</v>
      </c>
      <c r="AP8" s="1006" t="s">
        <v>484</v>
      </c>
      <c r="AQ8" s="995" t="s">
        <v>718</v>
      </c>
      <c r="AR8" s="995"/>
      <c r="AS8" s="995" t="s">
        <v>540</v>
      </c>
      <c r="AT8" s="996" t="s">
        <v>484</v>
      </c>
      <c r="AU8" s="1007" t="s">
        <v>719</v>
      </c>
      <c r="AV8" s="1007"/>
      <c r="AW8" s="1007" t="s">
        <v>540</v>
      </c>
      <c r="AX8" s="1008" t="s">
        <v>484</v>
      </c>
      <c r="AY8" s="1009" t="s">
        <v>726</v>
      </c>
      <c r="AZ8" s="1009"/>
      <c r="BA8" s="1009" t="s">
        <v>540</v>
      </c>
      <c r="BB8" s="1010" t="s">
        <v>484</v>
      </c>
      <c r="BC8" s="1011" t="s">
        <v>726</v>
      </c>
      <c r="BD8" s="1011"/>
      <c r="BE8" s="1011" t="s">
        <v>540</v>
      </c>
      <c r="BF8" s="1012" t="s">
        <v>484</v>
      </c>
      <c r="BG8" s="986" t="s">
        <v>1991</v>
      </c>
      <c r="BH8" s="986" t="s">
        <v>1992</v>
      </c>
    </row>
    <row r="9" spans="1:60" ht="15.75" customHeight="1" x14ac:dyDescent="0.25">
      <c r="B9" s="1013" t="s">
        <v>0</v>
      </c>
      <c r="C9" s="1014" t="s">
        <v>1</v>
      </c>
      <c r="D9" s="1015" t="str">
        <f t="shared" ref="D9:D72" si="0">CONCATENATE(B9,C9)</f>
        <v>Алтайский крайАлейск</v>
      </c>
      <c r="E9" s="1016">
        <v>216</v>
      </c>
      <c r="F9" s="1017">
        <v>-7.8</v>
      </c>
      <c r="G9" s="1018">
        <v>-38</v>
      </c>
      <c r="H9" s="1019">
        <v>6.8</v>
      </c>
      <c r="I9" s="1020">
        <f>E9*(списки!$C$56-F9)</f>
        <v>6004.8</v>
      </c>
      <c r="J9" s="1021" t="str">
        <f t="shared" ref="J9:J72" si="1">CONCATENATE(ROUNDDOWN(I9/1000,0)*1000,"-",ROUNDUP(I9/1000,0)*1000)</f>
        <v>6000-7000</v>
      </c>
      <c r="K9" s="1022">
        <v>20.3</v>
      </c>
      <c r="L9" s="1022"/>
      <c r="M9" s="1023">
        <f t="shared" ref="M9:M72" si="2">MAX(0,E9-Q9-U9-Y9-AC9-AG9-AK9-AO9-AS9-AW9-BA9-BE9)</f>
        <v>2</v>
      </c>
      <c r="N9" s="1024">
        <f>M9*(списки!$C$56-K9)</f>
        <v>-0.60000000000000142</v>
      </c>
      <c r="O9" s="1025">
        <v>17.2</v>
      </c>
      <c r="P9" s="1025"/>
      <c r="Q9" s="1025">
        <f t="shared" ref="Q9:Q72" si="3">IF((E9-273)&gt;0,IF((E9-273)/2&gt;31,31,(E9-273)/2),0)</f>
        <v>0</v>
      </c>
      <c r="R9" s="1025">
        <f>Q9*(списки!$C$56-O9)</f>
        <v>0</v>
      </c>
      <c r="S9" s="1026">
        <v>11.3</v>
      </c>
      <c r="T9" s="1026"/>
      <c r="U9" s="1026">
        <f>IF(E9/30&gt;8,IF(E9/30&gt;9,30,15),0)</f>
        <v>0</v>
      </c>
      <c r="V9" s="1026">
        <f>U9*(списки!$C$56-S9)</f>
        <v>0</v>
      </c>
      <c r="W9" s="1027">
        <v>3.2</v>
      </c>
      <c r="X9" s="1027"/>
      <c r="Y9" s="1027">
        <f t="shared" ref="Y9:Y72" si="4">IF((E9-151)&gt;0,IF((E9-151)/2&gt;31,31,(E9-151)/2),0)</f>
        <v>31</v>
      </c>
      <c r="Z9" s="1027">
        <f>Y9*(списки!$C$56-W9)</f>
        <v>520.80000000000007</v>
      </c>
      <c r="AA9" s="1028">
        <v>-7.5</v>
      </c>
      <c r="AB9" s="1028"/>
      <c r="AC9" s="1028">
        <f t="shared" ref="AC9:AC72" si="5">IF((E9-90)/2&gt;30,30,(E9-90)/2)</f>
        <v>30</v>
      </c>
      <c r="AD9" s="1028">
        <f>AC9*(списки!$C$56-AA9)</f>
        <v>825</v>
      </c>
      <c r="AE9" s="1029">
        <v>-15.1</v>
      </c>
      <c r="AF9" s="1029"/>
      <c r="AG9" s="1029">
        <v>31</v>
      </c>
      <c r="AH9" s="1029">
        <f>AG9*(списки!$C$56-AE9)</f>
        <v>1088.1000000000001</v>
      </c>
      <c r="AI9" s="1030">
        <v>-17.600000000000001</v>
      </c>
      <c r="AJ9" s="1030"/>
      <c r="AK9" s="1030">
        <v>31</v>
      </c>
      <c r="AL9" s="1030">
        <f>AK9*(списки!$C$56-AI9)</f>
        <v>1165.6000000000001</v>
      </c>
      <c r="AM9" s="1031">
        <v>-16.3</v>
      </c>
      <c r="AN9" s="1031"/>
      <c r="AO9" s="1031">
        <v>28</v>
      </c>
      <c r="AP9" s="1031">
        <f>AO9*(списки!$C$56-AM9)</f>
        <v>1016.3999999999999</v>
      </c>
      <c r="AQ9" s="1026">
        <v>-8.6999999999999993</v>
      </c>
      <c r="AR9" s="1026"/>
      <c r="AS9" s="1026">
        <f t="shared" ref="AS9:AS72" si="6">IF((E9-90)/2&gt;31,31,(E9-90)/2)</f>
        <v>31</v>
      </c>
      <c r="AT9" s="1026">
        <f>AS9*(списки!$C$56-AQ9)</f>
        <v>889.69999999999993</v>
      </c>
      <c r="AU9" s="1032">
        <v>3.3</v>
      </c>
      <c r="AV9" s="1032"/>
      <c r="AW9" s="1032">
        <f t="shared" ref="AW9:AW72" si="7">IF((E9-151)&gt;0,IF((E9-151)/2&gt;30,30,(E9-151)/2),0)</f>
        <v>30</v>
      </c>
      <c r="AX9" s="1032">
        <f>AW9*(списки!$C$56-AU9)</f>
        <v>501</v>
      </c>
      <c r="AY9" s="1033">
        <v>12.2</v>
      </c>
      <c r="AZ9" s="1033"/>
      <c r="BA9" s="1033">
        <f t="shared" ref="BA9:BA72" si="8">IF((E9-212)&gt;0,IF((E9-212)/2&gt;31,31,(E9-212)/2),0)</f>
        <v>2</v>
      </c>
      <c r="BB9" s="1033">
        <f>BA9*(списки!$C$56-AY9)</f>
        <v>15.600000000000001</v>
      </c>
      <c r="BC9" s="1034">
        <v>18.399999999999999</v>
      </c>
      <c r="BD9" s="1034"/>
      <c r="BE9" s="1034">
        <f t="shared" ref="BE9:BE72" si="9">IF((E9-273)&gt;0,IF((E9-273)/2&gt;30,30,(E9-273)/2),0)</f>
        <v>0</v>
      </c>
      <c r="BF9" s="1035">
        <f>BE9*(списки!$C$56-BC9)</f>
        <v>0</v>
      </c>
      <c r="BG9" s="1424">
        <v>5389.5017857142902</v>
      </c>
      <c r="BH9" s="1424">
        <v>5312.1000000000013</v>
      </c>
    </row>
    <row r="10" spans="1:60" ht="15.75" customHeight="1" x14ac:dyDescent="0.25">
      <c r="B10" s="1036" t="s">
        <v>0</v>
      </c>
      <c r="C10" s="1037" t="s">
        <v>3</v>
      </c>
      <c r="D10" s="1015" t="str">
        <f t="shared" si="0"/>
        <v>Алтайский крайБарнаул</v>
      </c>
      <c r="E10" s="1016">
        <v>213</v>
      </c>
      <c r="F10" s="1017">
        <v>-7.5</v>
      </c>
      <c r="G10" s="1017">
        <v>-36</v>
      </c>
      <c r="H10" s="1019">
        <v>4</v>
      </c>
      <c r="I10" s="1020">
        <f>E10*(списки!$C$56-F10)</f>
        <v>5857.5</v>
      </c>
      <c r="J10" s="1021" t="str">
        <f t="shared" si="1"/>
        <v>5000-6000</v>
      </c>
      <c r="K10" s="1022">
        <v>19.8</v>
      </c>
      <c r="L10" s="1022"/>
      <c r="M10" s="1023">
        <f t="shared" si="2"/>
        <v>0</v>
      </c>
      <c r="N10" s="1024">
        <f>M10*(списки!$C$56-K10)</f>
        <v>0</v>
      </c>
      <c r="O10" s="1025">
        <v>17</v>
      </c>
      <c r="P10" s="1025"/>
      <c r="Q10" s="1025">
        <f t="shared" si="3"/>
        <v>0</v>
      </c>
      <c r="R10" s="1025">
        <f>Q10*(списки!$C$56-O10)</f>
        <v>0</v>
      </c>
      <c r="S10" s="1026">
        <v>10.9</v>
      </c>
      <c r="T10" s="1026"/>
      <c r="U10" s="1026">
        <f t="shared" ref="U10:U73" si="10">IF((E10-212)&gt;0,IF((E10-212)/2&gt;30,30,(E10-212)/2),0)</f>
        <v>0.5</v>
      </c>
      <c r="V10" s="1026">
        <f>U10*(списки!$C$56-S10)</f>
        <v>4.55</v>
      </c>
      <c r="W10" s="1027">
        <v>3.3</v>
      </c>
      <c r="X10" s="1027"/>
      <c r="Y10" s="1027">
        <f t="shared" si="4"/>
        <v>31</v>
      </c>
      <c r="Z10" s="1027">
        <f>Y10*(списки!$C$56-W10)</f>
        <v>517.69999999999993</v>
      </c>
      <c r="AA10" s="1028">
        <v>-6.5</v>
      </c>
      <c r="AB10" s="1028"/>
      <c r="AC10" s="1028">
        <f t="shared" si="5"/>
        <v>30</v>
      </c>
      <c r="AD10" s="1028">
        <f>AC10*(списки!$C$56-AA10)</f>
        <v>795</v>
      </c>
      <c r="AE10" s="1029">
        <v>-13.5</v>
      </c>
      <c r="AF10" s="1029"/>
      <c r="AG10" s="1029">
        <v>31</v>
      </c>
      <c r="AH10" s="1029">
        <f>AG10*(списки!$C$56-AE10)</f>
        <v>1038.5</v>
      </c>
      <c r="AI10" s="1030">
        <v>-16.3</v>
      </c>
      <c r="AJ10" s="1030"/>
      <c r="AK10" s="1030">
        <v>31</v>
      </c>
      <c r="AL10" s="1030">
        <f>AK10*(списки!$C$56-AI10)</f>
        <v>1125.3</v>
      </c>
      <c r="AM10" s="1031">
        <v>-14.4</v>
      </c>
      <c r="AN10" s="1031"/>
      <c r="AO10" s="1031">
        <v>28</v>
      </c>
      <c r="AP10" s="1031">
        <f>AO10*(списки!$C$56-AM10)</f>
        <v>963.19999999999993</v>
      </c>
      <c r="AQ10" s="1026">
        <v>-7.1</v>
      </c>
      <c r="AR10" s="1026"/>
      <c r="AS10" s="1026">
        <f t="shared" si="6"/>
        <v>31</v>
      </c>
      <c r="AT10" s="1026">
        <f>AS10*(списки!$C$56-AQ10)</f>
        <v>840.1</v>
      </c>
      <c r="AU10" s="1032">
        <v>3.6</v>
      </c>
      <c r="AV10" s="1032"/>
      <c r="AW10" s="1032">
        <f t="shared" si="7"/>
        <v>30</v>
      </c>
      <c r="AX10" s="1032">
        <f>AW10*(списки!$C$56-AU10)</f>
        <v>491.99999999999994</v>
      </c>
      <c r="AY10" s="1033">
        <v>12.3</v>
      </c>
      <c r="AZ10" s="1033"/>
      <c r="BA10" s="1033">
        <f t="shared" si="8"/>
        <v>0.5</v>
      </c>
      <c r="BB10" s="1033">
        <f>BA10*(списки!$C$56-AY10)</f>
        <v>3.8499999999999996</v>
      </c>
      <c r="BC10" s="1034">
        <v>17.8</v>
      </c>
      <c r="BD10" s="1034"/>
      <c r="BE10" s="1034">
        <f t="shared" si="9"/>
        <v>0</v>
      </c>
      <c r="BF10" s="1035">
        <f>BE10*(списки!$C$56-BC10)</f>
        <v>0</v>
      </c>
      <c r="BG10" s="1424">
        <v>5516.3607142857127</v>
      </c>
      <c r="BH10" s="1424">
        <v>5532.5999999999976</v>
      </c>
    </row>
    <row r="11" spans="1:60" ht="15.75" customHeight="1" x14ac:dyDescent="0.25">
      <c r="B11" s="1013" t="s">
        <v>0</v>
      </c>
      <c r="C11" s="1014" t="s">
        <v>632</v>
      </c>
      <c r="D11" s="1015" t="str">
        <f t="shared" si="0"/>
        <v>Алтайский крайБийск-Зональная</v>
      </c>
      <c r="E11" s="1016">
        <v>213</v>
      </c>
      <c r="F11" s="1017">
        <v>-7.6</v>
      </c>
      <c r="G11" s="1017">
        <v>-35</v>
      </c>
      <c r="H11" s="1019">
        <v>5</v>
      </c>
      <c r="I11" s="1020">
        <f>E11*(списки!$C$56-F11)</f>
        <v>5878.8</v>
      </c>
      <c r="J11" s="1021" t="str">
        <f t="shared" si="1"/>
        <v>5000-6000</v>
      </c>
      <c r="K11" s="1022">
        <v>19.8</v>
      </c>
      <c r="L11" s="1022"/>
      <c r="M11" s="1023">
        <f t="shared" si="2"/>
        <v>0</v>
      </c>
      <c r="N11" s="1024">
        <f>M11*(списки!$C$56-K11)</f>
        <v>0</v>
      </c>
      <c r="O11" s="1025">
        <v>17.100000000000001</v>
      </c>
      <c r="P11" s="1025"/>
      <c r="Q11" s="1025">
        <f t="shared" si="3"/>
        <v>0</v>
      </c>
      <c r="R11" s="1025">
        <f>Q11*(списки!$C$56-O11)</f>
        <v>0</v>
      </c>
      <c r="S11" s="1026">
        <v>10.9</v>
      </c>
      <c r="T11" s="1026"/>
      <c r="U11" s="1026">
        <f t="shared" si="10"/>
        <v>0.5</v>
      </c>
      <c r="V11" s="1026">
        <f>U11*(списки!$C$56-S11)</f>
        <v>4.55</v>
      </c>
      <c r="W11" s="1027">
        <v>3.4</v>
      </c>
      <c r="X11" s="1027"/>
      <c r="Y11" s="1027">
        <f t="shared" si="4"/>
        <v>31</v>
      </c>
      <c r="Z11" s="1027">
        <f>Y11*(списки!$C$56-W11)</f>
        <v>514.6</v>
      </c>
      <c r="AA11" s="1028">
        <v>-6.4</v>
      </c>
      <c r="AB11" s="1028"/>
      <c r="AC11" s="1028">
        <f t="shared" si="5"/>
        <v>30</v>
      </c>
      <c r="AD11" s="1028">
        <f>AC11*(списки!$C$56-AA11)</f>
        <v>792</v>
      </c>
      <c r="AE11" s="1029">
        <v>-13.5</v>
      </c>
      <c r="AF11" s="1029"/>
      <c r="AG11" s="1029">
        <v>31</v>
      </c>
      <c r="AH11" s="1029">
        <f>AG11*(списки!$C$56-AE11)</f>
        <v>1038.5</v>
      </c>
      <c r="AI11" s="1030">
        <v>-16.600000000000001</v>
      </c>
      <c r="AJ11" s="1030"/>
      <c r="AK11" s="1030">
        <v>31</v>
      </c>
      <c r="AL11" s="1030">
        <f>AK11*(списки!$C$56-AI11)</f>
        <v>1134.6000000000001</v>
      </c>
      <c r="AM11" s="1031">
        <v>-14.8</v>
      </c>
      <c r="AN11" s="1031"/>
      <c r="AO11" s="1031">
        <v>28</v>
      </c>
      <c r="AP11" s="1031">
        <f>AO11*(списки!$C$56-AM11)</f>
        <v>974.39999999999986</v>
      </c>
      <c r="AQ11" s="1026">
        <v>-7.5</v>
      </c>
      <c r="AR11" s="1026"/>
      <c r="AS11" s="1026">
        <f t="shared" si="6"/>
        <v>31</v>
      </c>
      <c r="AT11" s="1026">
        <f>AS11*(списки!$C$56-AQ11)</f>
        <v>852.5</v>
      </c>
      <c r="AU11" s="1032">
        <v>3.8</v>
      </c>
      <c r="AV11" s="1032"/>
      <c r="AW11" s="1032">
        <f t="shared" si="7"/>
        <v>30</v>
      </c>
      <c r="AX11" s="1032">
        <f>AW11*(списки!$C$56-AU11)</f>
        <v>486</v>
      </c>
      <c r="AY11" s="1033">
        <v>12.3</v>
      </c>
      <c r="AZ11" s="1033"/>
      <c r="BA11" s="1033">
        <f t="shared" si="8"/>
        <v>0.5</v>
      </c>
      <c r="BB11" s="1033">
        <f>BA11*(списки!$C$56-AY11)</f>
        <v>3.8499999999999996</v>
      </c>
      <c r="BC11" s="1034">
        <v>17.7</v>
      </c>
      <c r="BD11" s="1034"/>
      <c r="BE11" s="1034">
        <f t="shared" si="9"/>
        <v>0</v>
      </c>
      <c r="BF11" s="1035">
        <f>BE11*(списки!$C$56-BC11)</f>
        <v>0</v>
      </c>
      <c r="BG11" s="1424">
        <v>5500.8553571428538</v>
      </c>
      <c r="BH11" s="1424">
        <v>5534.012499999998</v>
      </c>
    </row>
    <row r="12" spans="1:60" ht="15.75" customHeight="1" x14ac:dyDescent="0.25">
      <c r="B12" s="1036" t="s">
        <v>0</v>
      </c>
      <c r="C12" s="1038" t="s">
        <v>8</v>
      </c>
      <c r="D12" s="1015" t="str">
        <f t="shared" si="0"/>
        <v>Алтайский крайЗмеиногорск</v>
      </c>
      <c r="E12" s="1016">
        <v>211</v>
      </c>
      <c r="F12" s="1017">
        <v>-6.7</v>
      </c>
      <c r="G12" s="1018">
        <v>-36</v>
      </c>
      <c r="H12" s="1019">
        <v>5.3</v>
      </c>
      <c r="I12" s="1020">
        <f>E12*(списки!$C$56-F12)</f>
        <v>5633.7</v>
      </c>
      <c r="J12" s="1021" t="str">
        <f t="shared" si="1"/>
        <v>5000-6000</v>
      </c>
      <c r="K12" s="1022">
        <v>19.3</v>
      </c>
      <c r="L12" s="1022"/>
      <c r="M12" s="1023">
        <f t="shared" si="2"/>
        <v>0</v>
      </c>
      <c r="N12" s="1024">
        <f>M12*(списки!$C$56-K12)</f>
        <v>0</v>
      </c>
      <c r="O12" s="1025">
        <v>16.8</v>
      </c>
      <c r="P12" s="1025"/>
      <c r="Q12" s="1025">
        <f t="shared" si="3"/>
        <v>0</v>
      </c>
      <c r="R12" s="1025">
        <f>Q12*(списки!$C$56-O12)</f>
        <v>0</v>
      </c>
      <c r="S12" s="1026">
        <v>11.1</v>
      </c>
      <c r="T12" s="1026"/>
      <c r="U12" s="1026">
        <f t="shared" si="10"/>
        <v>0</v>
      </c>
      <c r="V12" s="1026">
        <f>U12*(списки!$C$56-S12)</f>
        <v>0</v>
      </c>
      <c r="W12" s="1027">
        <v>4</v>
      </c>
      <c r="X12" s="1027"/>
      <c r="Y12" s="1027">
        <f t="shared" si="4"/>
        <v>30</v>
      </c>
      <c r="Z12" s="1027">
        <f>Y12*(списки!$C$56-W12)</f>
        <v>480</v>
      </c>
      <c r="AA12" s="1028">
        <v>-5.3</v>
      </c>
      <c r="AB12" s="1028"/>
      <c r="AC12" s="1028">
        <f t="shared" si="5"/>
        <v>30</v>
      </c>
      <c r="AD12" s="1028">
        <f>AC12*(списки!$C$56-AA12)</f>
        <v>759</v>
      </c>
      <c r="AE12" s="1029">
        <v>-11.7</v>
      </c>
      <c r="AF12" s="1029"/>
      <c r="AG12" s="1029">
        <v>31</v>
      </c>
      <c r="AH12" s="1029">
        <f>AG12*(списки!$C$56-AE12)</f>
        <v>982.69999999999993</v>
      </c>
      <c r="AI12" s="1030">
        <v>-14.3</v>
      </c>
      <c r="AJ12" s="1030"/>
      <c r="AK12" s="1030">
        <v>31</v>
      </c>
      <c r="AL12" s="1030">
        <f>AK12*(списки!$C$56-AI12)</f>
        <v>1063.3</v>
      </c>
      <c r="AM12" s="1031">
        <v>-13.4</v>
      </c>
      <c r="AN12" s="1031"/>
      <c r="AO12" s="1031">
        <v>28</v>
      </c>
      <c r="AP12" s="1031">
        <f>AO12*(списки!$C$56-AM12)</f>
        <v>935.19999999999993</v>
      </c>
      <c r="AQ12" s="1026">
        <v>-7.1</v>
      </c>
      <c r="AR12" s="1026"/>
      <c r="AS12" s="1026">
        <f t="shared" si="6"/>
        <v>31</v>
      </c>
      <c r="AT12" s="1026">
        <f>AS12*(списки!$C$56-AQ12)</f>
        <v>840.1</v>
      </c>
      <c r="AU12" s="1032">
        <v>4.0999999999999996</v>
      </c>
      <c r="AV12" s="1032"/>
      <c r="AW12" s="1032">
        <f t="shared" si="7"/>
        <v>30</v>
      </c>
      <c r="AX12" s="1032">
        <f>AW12*(списки!$C$56-AU12)</f>
        <v>477</v>
      </c>
      <c r="AY12" s="1033">
        <v>12.4</v>
      </c>
      <c r="AZ12" s="1033"/>
      <c r="BA12" s="1033">
        <f t="shared" si="8"/>
        <v>0</v>
      </c>
      <c r="BB12" s="1033">
        <f>BA12*(списки!$C$56-AY12)</f>
        <v>0</v>
      </c>
      <c r="BC12" s="1034">
        <v>17.600000000000001</v>
      </c>
      <c r="BD12" s="1034"/>
      <c r="BE12" s="1034">
        <f t="shared" si="9"/>
        <v>0</v>
      </c>
      <c r="BF12" s="1035">
        <f>BE12*(списки!$C$56-BC12)</f>
        <v>0</v>
      </c>
      <c r="BG12" s="1424">
        <v>5269.3167857142817</v>
      </c>
      <c r="BH12" s="1424">
        <v>5262.1500000000033</v>
      </c>
    </row>
    <row r="13" spans="1:60" ht="15.75" customHeight="1" x14ac:dyDescent="0.25">
      <c r="B13" s="1013" t="s">
        <v>0</v>
      </c>
      <c r="C13" s="1014" t="s">
        <v>4</v>
      </c>
      <c r="D13" s="1015" t="str">
        <f t="shared" si="0"/>
        <v>Алтайский крайРодино</v>
      </c>
      <c r="E13" s="1016">
        <v>215</v>
      </c>
      <c r="F13" s="1017">
        <v>-8.1</v>
      </c>
      <c r="G13" s="1017">
        <v>-38</v>
      </c>
      <c r="H13" s="1019">
        <v>6</v>
      </c>
      <c r="I13" s="1020">
        <f>E13*(списки!$C$56-F13)</f>
        <v>6041.5</v>
      </c>
      <c r="J13" s="1021" t="str">
        <f t="shared" si="1"/>
        <v>6000-7000</v>
      </c>
      <c r="K13" s="1022">
        <v>20.5</v>
      </c>
      <c r="L13" s="1022"/>
      <c r="M13" s="1023">
        <f t="shared" si="2"/>
        <v>0</v>
      </c>
      <c r="N13" s="1024">
        <f>M13*(списки!$C$56-K13)</f>
        <v>0</v>
      </c>
      <c r="O13" s="1025">
        <v>17.399999999999999</v>
      </c>
      <c r="P13" s="1025"/>
      <c r="Q13" s="1025">
        <f t="shared" si="3"/>
        <v>0</v>
      </c>
      <c r="R13" s="1025">
        <f>Q13*(списки!$C$56-O13)</f>
        <v>0</v>
      </c>
      <c r="S13" s="1026">
        <v>11.6</v>
      </c>
      <c r="T13" s="1026"/>
      <c r="U13" s="1026">
        <f t="shared" si="10"/>
        <v>1.5</v>
      </c>
      <c r="V13" s="1026">
        <f>U13*(списки!$C$56-S13)</f>
        <v>12.600000000000001</v>
      </c>
      <c r="W13" s="1027">
        <v>3</v>
      </c>
      <c r="X13" s="1027"/>
      <c r="Y13" s="1027">
        <f t="shared" si="4"/>
        <v>31</v>
      </c>
      <c r="Z13" s="1027">
        <f>Y13*(списки!$C$56-W13)</f>
        <v>527</v>
      </c>
      <c r="AA13" s="1028">
        <v>-7.4</v>
      </c>
      <c r="AB13" s="1028"/>
      <c r="AC13" s="1028">
        <f t="shared" si="5"/>
        <v>30</v>
      </c>
      <c r="AD13" s="1028">
        <f>AC13*(списки!$C$56-AA13)</f>
        <v>822</v>
      </c>
      <c r="AE13" s="1029">
        <v>-15.1</v>
      </c>
      <c r="AF13" s="1029"/>
      <c r="AG13" s="1029">
        <v>31</v>
      </c>
      <c r="AH13" s="1029">
        <f>AG13*(списки!$C$56-AE13)</f>
        <v>1088.1000000000001</v>
      </c>
      <c r="AI13" s="1030">
        <v>-17.7</v>
      </c>
      <c r="AJ13" s="1030"/>
      <c r="AK13" s="1030">
        <v>31</v>
      </c>
      <c r="AL13" s="1030">
        <f>AK13*(списки!$C$56-AI13)</f>
        <v>1168.7</v>
      </c>
      <c r="AM13" s="1031">
        <v>-16.899999999999999</v>
      </c>
      <c r="AN13" s="1031"/>
      <c r="AO13" s="1031">
        <v>28</v>
      </c>
      <c r="AP13" s="1031">
        <f>AO13*(списки!$C$56-AM13)</f>
        <v>1033.2</v>
      </c>
      <c r="AQ13" s="1026">
        <v>-9.8000000000000007</v>
      </c>
      <c r="AR13" s="1026"/>
      <c r="AS13" s="1026">
        <f t="shared" si="6"/>
        <v>31</v>
      </c>
      <c r="AT13" s="1026">
        <f>AS13*(списки!$C$56-AQ13)</f>
        <v>923.80000000000007</v>
      </c>
      <c r="AU13" s="1032">
        <v>3.3</v>
      </c>
      <c r="AV13" s="1032"/>
      <c r="AW13" s="1032">
        <f t="shared" si="7"/>
        <v>30</v>
      </c>
      <c r="AX13" s="1032">
        <f>AW13*(списки!$C$56-AU13)</f>
        <v>501</v>
      </c>
      <c r="AY13" s="1033">
        <v>12.5</v>
      </c>
      <c r="AZ13" s="1033"/>
      <c r="BA13" s="1033">
        <f t="shared" si="8"/>
        <v>1.5</v>
      </c>
      <c r="BB13" s="1033">
        <f>BA13*(списки!$C$56-AY13)</f>
        <v>11.25</v>
      </c>
      <c r="BC13" s="1034">
        <v>18.600000000000001</v>
      </c>
      <c r="BD13" s="1034"/>
      <c r="BE13" s="1034">
        <f t="shared" si="9"/>
        <v>0</v>
      </c>
      <c r="BF13" s="1035">
        <f>BE13*(списки!$C$56-BC13)</f>
        <v>0</v>
      </c>
      <c r="BG13" s="1424">
        <v>5501.9330952380906</v>
      </c>
      <c r="BH13" s="1424">
        <v>5463.7073809523799</v>
      </c>
    </row>
    <row r="14" spans="1:60" ht="15.75" customHeight="1" x14ac:dyDescent="0.25">
      <c r="B14" s="1036" t="s">
        <v>0</v>
      </c>
      <c r="C14" s="1038" t="s">
        <v>5</v>
      </c>
      <c r="D14" s="1015" t="str">
        <f t="shared" si="0"/>
        <v>Алтайский крайРубцовск</v>
      </c>
      <c r="E14" s="1016">
        <v>206</v>
      </c>
      <c r="F14" s="1017">
        <v>-7.9</v>
      </c>
      <c r="G14" s="1017">
        <v>-35</v>
      </c>
      <c r="H14" s="1019">
        <v>7.2</v>
      </c>
      <c r="I14" s="1020">
        <f>E14*(списки!$C$56-F14)</f>
        <v>5747.4</v>
      </c>
      <c r="J14" s="1021" t="str">
        <f t="shared" si="1"/>
        <v>5000-6000</v>
      </c>
      <c r="K14" s="1022">
        <v>20.6</v>
      </c>
      <c r="L14" s="1022"/>
      <c r="M14" s="1023">
        <f t="shared" si="2"/>
        <v>0</v>
      </c>
      <c r="N14" s="1024">
        <f>M14*(списки!$C$56-K14)</f>
        <v>0</v>
      </c>
      <c r="O14" s="1025">
        <v>18</v>
      </c>
      <c r="P14" s="1025"/>
      <c r="Q14" s="1025">
        <f t="shared" si="3"/>
        <v>0</v>
      </c>
      <c r="R14" s="1025">
        <f>Q14*(списки!$C$56-O14)</f>
        <v>0</v>
      </c>
      <c r="S14" s="1026">
        <v>11.9</v>
      </c>
      <c r="T14" s="1026"/>
      <c r="U14" s="1026">
        <f t="shared" si="10"/>
        <v>0</v>
      </c>
      <c r="V14" s="1026">
        <f>U14*(списки!$C$56-S14)</f>
        <v>0</v>
      </c>
      <c r="W14" s="1027">
        <v>4.0999999999999996</v>
      </c>
      <c r="X14" s="1027"/>
      <c r="Y14" s="1027">
        <f t="shared" si="4"/>
        <v>27.5</v>
      </c>
      <c r="Z14" s="1027">
        <f>Y14*(списки!$C$56-W14)</f>
        <v>437.25</v>
      </c>
      <c r="AA14" s="1028">
        <v>-5.7</v>
      </c>
      <c r="AB14" s="1028"/>
      <c r="AC14" s="1028">
        <f t="shared" si="5"/>
        <v>30</v>
      </c>
      <c r="AD14" s="1028">
        <f>AC14*(списки!$C$56-AA14)</f>
        <v>771</v>
      </c>
      <c r="AE14" s="1029">
        <v>-13.2</v>
      </c>
      <c r="AF14" s="1029"/>
      <c r="AG14" s="1029">
        <v>31</v>
      </c>
      <c r="AH14" s="1029">
        <f>AG14*(списки!$C$56-AE14)</f>
        <v>1029.2</v>
      </c>
      <c r="AI14" s="1030">
        <v>-16.2</v>
      </c>
      <c r="AJ14" s="1030"/>
      <c r="AK14" s="1030">
        <v>31</v>
      </c>
      <c r="AL14" s="1030">
        <f>AK14*(списки!$C$56-AI14)</f>
        <v>1122.2</v>
      </c>
      <c r="AM14" s="1031">
        <v>-14.9</v>
      </c>
      <c r="AN14" s="1031"/>
      <c r="AO14" s="1031">
        <v>28</v>
      </c>
      <c r="AP14" s="1031">
        <f>AO14*(списки!$C$56-AM14)</f>
        <v>977.19999999999993</v>
      </c>
      <c r="AQ14" s="1026">
        <v>-7.8</v>
      </c>
      <c r="AR14" s="1026"/>
      <c r="AS14" s="1026">
        <f t="shared" si="6"/>
        <v>31</v>
      </c>
      <c r="AT14" s="1026">
        <f>AS14*(списки!$C$56-AQ14)</f>
        <v>861.80000000000007</v>
      </c>
      <c r="AU14" s="1032">
        <v>4.5999999999999996</v>
      </c>
      <c r="AV14" s="1032"/>
      <c r="AW14" s="1032">
        <f t="shared" si="7"/>
        <v>27.5</v>
      </c>
      <c r="AX14" s="1032">
        <f>AW14*(списки!$C$56-AU14)</f>
        <v>423.5</v>
      </c>
      <c r="AY14" s="1033">
        <v>13.3</v>
      </c>
      <c r="AZ14" s="1033"/>
      <c r="BA14" s="1033">
        <f t="shared" si="8"/>
        <v>0</v>
      </c>
      <c r="BB14" s="1033">
        <f>BA14*(списки!$C$56-AY14)</f>
        <v>0</v>
      </c>
      <c r="BC14" s="1034">
        <v>18.8</v>
      </c>
      <c r="BD14" s="1034"/>
      <c r="BE14" s="1034">
        <f t="shared" si="9"/>
        <v>0</v>
      </c>
      <c r="BF14" s="1035">
        <f>BE14*(списки!$C$56-BC14)</f>
        <v>0</v>
      </c>
      <c r="BG14" s="1424">
        <v>5457.9892857142841</v>
      </c>
      <c r="BH14" s="1424">
        <v>5459.5000000000018</v>
      </c>
    </row>
    <row r="15" spans="1:60" ht="15.75" customHeight="1" x14ac:dyDescent="0.25">
      <c r="B15" s="1013" t="s">
        <v>0</v>
      </c>
      <c r="C15" s="1014" t="s">
        <v>6</v>
      </c>
      <c r="D15" s="1015" t="str">
        <f t="shared" si="0"/>
        <v>Алтайский крайСлавгород</v>
      </c>
      <c r="E15" s="1016">
        <v>206</v>
      </c>
      <c r="F15" s="1017">
        <v>-8.8000000000000007</v>
      </c>
      <c r="G15" s="1017">
        <v>-36</v>
      </c>
      <c r="H15" s="1019">
        <v>5</v>
      </c>
      <c r="I15" s="1020">
        <f>E15*(списки!$C$56-F15)</f>
        <v>5932.8</v>
      </c>
      <c r="J15" s="1021" t="str">
        <f t="shared" si="1"/>
        <v>5000-6000</v>
      </c>
      <c r="K15" s="1022">
        <v>21.1</v>
      </c>
      <c r="L15" s="1022"/>
      <c r="M15" s="1023">
        <f t="shared" si="2"/>
        <v>0</v>
      </c>
      <c r="N15" s="1024">
        <f>M15*(списки!$C$56-K15)</f>
        <v>0</v>
      </c>
      <c r="O15" s="1025">
        <v>18.2</v>
      </c>
      <c r="P15" s="1025"/>
      <c r="Q15" s="1025">
        <f t="shared" si="3"/>
        <v>0</v>
      </c>
      <c r="R15" s="1025">
        <f>Q15*(списки!$C$56-O15)</f>
        <v>0</v>
      </c>
      <c r="S15" s="1026">
        <v>12</v>
      </c>
      <c r="T15" s="1026"/>
      <c r="U15" s="1026">
        <f t="shared" si="10"/>
        <v>0</v>
      </c>
      <c r="V15" s="1026">
        <f>U15*(списки!$C$56-S15)</f>
        <v>0</v>
      </c>
      <c r="W15" s="1027">
        <v>3.6</v>
      </c>
      <c r="X15" s="1027"/>
      <c r="Y15" s="1027">
        <f t="shared" si="4"/>
        <v>27.5</v>
      </c>
      <c r="Z15" s="1027">
        <f>Y15*(списки!$C$56-W15)</f>
        <v>450.99999999999994</v>
      </c>
      <c r="AA15" s="1028">
        <v>-6.7</v>
      </c>
      <c r="AB15" s="1028"/>
      <c r="AC15" s="1028">
        <f t="shared" si="5"/>
        <v>30</v>
      </c>
      <c r="AD15" s="1028">
        <f>AC15*(списки!$C$56-AA15)</f>
        <v>801</v>
      </c>
      <c r="AE15" s="1029">
        <v>-14.2</v>
      </c>
      <c r="AF15" s="1029"/>
      <c r="AG15" s="1029">
        <v>31</v>
      </c>
      <c r="AH15" s="1029">
        <f>AG15*(списки!$C$56-AE15)</f>
        <v>1060.2</v>
      </c>
      <c r="AI15" s="1030">
        <v>-17.600000000000001</v>
      </c>
      <c r="AJ15" s="1030"/>
      <c r="AK15" s="1030">
        <v>31</v>
      </c>
      <c r="AL15" s="1030">
        <f>AK15*(списки!$C$56-AI15)</f>
        <v>1165.6000000000001</v>
      </c>
      <c r="AM15" s="1031">
        <v>-16.3</v>
      </c>
      <c r="AN15" s="1031"/>
      <c r="AO15" s="1031">
        <v>28</v>
      </c>
      <c r="AP15" s="1031">
        <f>AO15*(списки!$C$56-AM15)</f>
        <v>1016.3999999999999</v>
      </c>
      <c r="AQ15" s="1026">
        <v>-8.8000000000000007</v>
      </c>
      <c r="AR15" s="1026"/>
      <c r="AS15" s="1026">
        <f t="shared" si="6"/>
        <v>31</v>
      </c>
      <c r="AT15" s="1026">
        <f>AS15*(списки!$C$56-AQ15)</f>
        <v>892.80000000000007</v>
      </c>
      <c r="AU15" s="1032">
        <v>4.5</v>
      </c>
      <c r="AV15" s="1032"/>
      <c r="AW15" s="1032">
        <f t="shared" si="7"/>
        <v>27.5</v>
      </c>
      <c r="AX15" s="1032">
        <f>AW15*(списки!$C$56-AU15)</f>
        <v>426.25</v>
      </c>
      <c r="AY15" s="1033">
        <v>13.3</v>
      </c>
      <c r="AZ15" s="1033"/>
      <c r="BA15" s="1033">
        <f t="shared" si="8"/>
        <v>0</v>
      </c>
      <c r="BB15" s="1033">
        <f>BA15*(списки!$C$56-AY15)</f>
        <v>0</v>
      </c>
      <c r="BC15" s="1034">
        <v>19.3</v>
      </c>
      <c r="BD15" s="1034"/>
      <c r="BE15" s="1034">
        <f t="shared" si="9"/>
        <v>0</v>
      </c>
      <c r="BF15" s="1035">
        <f>BE15*(списки!$C$56-BC15)</f>
        <v>0</v>
      </c>
      <c r="BG15" s="1424">
        <v>5591.8410714285701</v>
      </c>
      <c r="BH15" s="1424">
        <v>5623.0875000000015</v>
      </c>
    </row>
    <row r="16" spans="1:60" ht="15.75" customHeight="1" x14ac:dyDescent="0.25">
      <c r="B16" s="1036" t="s">
        <v>0</v>
      </c>
      <c r="C16" s="1038" t="s">
        <v>7</v>
      </c>
      <c r="D16" s="1015" t="str">
        <f t="shared" si="0"/>
        <v>Алтайский крайТогул</v>
      </c>
      <c r="E16" s="1016">
        <v>225</v>
      </c>
      <c r="F16" s="1017">
        <v>-7.3</v>
      </c>
      <c r="G16" s="1017">
        <v>-37</v>
      </c>
      <c r="H16" s="1019">
        <f>H15</f>
        <v>5</v>
      </c>
      <c r="I16" s="1020">
        <f>E16*(списки!$C$56-F16)</f>
        <v>6142.5</v>
      </c>
      <c r="J16" s="1021" t="str">
        <f t="shared" si="1"/>
        <v>6000-7000</v>
      </c>
      <c r="K16" s="1022">
        <v>18.8</v>
      </c>
      <c r="L16" s="1022"/>
      <c r="M16" s="1023">
        <f t="shared" si="2"/>
        <v>0</v>
      </c>
      <c r="N16" s="1024">
        <f>M16*(списки!$C$56-K16)</f>
        <v>0</v>
      </c>
      <c r="O16" s="1025">
        <v>15.8</v>
      </c>
      <c r="P16" s="1025"/>
      <c r="Q16" s="1025">
        <f t="shared" si="3"/>
        <v>0</v>
      </c>
      <c r="R16" s="1025">
        <f>Q16*(списки!$C$56-O16)</f>
        <v>0</v>
      </c>
      <c r="S16" s="1026">
        <v>10.3</v>
      </c>
      <c r="T16" s="1026"/>
      <c r="U16" s="1026">
        <f t="shared" si="10"/>
        <v>6.5</v>
      </c>
      <c r="V16" s="1026">
        <f>U16*(списки!$C$56-S16)</f>
        <v>63.05</v>
      </c>
      <c r="W16" s="1027">
        <v>2.4</v>
      </c>
      <c r="X16" s="1027"/>
      <c r="Y16" s="1027">
        <f t="shared" si="4"/>
        <v>31</v>
      </c>
      <c r="Z16" s="1027">
        <f>Y16*(списки!$C$56-W16)</f>
        <v>545.6</v>
      </c>
      <c r="AA16" s="1028">
        <v>-8.1</v>
      </c>
      <c r="AB16" s="1028"/>
      <c r="AC16" s="1028">
        <f t="shared" si="5"/>
        <v>30</v>
      </c>
      <c r="AD16" s="1028">
        <f>AC16*(списки!$C$56-AA16)</f>
        <v>843</v>
      </c>
      <c r="AE16" s="1029">
        <v>-15</v>
      </c>
      <c r="AF16" s="1029"/>
      <c r="AG16" s="1029">
        <v>31</v>
      </c>
      <c r="AH16" s="1029">
        <f>AG16*(списки!$C$56-AE16)</f>
        <v>1085</v>
      </c>
      <c r="AI16" s="1030">
        <v>-16.5</v>
      </c>
      <c r="AJ16" s="1030"/>
      <c r="AK16" s="1030">
        <v>31</v>
      </c>
      <c r="AL16" s="1030">
        <f>AK16*(списки!$C$56-AI16)</f>
        <v>1131.5</v>
      </c>
      <c r="AM16" s="1031">
        <v>-15.3</v>
      </c>
      <c r="AN16" s="1031"/>
      <c r="AO16" s="1031">
        <v>28</v>
      </c>
      <c r="AP16" s="1031">
        <f>AO16*(списки!$C$56-AM16)</f>
        <v>988.39999999999986</v>
      </c>
      <c r="AQ16" s="1026">
        <v>-8.6999999999999993</v>
      </c>
      <c r="AR16" s="1026"/>
      <c r="AS16" s="1026">
        <f t="shared" si="6"/>
        <v>31</v>
      </c>
      <c r="AT16" s="1026">
        <f>AS16*(списки!$C$56-AQ16)</f>
        <v>889.69999999999993</v>
      </c>
      <c r="AU16" s="1032">
        <v>1.7</v>
      </c>
      <c r="AV16" s="1032"/>
      <c r="AW16" s="1032">
        <f t="shared" si="7"/>
        <v>30</v>
      </c>
      <c r="AX16" s="1032">
        <f>AW16*(списки!$C$56-AU16)</f>
        <v>549</v>
      </c>
      <c r="AY16" s="1033">
        <v>10.5</v>
      </c>
      <c r="AZ16" s="1033"/>
      <c r="BA16" s="1033">
        <f t="shared" si="8"/>
        <v>6.5</v>
      </c>
      <c r="BB16" s="1033">
        <f>BA16*(списки!$C$56-AY16)</f>
        <v>61.75</v>
      </c>
      <c r="BC16" s="1034">
        <v>16.7</v>
      </c>
      <c r="BD16" s="1034"/>
      <c r="BE16" s="1034">
        <f t="shared" si="9"/>
        <v>0</v>
      </c>
      <c r="BF16" s="1035">
        <f>BE16*(списки!$C$56-BC16)</f>
        <v>0</v>
      </c>
      <c r="BG16" s="1424" t="e">
        <v>#N/A</v>
      </c>
      <c r="BH16" s="1424" t="e">
        <v>#N/A</v>
      </c>
    </row>
    <row r="17" spans="2:60" ht="15.75" customHeight="1" x14ac:dyDescent="0.25">
      <c r="B17" s="1013" t="s">
        <v>13</v>
      </c>
      <c r="C17" s="1014" t="s">
        <v>633</v>
      </c>
      <c r="D17" s="1015" t="str">
        <f t="shared" si="0"/>
        <v>Амурская областьАрхара</v>
      </c>
      <c r="E17" s="1016">
        <v>211</v>
      </c>
      <c r="F17" s="1017">
        <v>-12.7</v>
      </c>
      <c r="G17" s="1017">
        <v>-36</v>
      </c>
      <c r="H17" s="1019">
        <v>2.5</v>
      </c>
      <c r="I17" s="1020">
        <f>E17*(списки!$C$56-F17)</f>
        <v>6899.7000000000007</v>
      </c>
      <c r="J17" s="1021" t="str">
        <f t="shared" si="1"/>
        <v>6000-7000</v>
      </c>
      <c r="K17" s="1022">
        <v>21.1</v>
      </c>
      <c r="L17" s="1022"/>
      <c r="M17" s="1023">
        <f t="shared" si="2"/>
        <v>0</v>
      </c>
      <c r="N17" s="1024">
        <f>M17*(списки!$C$56-K17)</f>
        <v>0</v>
      </c>
      <c r="O17" s="1025">
        <v>18.7</v>
      </c>
      <c r="P17" s="1025"/>
      <c r="Q17" s="1025">
        <f t="shared" si="3"/>
        <v>0</v>
      </c>
      <c r="R17" s="1025">
        <f>Q17*(списки!$C$56-O17)</f>
        <v>0</v>
      </c>
      <c r="S17" s="1026">
        <v>11.9</v>
      </c>
      <c r="T17" s="1026"/>
      <c r="U17" s="1026">
        <f t="shared" si="10"/>
        <v>0</v>
      </c>
      <c r="V17" s="1026">
        <f>U17*(списки!$C$56-S17)</f>
        <v>0</v>
      </c>
      <c r="W17" s="1027">
        <v>2.2999999999999998</v>
      </c>
      <c r="X17" s="1027"/>
      <c r="Y17" s="1027">
        <f t="shared" si="4"/>
        <v>30</v>
      </c>
      <c r="Z17" s="1027">
        <f>Y17*(списки!$C$56-W17)</f>
        <v>531</v>
      </c>
      <c r="AA17" s="1028">
        <v>-11.6</v>
      </c>
      <c r="AB17" s="1028"/>
      <c r="AC17" s="1028">
        <f t="shared" si="5"/>
        <v>30</v>
      </c>
      <c r="AD17" s="1028">
        <f>AC17*(списки!$C$56-AA17)</f>
        <v>948</v>
      </c>
      <c r="AE17" s="1029">
        <v>-23.2</v>
      </c>
      <c r="AF17" s="1029"/>
      <c r="AG17" s="1029">
        <v>31</v>
      </c>
      <c r="AH17" s="1029">
        <f>AG17*(списки!$C$56-AE17)</f>
        <v>1339.2</v>
      </c>
      <c r="AI17" s="1030">
        <v>-26</v>
      </c>
      <c r="AJ17" s="1030"/>
      <c r="AK17" s="1030">
        <v>31</v>
      </c>
      <c r="AL17" s="1030">
        <f>AK17*(списки!$C$56-AI17)</f>
        <v>1426</v>
      </c>
      <c r="AM17" s="1031">
        <v>-20.5</v>
      </c>
      <c r="AN17" s="1031"/>
      <c r="AO17" s="1031">
        <v>28</v>
      </c>
      <c r="AP17" s="1031">
        <f>AO17*(списки!$C$56-AM17)</f>
        <v>1134</v>
      </c>
      <c r="AQ17" s="1026">
        <v>-9.4</v>
      </c>
      <c r="AR17" s="1026"/>
      <c r="AS17" s="1026">
        <f t="shared" si="6"/>
        <v>31</v>
      </c>
      <c r="AT17" s="1026">
        <f>AS17*(списки!$C$56-AQ17)</f>
        <v>911.4</v>
      </c>
      <c r="AU17" s="1032">
        <v>3.9</v>
      </c>
      <c r="AV17" s="1032"/>
      <c r="AW17" s="1032">
        <f t="shared" si="7"/>
        <v>30</v>
      </c>
      <c r="AX17" s="1032">
        <f>AW17*(списки!$C$56-AU17)</f>
        <v>483.00000000000006</v>
      </c>
      <c r="AY17" s="1033">
        <v>12</v>
      </c>
      <c r="AZ17" s="1033"/>
      <c r="BA17" s="1033">
        <f t="shared" si="8"/>
        <v>0</v>
      </c>
      <c r="BB17" s="1033">
        <f>BA17*(списки!$C$56-AY17)</f>
        <v>0</v>
      </c>
      <c r="BC17" s="1034">
        <v>18.100000000000001</v>
      </c>
      <c r="BD17" s="1034"/>
      <c r="BE17" s="1034">
        <f t="shared" si="9"/>
        <v>0</v>
      </c>
      <c r="BF17" s="1035">
        <f>BE17*(списки!$C$56-BC17)</f>
        <v>0</v>
      </c>
      <c r="BG17" s="1424">
        <v>6889.7000000000007</v>
      </c>
      <c r="BH17" s="1424">
        <v>6533.6982142857141</v>
      </c>
    </row>
    <row r="18" spans="2:60" ht="15.75" customHeight="1" x14ac:dyDescent="0.25">
      <c r="B18" s="1036" t="s">
        <v>13</v>
      </c>
      <c r="C18" s="1038" t="s">
        <v>14</v>
      </c>
      <c r="D18" s="1015" t="str">
        <f t="shared" si="0"/>
        <v>Амурская областьБелогорск</v>
      </c>
      <c r="E18" s="1016">
        <v>223</v>
      </c>
      <c r="F18" s="1017">
        <v>-11.9</v>
      </c>
      <c r="G18" s="1017">
        <v>-37</v>
      </c>
      <c r="H18" s="1019">
        <v>2.7</v>
      </c>
      <c r="I18" s="1020">
        <f>E18*(списки!$C$56-F18)</f>
        <v>7113.7</v>
      </c>
      <c r="J18" s="1021" t="str">
        <f t="shared" si="1"/>
        <v>7000-8000</v>
      </c>
      <c r="K18" s="1022">
        <v>21.1</v>
      </c>
      <c r="L18" s="1022"/>
      <c r="M18" s="1023">
        <f t="shared" si="2"/>
        <v>0</v>
      </c>
      <c r="N18" s="1024">
        <f>M18*(списки!$C$56-K18)</f>
        <v>0</v>
      </c>
      <c r="O18" s="1025">
        <v>18.7</v>
      </c>
      <c r="P18" s="1025"/>
      <c r="Q18" s="1025">
        <f t="shared" si="3"/>
        <v>0</v>
      </c>
      <c r="R18" s="1025">
        <f>Q18*(списки!$C$56-O18)</f>
        <v>0</v>
      </c>
      <c r="S18" s="1026">
        <v>11.7</v>
      </c>
      <c r="T18" s="1026"/>
      <c r="U18" s="1026">
        <f t="shared" si="10"/>
        <v>5.5</v>
      </c>
      <c r="V18" s="1026">
        <f>U18*(списки!$C$56-S18)</f>
        <v>45.650000000000006</v>
      </c>
      <c r="W18" s="1027">
        <v>1.3</v>
      </c>
      <c r="X18" s="1027"/>
      <c r="Y18" s="1027">
        <f t="shared" si="4"/>
        <v>31</v>
      </c>
      <c r="Z18" s="1027">
        <f>Y18*(списки!$C$56-W18)</f>
        <v>579.69999999999993</v>
      </c>
      <c r="AA18" s="1028">
        <v>-13.5</v>
      </c>
      <c r="AB18" s="1028"/>
      <c r="AC18" s="1028">
        <f t="shared" si="5"/>
        <v>30</v>
      </c>
      <c r="AD18" s="1028">
        <f>AC18*(списки!$C$56-AA18)</f>
        <v>1005</v>
      </c>
      <c r="AE18" s="1029">
        <v>-24</v>
      </c>
      <c r="AF18" s="1029"/>
      <c r="AG18" s="1029">
        <v>31</v>
      </c>
      <c r="AH18" s="1029">
        <f>AG18*(списки!$C$56-AE18)</f>
        <v>1364</v>
      </c>
      <c r="AI18" s="1030">
        <v>-27.1</v>
      </c>
      <c r="AJ18" s="1030"/>
      <c r="AK18" s="1030">
        <v>31</v>
      </c>
      <c r="AL18" s="1030">
        <f>AK18*(списки!$C$56-AI18)</f>
        <v>1460.1000000000001</v>
      </c>
      <c r="AM18" s="1031">
        <v>-20.7</v>
      </c>
      <c r="AN18" s="1031"/>
      <c r="AO18" s="1031">
        <v>28</v>
      </c>
      <c r="AP18" s="1031">
        <f>AO18*(списки!$C$56-AM18)</f>
        <v>1139.6000000000001</v>
      </c>
      <c r="AQ18" s="1026">
        <v>-10.9</v>
      </c>
      <c r="AR18" s="1026"/>
      <c r="AS18" s="1026">
        <f t="shared" si="6"/>
        <v>31</v>
      </c>
      <c r="AT18" s="1026">
        <f>AS18*(списки!$C$56-AQ18)</f>
        <v>957.9</v>
      </c>
      <c r="AU18" s="1032">
        <v>1.8</v>
      </c>
      <c r="AV18" s="1032"/>
      <c r="AW18" s="1032">
        <f t="shared" si="7"/>
        <v>30</v>
      </c>
      <c r="AX18" s="1032">
        <f>AW18*(списки!$C$56-AU18)</f>
        <v>546</v>
      </c>
      <c r="AY18" s="1033">
        <v>10.3</v>
      </c>
      <c r="AZ18" s="1033"/>
      <c r="BA18" s="1033">
        <f t="shared" si="8"/>
        <v>5.5</v>
      </c>
      <c r="BB18" s="1033">
        <f>BA18*(списки!$C$56-AY18)</f>
        <v>53.349999999999994</v>
      </c>
      <c r="BC18" s="1034">
        <v>17.399999999999999</v>
      </c>
      <c r="BD18" s="1034"/>
      <c r="BE18" s="1034">
        <f t="shared" si="9"/>
        <v>0</v>
      </c>
      <c r="BF18" s="1035">
        <f>BE18*(списки!$C$56-BC18)</f>
        <v>0</v>
      </c>
      <c r="BG18" s="1424">
        <v>6738.7249999999958</v>
      </c>
      <c r="BH18" s="1424">
        <v>6381.2125000000051</v>
      </c>
    </row>
    <row r="19" spans="2:60" ht="15.75" customHeight="1" x14ac:dyDescent="0.25">
      <c r="B19" s="1013" t="s">
        <v>13</v>
      </c>
      <c r="C19" s="1014" t="s">
        <v>15</v>
      </c>
      <c r="D19" s="1015" t="str">
        <f t="shared" si="0"/>
        <v>Амурская областьБлаговещенск</v>
      </c>
      <c r="E19" s="1016">
        <v>210</v>
      </c>
      <c r="F19" s="1017">
        <v>-10.7</v>
      </c>
      <c r="G19" s="1017">
        <v>-33</v>
      </c>
      <c r="H19" s="1019">
        <v>2.6</v>
      </c>
      <c r="I19" s="1020">
        <f>E19*(списки!$C$56-F19)</f>
        <v>6447</v>
      </c>
      <c r="J19" s="1021" t="str">
        <f t="shared" si="1"/>
        <v>6000-7000</v>
      </c>
      <c r="K19" s="1022">
        <v>21.7</v>
      </c>
      <c r="L19" s="1022"/>
      <c r="M19" s="1023">
        <f t="shared" si="2"/>
        <v>0</v>
      </c>
      <c r="N19" s="1024">
        <f>M19*(списки!$C$56-K19)</f>
        <v>0</v>
      </c>
      <c r="O19" s="1025">
        <v>19.399999999999999</v>
      </c>
      <c r="P19" s="1025"/>
      <c r="Q19" s="1025">
        <f t="shared" si="3"/>
        <v>0</v>
      </c>
      <c r="R19" s="1025">
        <f>Q19*(списки!$C$56-O19)</f>
        <v>0</v>
      </c>
      <c r="S19" s="1026">
        <v>12.4</v>
      </c>
      <c r="T19" s="1026"/>
      <c r="U19" s="1026">
        <f t="shared" si="10"/>
        <v>0</v>
      </c>
      <c r="V19" s="1026">
        <f>U19*(списки!$C$56-S19)</f>
        <v>0</v>
      </c>
      <c r="W19" s="1027">
        <v>2.9</v>
      </c>
      <c r="X19" s="1027"/>
      <c r="Y19" s="1027">
        <f t="shared" si="4"/>
        <v>29.5</v>
      </c>
      <c r="Z19" s="1027">
        <f>Y19*(списки!$C$56-W19)</f>
        <v>504.45000000000005</v>
      </c>
      <c r="AA19" s="1028">
        <v>-10.4</v>
      </c>
      <c r="AB19" s="1028"/>
      <c r="AC19" s="1028">
        <f t="shared" si="5"/>
        <v>30</v>
      </c>
      <c r="AD19" s="1028">
        <f>AC19*(списки!$C$56-AA19)</f>
        <v>912</v>
      </c>
      <c r="AE19" s="1029">
        <v>-20.399999999999999</v>
      </c>
      <c r="AF19" s="1029"/>
      <c r="AG19" s="1029">
        <v>31</v>
      </c>
      <c r="AH19" s="1029">
        <f>AG19*(списки!$C$56-AE19)</f>
        <v>1252.3999999999999</v>
      </c>
      <c r="AI19" s="1030">
        <v>-22.3</v>
      </c>
      <c r="AJ19" s="1030"/>
      <c r="AK19" s="1030">
        <v>31</v>
      </c>
      <c r="AL19" s="1030">
        <f>AK19*(списки!$C$56-AI19)</f>
        <v>1311.3</v>
      </c>
      <c r="AM19" s="1031">
        <v>-17.2</v>
      </c>
      <c r="AN19" s="1031"/>
      <c r="AO19" s="1031">
        <v>28</v>
      </c>
      <c r="AP19" s="1031">
        <f>AO19*(списки!$C$56-AM19)</f>
        <v>1041.6000000000001</v>
      </c>
      <c r="AQ19" s="1026">
        <v>-7.2</v>
      </c>
      <c r="AR19" s="1026"/>
      <c r="AS19" s="1026">
        <f t="shared" si="6"/>
        <v>31</v>
      </c>
      <c r="AT19" s="1026">
        <f>AS19*(списки!$C$56-AQ19)</f>
        <v>843.19999999999993</v>
      </c>
      <c r="AU19" s="1032">
        <v>4.2</v>
      </c>
      <c r="AV19" s="1032"/>
      <c r="AW19" s="1032">
        <f t="shared" si="7"/>
        <v>29.5</v>
      </c>
      <c r="AX19" s="1032">
        <f>AW19*(списки!$C$56-AU19)</f>
        <v>466.1</v>
      </c>
      <c r="AY19" s="1033">
        <v>12.5</v>
      </c>
      <c r="AZ19" s="1033"/>
      <c r="BA19" s="1033">
        <f t="shared" si="8"/>
        <v>0</v>
      </c>
      <c r="BB19" s="1033">
        <f>BA19*(списки!$C$56-AY19)</f>
        <v>0</v>
      </c>
      <c r="BC19" s="1034">
        <v>19.100000000000001</v>
      </c>
      <c r="BD19" s="1034"/>
      <c r="BE19" s="1034">
        <f t="shared" si="9"/>
        <v>0</v>
      </c>
      <c r="BF19" s="1035">
        <f>BE19*(списки!$C$56-BC19)</f>
        <v>0</v>
      </c>
      <c r="BG19" s="1424" t="e">
        <v>#N/A</v>
      </c>
      <c r="BH19" s="1424" t="e">
        <v>#N/A</v>
      </c>
    </row>
    <row r="20" spans="2:60" ht="15.75" customHeight="1" x14ac:dyDescent="0.25">
      <c r="B20" s="1036" t="s">
        <v>13</v>
      </c>
      <c r="C20" s="1038" t="s">
        <v>16</v>
      </c>
      <c r="D20" s="1015" t="str">
        <f t="shared" si="0"/>
        <v>Амурская областьБомнак</v>
      </c>
      <c r="E20" s="1016">
        <v>240</v>
      </c>
      <c r="F20" s="1017">
        <v>-14.7</v>
      </c>
      <c r="G20" s="1017">
        <v>-40</v>
      </c>
      <c r="H20" s="1019">
        <v>2</v>
      </c>
      <c r="I20" s="1020">
        <f>E20*(списки!$C$56-F20)</f>
        <v>8328</v>
      </c>
      <c r="J20" s="1021" t="str">
        <f t="shared" si="1"/>
        <v>8000-9000</v>
      </c>
      <c r="K20" s="1022">
        <v>18.100000000000001</v>
      </c>
      <c r="L20" s="1022"/>
      <c r="M20" s="1023">
        <f t="shared" si="2"/>
        <v>0</v>
      </c>
      <c r="N20" s="1024">
        <f>M20*(списки!$C$56-K20)</f>
        <v>0</v>
      </c>
      <c r="O20" s="1025">
        <v>15.5</v>
      </c>
      <c r="P20" s="1025"/>
      <c r="Q20" s="1025">
        <f t="shared" si="3"/>
        <v>0</v>
      </c>
      <c r="R20" s="1025">
        <f>Q20*(списки!$C$56-O20)</f>
        <v>0</v>
      </c>
      <c r="S20" s="1026">
        <v>8.4</v>
      </c>
      <c r="T20" s="1026"/>
      <c r="U20" s="1026">
        <f t="shared" si="10"/>
        <v>14</v>
      </c>
      <c r="V20" s="1026">
        <f>U20*(списки!$C$56-S20)</f>
        <v>162.4</v>
      </c>
      <c r="W20" s="1027">
        <v>-2.5</v>
      </c>
      <c r="X20" s="1027"/>
      <c r="Y20" s="1027">
        <f t="shared" si="4"/>
        <v>31</v>
      </c>
      <c r="Z20" s="1027">
        <f>Y20*(списки!$C$56-W20)</f>
        <v>697.5</v>
      </c>
      <c r="AA20" s="1028">
        <v>-19.2</v>
      </c>
      <c r="AB20" s="1028"/>
      <c r="AC20" s="1028">
        <f t="shared" si="5"/>
        <v>30</v>
      </c>
      <c r="AD20" s="1028">
        <f>AC20*(списки!$C$56-AA20)</f>
        <v>1176</v>
      </c>
      <c r="AE20" s="1029">
        <v>-29.5</v>
      </c>
      <c r="AF20" s="1029"/>
      <c r="AG20" s="1029">
        <v>31</v>
      </c>
      <c r="AH20" s="1029">
        <f>AG20*(списки!$C$56-AE20)</f>
        <v>1534.5</v>
      </c>
      <c r="AI20" s="1030">
        <v>-30.2</v>
      </c>
      <c r="AJ20" s="1030"/>
      <c r="AK20" s="1030">
        <v>31</v>
      </c>
      <c r="AL20" s="1030">
        <f>AK20*(списки!$C$56-AI20)</f>
        <v>1556.2</v>
      </c>
      <c r="AM20" s="1031">
        <v>-23.8</v>
      </c>
      <c r="AN20" s="1031"/>
      <c r="AO20" s="1031">
        <v>28</v>
      </c>
      <c r="AP20" s="1031">
        <f>AO20*(списки!$C$56-AM20)</f>
        <v>1226.3999999999999</v>
      </c>
      <c r="AQ20" s="1026">
        <v>-12.4</v>
      </c>
      <c r="AR20" s="1026"/>
      <c r="AS20" s="1026">
        <f t="shared" si="6"/>
        <v>31</v>
      </c>
      <c r="AT20" s="1026">
        <f>AS20*(списки!$C$56-AQ20)</f>
        <v>1004.4</v>
      </c>
      <c r="AU20" s="1032">
        <v>-0.4</v>
      </c>
      <c r="AV20" s="1032"/>
      <c r="AW20" s="1032">
        <f t="shared" si="7"/>
        <v>30</v>
      </c>
      <c r="AX20" s="1032">
        <f>AW20*(списки!$C$56-AU20)</f>
        <v>612</v>
      </c>
      <c r="AY20" s="1033">
        <v>8.5</v>
      </c>
      <c r="AZ20" s="1033"/>
      <c r="BA20" s="1033">
        <f t="shared" si="8"/>
        <v>14</v>
      </c>
      <c r="BB20" s="1033">
        <f>BA20*(списки!$C$56-AY20)</f>
        <v>161</v>
      </c>
      <c r="BC20" s="1034">
        <v>15.5</v>
      </c>
      <c r="BD20" s="1034"/>
      <c r="BE20" s="1034">
        <f t="shared" si="9"/>
        <v>0</v>
      </c>
      <c r="BF20" s="1035">
        <f>BE20*(списки!$C$56-BC20)</f>
        <v>0</v>
      </c>
      <c r="BG20" s="1424">
        <v>8104.657142857136</v>
      </c>
      <c r="BH20" s="1424">
        <v>7839.5250000000042</v>
      </c>
    </row>
    <row r="21" spans="2:60" ht="15.75" customHeight="1" x14ac:dyDescent="0.25">
      <c r="B21" s="1013" t="s">
        <v>13</v>
      </c>
      <c r="C21" s="1014" t="s">
        <v>17</v>
      </c>
      <c r="D21" s="1015" t="str">
        <f t="shared" si="0"/>
        <v>Амурская областьБратолюбовка</v>
      </c>
      <c r="E21" s="1016">
        <v>229</v>
      </c>
      <c r="F21" s="1017">
        <v>-12.4</v>
      </c>
      <c r="G21" s="1017">
        <v>-37</v>
      </c>
      <c r="H21" s="1019">
        <f>H20</f>
        <v>2</v>
      </c>
      <c r="I21" s="1020">
        <f>E21*(списки!$C$56-F21)</f>
        <v>7419.5999999999995</v>
      </c>
      <c r="J21" s="1021" t="str">
        <f t="shared" si="1"/>
        <v>7000-8000</v>
      </c>
      <c r="K21" s="1022">
        <v>19.899999999999999</v>
      </c>
      <c r="L21" s="1022"/>
      <c r="M21" s="1023">
        <f t="shared" si="2"/>
        <v>0</v>
      </c>
      <c r="N21" s="1024">
        <f>M21*(списки!$C$56-K21)</f>
        <v>0</v>
      </c>
      <c r="O21" s="1025">
        <v>17.600000000000001</v>
      </c>
      <c r="P21" s="1025"/>
      <c r="Q21" s="1025">
        <f t="shared" si="3"/>
        <v>0</v>
      </c>
      <c r="R21" s="1025">
        <f>Q21*(списки!$C$56-O21)</f>
        <v>0</v>
      </c>
      <c r="S21" s="1026">
        <v>10.8</v>
      </c>
      <c r="T21" s="1026"/>
      <c r="U21" s="1026">
        <f t="shared" si="10"/>
        <v>8.5</v>
      </c>
      <c r="V21" s="1026">
        <f>U21*(списки!$C$56-S21)</f>
        <v>78.199999999999989</v>
      </c>
      <c r="W21" s="1027">
        <v>0.5</v>
      </c>
      <c r="X21" s="1027"/>
      <c r="Y21" s="1027">
        <f t="shared" si="4"/>
        <v>31</v>
      </c>
      <c r="Z21" s="1027">
        <f>Y21*(списки!$C$56-W21)</f>
        <v>604.5</v>
      </c>
      <c r="AA21" s="1028">
        <v>-14.3</v>
      </c>
      <c r="AB21" s="1028"/>
      <c r="AC21" s="1028">
        <f t="shared" si="5"/>
        <v>30</v>
      </c>
      <c r="AD21" s="1028">
        <f>AC21*(списки!$C$56-AA21)</f>
        <v>1029</v>
      </c>
      <c r="AE21" s="1029">
        <v>-25.3</v>
      </c>
      <c r="AF21" s="1029"/>
      <c r="AG21" s="1029">
        <v>31</v>
      </c>
      <c r="AH21" s="1029">
        <f>AG21*(списки!$C$56-AE21)</f>
        <v>1404.3</v>
      </c>
      <c r="AI21" s="1030">
        <v>-28</v>
      </c>
      <c r="AJ21" s="1030"/>
      <c r="AK21" s="1030">
        <v>31</v>
      </c>
      <c r="AL21" s="1030">
        <f>AK21*(списки!$C$56-AI21)</f>
        <v>1488</v>
      </c>
      <c r="AM21" s="1031">
        <v>-21.8</v>
      </c>
      <c r="AN21" s="1031"/>
      <c r="AO21" s="1031">
        <v>28</v>
      </c>
      <c r="AP21" s="1031">
        <f>AO21*(списки!$C$56-AM21)</f>
        <v>1170.3999999999999</v>
      </c>
      <c r="AQ21" s="1026">
        <v>-12.1</v>
      </c>
      <c r="AR21" s="1026"/>
      <c r="AS21" s="1026">
        <f t="shared" si="6"/>
        <v>31</v>
      </c>
      <c r="AT21" s="1026">
        <f>AS21*(списки!$C$56-AQ21)</f>
        <v>995.1</v>
      </c>
      <c r="AU21" s="1032">
        <v>0.8</v>
      </c>
      <c r="AV21" s="1032"/>
      <c r="AW21" s="1032">
        <f t="shared" si="7"/>
        <v>30</v>
      </c>
      <c r="AX21" s="1032">
        <f>AW21*(списки!$C$56-AU21)</f>
        <v>576</v>
      </c>
      <c r="AY21" s="1033">
        <v>9.5</v>
      </c>
      <c r="AZ21" s="1033"/>
      <c r="BA21" s="1033">
        <f t="shared" si="8"/>
        <v>8.5</v>
      </c>
      <c r="BB21" s="1033">
        <f>BA21*(списки!$C$56-AY21)</f>
        <v>89.25</v>
      </c>
      <c r="BC21" s="1034">
        <v>16.3</v>
      </c>
      <c r="BD21" s="1034"/>
      <c r="BE21" s="1034">
        <f t="shared" si="9"/>
        <v>0</v>
      </c>
      <c r="BF21" s="1035">
        <f>BE21*(списки!$C$56-BC21)</f>
        <v>0</v>
      </c>
      <c r="BG21" s="1424">
        <v>6944.0124999999962</v>
      </c>
      <c r="BH21" s="1424">
        <v>6614.6499999999987</v>
      </c>
    </row>
    <row r="22" spans="2:60" ht="15.75" customHeight="1" x14ac:dyDescent="0.25">
      <c r="B22" s="1036" t="s">
        <v>13</v>
      </c>
      <c r="C22" s="1038" t="s">
        <v>18</v>
      </c>
      <c r="D22" s="1015" t="str">
        <f t="shared" si="0"/>
        <v>Амурская областьБысса</v>
      </c>
      <c r="E22" s="1016">
        <v>236</v>
      </c>
      <c r="F22" s="1017">
        <v>-13.6</v>
      </c>
      <c r="G22" s="1017">
        <v>-41</v>
      </c>
      <c r="H22" s="1019">
        <v>1.3</v>
      </c>
      <c r="I22" s="1020">
        <f>E22*(списки!$C$56-F22)</f>
        <v>7929.6</v>
      </c>
      <c r="J22" s="1021" t="str">
        <f t="shared" si="1"/>
        <v>7000-8000</v>
      </c>
      <c r="K22" s="1024">
        <v>18.7</v>
      </c>
      <c r="L22" s="1024"/>
      <c r="M22" s="1023">
        <f t="shared" si="2"/>
        <v>0</v>
      </c>
      <c r="N22" s="1024">
        <f>M22*(списки!$C$56-K22)</f>
        <v>0</v>
      </c>
      <c r="O22" s="1039">
        <v>16.2</v>
      </c>
      <c r="P22" s="1039"/>
      <c r="Q22" s="1025">
        <f t="shared" si="3"/>
        <v>0</v>
      </c>
      <c r="R22" s="1025">
        <f>Q22*(списки!$C$56-O22)</f>
        <v>0</v>
      </c>
      <c r="S22" s="1040">
        <v>9.1</v>
      </c>
      <c r="T22" s="1040"/>
      <c r="U22" s="1026">
        <f t="shared" si="10"/>
        <v>12</v>
      </c>
      <c r="V22" s="1026">
        <f>U22*(списки!$C$56-S22)</f>
        <v>130.80000000000001</v>
      </c>
      <c r="W22" s="1041">
        <v>-1</v>
      </c>
      <c r="X22" s="1041"/>
      <c r="Y22" s="1027">
        <f t="shared" si="4"/>
        <v>31</v>
      </c>
      <c r="Z22" s="1027">
        <f>Y22*(списки!$C$56-W22)</f>
        <v>651</v>
      </c>
      <c r="AA22" s="1042">
        <v>-16.8</v>
      </c>
      <c r="AB22" s="1042"/>
      <c r="AC22" s="1028">
        <f t="shared" si="5"/>
        <v>30</v>
      </c>
      <c r="AD22" s="1028">
        <f>AC22*(списки!$C$56-AA22)</f>
        <v>1104</v>
      </c>
      <c r="AE22" s="1043">
        <v>-28.1</v>
      </c>
      <c r="AF22" s="1043"/>
      <c r="AG22" s="1029">
        <v>31</v>
      </c>
      <c r="AH22" s="1029">
        <f>AG22*(списки!$C$56-AE22)</f>
        <v>1491.1000000000001</v>
      </c>
      <c r="AI22" s="1044">
        <v>-30.7</v>
      </c>
      <c r="AJ22" s="1044"/>
      <c r="AK22" s="1030">
        <v>31</v>
      </c>
      <c r="AL22" s="1030">
        <f>AK22*(списки!$C$56-AI22)</f>
        <v>1571.7</v>
      </c>
      <c r="AM22" s="1045">
        <v>-24.3</v>
      </c>
      <c r="AN22" s="1045"/>
      <c r="AO22" s="1031">
        <v>28</v>
      </c>
      <c r="AP22" s="1031">
        <f>AO22*(списки!$C$56-AM22)</f>
        <v>1240.3999999999999</v>
      </c>
      <c r="AQ22" s="1040">
        <v>-12.8</v>
      </c>
      <c r="AR22" s="1040"/>
      <c r="AS22" s="1026">
        <f t="shared" si="6"/>
        <v>31</v>
      </c>
      <c r="AT22" s="1026">
        <f>AS22*(списки!$C$56-AQ22)</f>
        <v>1016.8</v>
      </c>
      <c r="AU22" s="1046">
        <v>-0.4</v>
      </c>
      <c r="AV22" s="1046"/>
      <c r="AW22" s="1032">
        <f t="shared" si="7"/>
        <v>30</v>
      </c>
      <c r="AX22" s="1032">
        <f>AW22*(списки!$C$56-AU22)</f>
        <v>612</v>
      </c>
      <c r="AY22" s="1047">
        <v>8.8000000000000007</v>
      </c>
      <c r="AZ22" s="1047"/>
      <c r="BA22" s="1033">
        <f t="shared" si="8"/>
        <v>12</v>
      </c>
      <c r="BB22" s="1033">
        <f>BA22*(списки!$C$56-AY22)</f>
        <v>134.39999999999998</v>
      </c>
      <c r="BC22" s="1048">
        <v>15.2</v>
      </c>
      <c r="BD22" s="1048"/>
      <c r="BE22" s="1034">
        <f t="shared" si="9"/>
        <v>0</v>
      </c>
      <c r="BF22" s="1035">
        <f>BE22*(списки!$C$56-BC22)</f>
        <v>0</v>
      </c>
      <c r="BG22" s="1424" t="e">
        <v>#N/A</v>
      </c>
      <c r="BH22" s="1424" t="e">
        <v>#N/A</v>
      </c>
    </row>
    <row r="23" spans="2:60" ht="15.75" customHeight="1" x14ac:dyDescent="0.25">
      <c r="B23" s="1013" t="s">
        <v>13</v>
      </c>
      <c r="C23" s="1014" t="s">
        <v>23</v>
      </c>
      <c r="D23" s="1015" t="str">
        <f t="shared" si="0"/>
        <v>Амурская областьГош</v>
      </c>
      <c r="E23" s="1016">
        <v>233</v>
      </c>
      <c r="F23" s="1017">
        <v>-14</v>
      </c>
      <c r="G23" s="1017">
        <v>-42</v>
      </c>
      <c r="H23" s="1019">
        <v>1.5</v>
      </c>
      <c r="I23" s="1020">
        <f>E23*(списки!$C$56-F23)</f>
        <v>7922</v>
      </c>
      <c r="J23" s="1021" t="str">
        <f t="shared" si="1"/>
        <v>7000-8000</v>
      </c>
      <c r="K23" s="1022">
        <v>19.3</v>
      </c>
      <c r="L23" s="1022"/>
      <c r="M23" s="1023">
        <f t="shared" si="2"/>
        <v>0</v>
      </c>
      <c r="N23" s="1024">
        <f>M23*(списки!$C$56-K23)</f>
        <v>0</v>
      </c>
      <c r="O23" s="1025">
        <v>16.899999999999999</v>
      </c>
      <c r="P23" s="1025"/>
      <c r="Q23" s="1025">
        <f t="shared" si="3"/>
        <v>0</v>
      </c>
      <c r="R23" s="1025">
        <f>Q23*(списки!$C$56-O23)</f>
        <v>0</v>
      </c>
      <c r="S23" s="1026">
        <v>9.9</v>
      </c>
      <c r="T23" s="1026"/>
      <c r="U23" s="1026">
        <f t="shared" si="10"/>
        <v>10.5</v>
      </c>
      <c r="V23" s="1026">
        <f>U23*(списки!$C$56-S23)</f>
        <v>106.05</v>
      </c>
      <c r="W23" s="1027">
        <v>-0.6</v>
      </c>
      <c r="X23" s="1027"/>
      <c r="Y23" s="1027">
        <f t="shared" si="4"/>
        <v>31</v>
      </c>
      <c r="Z23" s="1027">
        <f>Y23*(списки!$C$56-W23)</f>
        <v>638.6</v>
      </c>
      <c r="AA23" s="1028">
        <v>-16.3</v>
      </c>
      <c r="AB23" s="1028"/>
      <c r="AC23" s="1028">
        <f t="shared" si="5"/>
        <v>30</v>
      </c>
      <c r="AD23" s="1028">
        <f>AC23*(списки!$C$56-AA23)</f>
        <v>1089</v>
      </c>
      <c r="AE23" s="1029">
        <v>-28.2</v>
      </c>
      <c r="AF23" s="1029"/>
      <c r="AG23" s="1029">
        <v>31</v>
      </c>
      <c r="AH23" s="1029">
        <f>AG23*(списки!$C$56-AE23)</f>
        <v>1494.2</v>
      </c>
      <c r="AI23" s="1030">
        <v>-31.2</v>
      </c>
      <c r="AJ23" s="1030"/>
      <c r="AK23" s="1030">
        <v>31</v>
      </c>
      <c r="AL23" s="1030">
        <f>AK23*(списки!$C$56-AI23)</f>
        <v>1587.2</v>
      </c>
      <c r="AM23" s="1031">
        <v>-24.6</v>
      </c>
      <c r="AN23" s="1031"/>
      <c r="AO23" s="1031">
        <v>28</v>
      </c>
      <c r="AP23" s="1031">
        <f>AO23*(списки!$C$56-AM23)</f>
        <v>1248.8</v>
      </c>
      <c r="AQ23" s="1026">
        <v>-14</v>
      </c>
      <c r="AR23" s="1026"/>
      <c r="AS23" s="1026">
        <f t="shared" si="6"/>
        <v>31</v>
      </c>
      <c r="AT23" s="1026">
        <f>AS23*(списки!$C$56-AQ23)</f>
        <v>1054</v>
      </c>
      <c r="AU23" s="1032">
        <v>0.3</v>
      </c>
      <c r="AV23" s="1032"/>
      <c r="AW23" s="1032">
        <f t="shared" si="7"/>
        <v>30</v>
      </c>
      <c r="AX23" s="1032">
        <f>AW23*(списки!$C$56-AU23)</f>
        <v>591</v>
      </c>
      <c r="AY23" s="1033">
        <v>9.1</v>
      </c>
      <c r="AZ23" s="1033"/>
      <c r="BA23" s="1033">
        <f t="shared" si="8"/>
        <v>10.5</v>
      </c>
      <c r="BB23" s="1033">
        <f>BA23*(списки!$C$56-AY23)</f>
        <v>114.45</v>
      </c>
      <c r="BC23" s="1034">
        <v>15.9</v>
      </c>
      <c r="BD23" s="1034"/>
      <c r="BE23" s="1034">
        <f t="shared" si="9"/>
        <v>0</v>
      </c>
      <c r="BF23" s="1035">
        <f>BE23*(списки!$C$56-BC23)</f>
        <v>0</v>
      </c>
      <c r="BG23" s="1424" t="e">
        <v>#N/A</v>
      </c>
      <c r="BH23" s="1424" t="e">
        <v>#N/A</v>
      </c>
    </row>
    <row r="24" spans="2:60" ht="15.75" customHeight="1" x14ac:dyDescent="0.25">
      <c r="B24" s="1036" t="s">
        <v>13</v>
      </c>
      <c r="C24" s="1038" t="s">
        <v>20</v>
      </c>
      <c r="D24" s="1015" t="str">
        <f t="shared" si="0"/>
        <v>Амурская областьДамбуки</v>
      </c>
      <c r="E24" s="1016">
        <v>244</v>
      </c>
      <c r="F24" s="1017">
        <v>-14.3</v>
      </c>
      <c r="G24" s="1017">
        <v>-43</v>
      </c>
      <c r="H24" s="1019">
        <v>5.2</v>
      </c>
      <c r="I24" s="1020">
        <f>E24*(списки!$C$56-F24)</f>
        <v>8369.1999999999989</v>
      </c>
      <c r="J24" s="1021" t="str">
        <f t="shared" si="1"/>
        <v>8000-9000</v>
      </c>
      <c r="K24" s="1022">
        <v>17.899999999999999</v>
      </c>
      <c r="L24" s="1022"/>
      <c r="M24" s="1023">
        <f t="shared" si="2"/>
        <v>0</v>
      </c>
      <c r="N24" s="1024">
        <f>M24*(списки!$C$56-K24)</f>
        <v>0</v>
      </c>
      <c r="O24" s="1025">
        <v>15.3</v>
      </c>
      <c r="P24" s="1025"/>
      <c r="Q24" s="1025">
        <f t="shared" si="3"/>
        <v>0</v>
      </c>
      <c r="R24" s="1025">
        <f>Q24*(списки!$C$56-O24)</f>
        <v>0</v>
      </c>
      <c r="S24" s="1026">
        <v>8.1999999999999993</v>
      </c>
      <c r="T24" s="1026"/>
      <c r="U24" s="1026">
        <f t="shared" si="10"/>
        <v>16</v>
      </c>
      <c r="V24" s="1026">
        <f>U24*(списки!$C$56-S24)</f>
        <v>188.8</v>
      </c>
      <c r="W24" s="1027">
        <v>-3.3</v>
      </c>
      <c r="X24" s="1027"/>
      <c r="Y24" s="1027">
        <f t="shared" si="4"/>
        <v>31</v>
      </c>
      <c r="Z24" s="1027">
        <f>Y24*(списки!$C$56-W24)</f>
        <v>722.30000000000007</v>
      </c>
      <c r="AA24" s="1028">
        <v>-18.8</v>
      </c>
      <c r="AB24" s="1028"/>
      <c r="AC24" s="1028">
        <f t="shared" si="5"/>
        <v>30</v>
      </c>
      <c r="AD24" s="1028">
        <f>AC24*(списки!$C$56-AA24)</f>
        <v>1164</v>
      </c>
      <c r="AE24" s="1029">
        <v>-28.9</v>
      </c>
      <c r="AF24" s="1029"/>
      <c r="AG24" s="1029">
        <v>31</v>
      </c>
      <c r="AH24" s="1029">
        <f>AG24*(списки!$C$56-AE24)</f>
        <v>1515.8999999999999</v>
      </c>
      <c r="AI24" s="1030">
        <v>-31.1</v>
      </c>
      <c r="AJ24" s="1030"/>
      <c r="AK24" s="1030">
        <v>31</v>
      </c>
      <c r="AL24" s="1030">
        <f>AK24*(списки!$C$56-AI24)</f>
        <v>1584.1000000000001</v>
      </c>
      <c r="AM24" s="1031">
        <v>-24.9</v>
      </c>
      <c r="AN24" s="1031"/>
      <c r="AO24" s="1031">
        <v>28</v>
      </c>
      <c r="AP24" s="1031">
        <f>AO24*(списки!$C$56-AM24)</f>
        <v>1257.2</v>
      </c>
      <c r="AQ24" s="1026">
        <v>-15.1</v>
      </c>
      <c r="AR24" s="1026"/>
      <c r="AS24" s="1026">
        <f t="shared" si="6"/>
        <v>31</v>
      </c>
      <c r="AT24" s="1026">
        <f>AS24*(списки!$C$56-AQ24)</f>
        <v>1088.1000000000001</v>
      </c>
      <c r="AU24" s="1032">
        <v>-1.9</v>
      </c>
      <c r="AV24" s="1032"/>
      <c r="AW24" s="1032">
        <f t="shared" si="7"/>
        <v>30</v>
      </c>
      <c r="AX24" s="1032">
        <f>AW24*(списки!$C$56-AU24)</f>
        <v>657</v>
      </c>
      <c r="AY24" s="1033">
        <v>7.5</v>
      </c>
      <c r="AZ24" s="1033"/>
      <c r="BA24" s="1033">
        <f t="shared" si="8"/>
        <v>16</v>
      </c>
      <c r="BB24" s="1033">
        <f>BA24*(списки!$C$56-AY24)</f>
        <v>200</v>
      </c>
      <c r="BC24" s="1034">
        <v>14.4</v>
      </c>
      <c r="BD24" s="1034"/>
      <c r="BE24" s="1034">
        <f t="shared" si="9"/>
        <v>0</v>
      </c>
      <c r="BF24" s="1035">
        <f>BE24*(списки!$C$56-BC24)</f>
        <v>0</v>
      </c>
      <c r="BG24" s="1424" t="e">
        <v>#N/A</v>
      </c>
      <c r="BH24" s="1424" t="e">
        <v>#N/A</v>
      </c>
    </row>
    <row r="25" spans="2:60" ht="15.75" customHeight="1" x14ac:dyDescent="0.25">
      <c r="B25" s="1013" t="s">
        <v>13</v>
      </c>
      <c r="C25" s="1014" t="s">
        <v>22</v>
      </c>
      <c r="D25" s="1015" t="str">
        <f t="shared" si="0"/>
        <v>Амурская областьЕрофей Павлович</v>
      </c>
      <c r="E25" s="1016">
        <v>245</v>
      </c>
      <c r="F25" s="1017">
        <v>-12.7</v>
      </c>
      <c r="G25" s="1017">
        <v>-38</v>
      </c>
      <c r="H25" s="1019">
        <f>H24</f>
        <v>5.2</v>
      </c>
      <c r="I25" s="1020">
        <f>E25*(списки!$C$56-F25)</f>
        <v>8011.5000000000009</v>
      </c>
      <c r="J25" s="1021" t="str">
        <f t="shared" si="1"/>
        <v>8000-9000</v>
      </c>
      <c r="K25" s="1022">
        <v>18.3</v>
      </c>
      <c r="L25" s="1022"/>
      <c r="M25" s="1023">
        <f t="shared" si="2"/>
        <v>0</v>
      </c>
      <c r="N25" s="1024">
        <f>M25*(списки!$C$56-K25)</f>
        <v>0</v>
      </c>
      <c r="O25" s="1025">
        <v>15</v>
      </c>
      <c r="P25" s="1025"/>
      <c r="Q25" s="1025">
        <f t="shared" si="3"/>
        <v>0</v>
      </c>
      <c r="R25" s="1025">
        <f>Q25*(списки!$C$56-O25)</f>
        <v>0</v>
      </c>
      <c r="S25" s="1026">
        <v>7.9</v>
      </c>
      <c r="T25" s="1026"/>
      <c r="U25" s="1026">
        <f t="shared" si="10"/>
        <v>16.5</v>
      </c>
      <c r="V25" s="1026">
        <f>U25*(списки!$C$56-S25)</f>
        <v>199.65</v>
      </c>
      <c r="W25" s="1027">
        <v>-3.4</v>
      </c>
      <c r="X25" s="1027"/>
      <c r="Y25" s="1027">
        <f t="shared" si="4"/>
        <v>31</v>
      </c>
      <c r="Z25" s="1027">
        <f>Y25*(списки!$C$56-W25)</f>
        <v>725.4</v>
      </c>
      <c r="AA25" s="1028">
        <v>-17.600000000000001</v>
      </c>
      <c r="AB25" s="1028"/>
      <c r="AC25" s="1028">
        <f t="shared" si="5"/>
        <v>30</v>
      </c>
      <c r="AD25" s="1028">
        <f>AC25*(списки!$C$56-AA25)</f>
        <v>1128</v>
      </c>
      <c r="AE25" s="1029">
        <v>-26.3</v>
      </c>
      <c r="AF25" s="1029"/>
      <c r="AG25" s="1029">
        <v>31</v>
      </c>
      <c r="AH25" s="1029">
        <f>AG25*(списки!$C$56-AE25)</f>
        <v>1435.3</v>
      </c>
      <c r="AI25" s="1030">
        <v>-27.6</v>
      </c>
      <c r="AJ25" s="1030"/>
      <c r="AK25" s="1030">
        <v>31</v>
      </c>
      <c r="AL25" s="1030">
        <f>AK25*(списки!$C$56-AI25)</f>
        <v>1475.6000000000001</v>
      </c>
      <c r="AM25" s="1031">
        <v>-22</v>
      </c>
      <c r="AN25" s="1031"/>
      <c r="AO25" s="1031">
        <v>28</v>
      </c>
      <c r="AP25" s="1031">
        <f>AO25*(списки!$C$56-AM25)</f>
        <v>1176</v>
      </c>
      <c r="AQ25" s="1026">
        <v>-13</v>
      </c>
      <c r="AR25" s="1026"/>
      <c r="AS25" s="1026">
        <f t="shared" si="6"/>
        <v>31</v>
      </c>
      <c r="AT25" s="1026">
        <f>AS25*(списки!$C$56-AQ25)</f>
        <v>1023</v>
      </c>
      <c r="AU25" s="1032">
        <v>-1.2</v>
      </c>
      <c r="AV25" s="1032"/>
      <c r="AW25" s="1032">
        <f t="shared" si="7"/>
        <v>30</v>
      </c>
      <c r="AX25" s="1032">
        <f>AW25*(списки!$C$56-AU25)</f>
        <v>636</v>
      </c>
      <c r="AY25" s="1033">
        <v>7.5</v>
      </c>
      <c r="AZ25" s="1033"/>
      <c r="BA25" s="1033">
        <f t="shared" si="8"/>
        <v>16.5</v>
      </c>
      <c r="BB25" s="1033">
        <f>BA25*(списки!$C$56-AY25)</f>
        <v>206.25</v>
      </c>
      <c r="BC25" s="1034">
        <v>15</v>
      </c>
      <c r="BD25" s="1034"/>
      <c r="BE25" s="1034">
        <f t="shared" si="9"/>
        <v>0</v>
      </c>
      <c r="BF25" s="1035">
        <f>BE25*(списки!$C$56-BC25)</f>
        <v>0</v>
      </c>
      <c r="BG25" s="1424">
        <v>7745.6642857142851</v>
      </c>
      <c r="BH25" s="1424">
        <v>7212.4607142857194</v>
      </c>
    </row>
    <row r="26" spans="2:60" ht="15.75" customHeight="1" x14ac:dyDescent="0.25">
      <c r="B26" s="1036" t="s">
        <v>13</v>
      </c>
      <c r="C26" s="1038" t="s">
        <v>34</v>
      </c>
      <c r="D26" s="1015" t="str">
        <f t="shared" si="0"/>
        <v>Амурская областьЗавитинск</v>
      </c>
      <c r="E26" s="1016">
        <v>226</v>
      </c>
      <c r="F26" s="1017">
        <v>-11.8</v>
      </c>
      <c r="G26" s="1017">
        <v>-36</v>
      </c>
      <c r="H26" s="1019">
        <v>3.3</v>
      </c>
      <c r="I26" s="1020">
        <f>E26*(списки!$C$56-F26)</f>
        <v>7186.8</v>
      </c>
      <c r="J26" s="1021" t="str">
        <f t="shared" si="1"/>
        <v>7000-8000</v>
      </c>
      <c r="K26" s="1022">
        <v>20.3</v>
      </c>
      <c r="L26" s="1022"/>
      <c r="M26" s="1023">
        <f t="shared" si="2"/>
        <v>0</v>
      </c>
      <c r="N26" s="1024">
        <f>M26*(списки!$C$56-K26)</f>
        <v>0</v>
      </c>
      <c r="O26" s="1025">
        <v>18.100000000000001</v>
      </c>
      <c r="P26" s="1025"/>
      <c r="Q26" s="1025">
        <f t="shared" si="3"/>
        <v>0</v>
      </c>
      <c r="R26" s="1025">
        <f>Q26*(списки!$C$56-O26)</f>
        <v>0</v>
      </c>
      <c r="S26" s="1026">
        <v>11.3</v>
      </c>
      <c r="T26" s="1026"/>
      <c r="U26" s="1026">
        <f t="shared" si="10"/>
        <v>7</v>
      </c>
      <c r="V26" s="1026">
        <f>U26*(списки!$C$56-S26)</f>
        <v>60.899999999999991</v>
      </c>
      <c r="W26" s="1027">
        <v>1.1000000000000001</v>
      </c>
      <c r="X26" s="1027"/>
      <c r="Y26" s="1027">
        <f t="shared" si="4"/>
        <v>31</v>
      </c>
      <c r="Z26" s="1027">
        <f>Y26*(списки!$C$56-W26)</f>
        <v>585.9</v>
      </c>
      <c r="AA26" s="1028">
        <v>-13.4</v>
      </c>
      <c r="AB26" s="1028"/>
      <c r="AC26" s="1028">
        <f t="shared" si="5"/>
        <v>30</v>
      </c>
      <c r="AD26" s="1028">
        <f>AC26*(списки!$C$56-AA26)</f>
        <v>1002</v>
      </c>
      <c r="AE26" s="1029">
        <v>-24</v>
      </c>
      <c r="AF26" s="1029"/>
      <c r="AG26" s="1029">
        <v>31</v>
      </c>
      <c r="AH26" s="1029">
        <f>AG26*(списки!$C$56-AE26)</f>
        <v>1364</v>
      </c>
      <c r="AI26" s="1030">
        <v>-26.9</v>
      </c>
      <c r="AJ26" s="1030"/>
      <c r="AK26" s="1030">
        <v>31</v>
      </c>
      <c r="AL26" s="1030">
        <f>AK26*(списки!$C$56-AI26)</f>
        <v>1453.8999999999999</v>
      </c>
      <c r="AM26" s="1031">
        <v>-20.9</v>
      </c>
      <c r="AN26" s="1031"/>
      <c r="AO26" s="1031">
        <v>28</v>
      </c>
      <c r="AP26" s="1031">
        <f>AO26*(списки!$C$56-AM26)</f>
        <v>1145.2</v>
      </c>
      <c r="AQ26" s="1026">
        <v>-11.6</v>
      </c>
      <c r="AR26" s="1026"/>
      <c r="AS26" s="1026">
        <f t="shared" si="6"/>
        <v>31</v>
      </c>
      <c r="AT26" s="1026">
        <f>AS26*(списки!$C$56-AQ26)</f>
        <v>979.6</v>
      </c>
      <c r="AU26" s="1032">
        <v>1.3</v>
      </c>
      <c r="AV26" s="1032"/>
      <c r="AW26" s="1032">
        <f t="shared" si="7"/>
        <v>30</v>
      </c>
      <c r="AX26" s="1032">
        <f>AW26*(списки!$C$56-AU26)</f>
        <v>561</v>
      </c>
      <c r="AY26" s="1033">
        <v>9.6999999999999993</v>
      </c>
      <c r="AZ26" s="1033"/>
      <c r="BA26" s="1033">
        <f t="shared" si="8"/>
        <v>7</v>
      </c>
      <c r="BB26" s="1033">
        <f>BA26*(списки!$C$56-AY26)</f>
        <v>72.100000000000009</v>
      </c>
      <c r="BC26" s="1034">
        <v>16.7</v>
      </c>
      <c r="BD26" s="1034"/>
      <c r="BE26" s="1034">
        <f t="shared" si="9"/>
        <v>0</v>
      </c>
      <c r="BF26" s="1035">
        <f>BE26*(списки!$C$56-BC26)</f>
        <v>0</v>
      </c>
      <c r="BG26" s="1424">
        <v>6789.6196428571448</v>
      </c>
      <c r="BH26" s="1424">
        <v>6496.0285714285683</v>
      </c>
    </row>
    <row r="27" spans="2:60" ht="15.75" customHeight="1" x14ac:dyDescent="0.25">
      <c r="B27" s="1013" t="s">
        <v>13</v>
      </c>
      <c r="C27" s="1014" t="s">
        <v>35</v>
      </c>
      <c r="D27" s="1015" t="str">
        <f t="shared" si="0"/>
        <v>Амурская областьЗея</v>
      </c>
      <c r="E27" s="1016">
        <v>238</v>
      </c>
      <c r="F27" s="1017">
        <v>-13.8</v>
      </c>
      <c r="G27" s="1017">
        <v>-42</v>
      </c>
      <c r="H27" s="1019">
        <v>3.5</v>
      </c>
      <c r="I27" s="1020">
        <f>E27*(списки!$C$56-F27)</f>
        <v>8044.4</v>
      </c>
      <c r="J27" s="1021" t="str">
        <f t="shared" si="1"/>
        <v>8000-9000</v>
      </c>
      <c r="K27" s="1022">
        <v>18.600000000000001</v>
      </c>
      <c r="L27" s="1022"/>
      <c r="M27" s="1023">
        <f t="shared" si="2"/>
        <v>0</v>
      </c>
      <c r="N27" s="1024">
        <f>M27*(списки!$C$56-K27)</f>
        <v>0</v>
      </c>
      <c r="O27" s="1025">
        <v>15.7</v>
      </c>
      <c r="P27" s="1025"/>
      <c r="Q27" s="1025">
        <f t="shared" si="3"/>
        <v>0</v>
      </c>
      <c r="R27" s="1025">
        <f>Q27*(списки!$C$56-O27)</f>
        <v>0</v>
      </c>
      <c r="S27" s="1026">
        <v>9</v>
      </c>
      <c r="T27" s="1026"/>
      <c r="U27" s="1026">
        <f t="shared" si="10"/>
        <v>13</v>
      </c>
      <c r="V27" s="1026">
        <f>U27*(списки!$C$56-S27)</f>
        <v>143</v>
      </c>
      <c r="W27" s="1027">
        <v>-2.4</v>
      </c>
      <c r="X27" s="1027"/>
      <c r="Y27" s="1027">
        <f t="shared" si="4"/>
        <v>31</v>
      </c>
      <c r="Z27" s="1027">
        <f>Y27*(списки!$C$56-W27)</f>
        <v>694.4</v>
      </c>
      <c r="AA27" s="1028">
        <v>-17.8</v>
      </c>
      <c r="AB27" s="1028"/>
      <c r="AC27" s="1028">
        <f t="shared" si="5"/>
        <v>30</v>
      </c>
      <c r="AD27" s="1028">
        <f>AC27*(списки!$C$56-AA27)</f>
        <v>1134</v>
      </c>
      <c r="AE27" s="1029">
        <v>-28</v>
      </c>
      <c r="AF27" s="1029"/>
      <c r="AG27" s="1029">
        <v>31</v>
      </c>
      <c r="AH27" s="1029">
        <f>AG27*(списки!$C$56-AE27)</f>
        <v>1488</v>
      </c>
      <c r="AI27" s="1030">
        <v>-30.1</v>
      </c>
      <c r="AJ27" s="1030"/>
      <c r="AK27" s="1030">
        <v>31</v>
      </c>
      <c r="AL27" s="1030">
        <f>AK27*(списки!$C$56-AI27)</f>
        <v>1553.1000000000001</v>
      </c>
      <c r="AM27" s="1031">
        <v>-23.8</v>
      </c>
      <c r="AN27" s="1031"/>
      <c r="AO27" s="1031">
        <v>28</v>
      </c>
      <c r="AP27" s="1031">
        <f>AO27*(списки!$C$56-AM27)</f>
        <v>1226.3999999999999</v>
      </c>
      <c r="AQ27" s="1026">
        <v>-13.6</v>
      </c>
      <c r="AR27" s="1026"/>
      <c r="AS27" s="1026">
        <f t="shared" si="6"/>
        <v>31</v>
      </c>
      <c r="AT27" s="1026">
        <f>AS27*(списки!$C$56-AQ27)</f>
        <v>1041.6000000000001</v>
      </c>
      <c r="AU27" s="1032">
        <v>-0.6</v>
      </c>
      <c r="AV27" s="1032"/>
      <c r="AW27" s="1032">
        <f t="shared" si="7"/>
        <v>30</v>
      </c>
      <c r="AX27" s="1032">
        <f>AW27*(списки!$C$56-AU27)</f>
        <v>618</v>
      </c>
      <c r="AY27" s="1033">
        <v>8.4</v>
      </c>
      <c r="AZ27" s="1033"/>
      <c r="BA27" s="1033">
        <f t="shared" si="8"/>
        <v>13</v>
      </c>
      <c r="BB27" s="1033">
        <f>BA27*(списки!$C$56-AY27)</f>
        <v>150.79999999999998</v>
      </c>
      <c r="BC27" s="1034">
        <v>15.3</v>
      </c>
      <c r="BD27" s="1034"/>
      <c r="BE27" s="1034">
        <f t="shared" si="9"/>
        <v>0</v>
      </c>
      <c r="BF27" s="1035">
        <f>BE27*(списки!$C$56-BC27)</f>
        <v>0</v>
      </c>
      <c r="BG27" s="1424">
        <v>7415.4803571428556</v>
      </c>
      <c r="BH27" s="1424">
        <v>6666.087499999996</v>
      </c>
    </row>
    <row r="28" spans="2:60" ht="15.75" customHeight="1" x14ac:dyDescent="0.25">
      <c r="B28" s="1036" t="s">
        <v>13</v>
      </c>
      <c r="C28" s="1038" t="s">
        <v>634</v>
      </c>
      <c r="D28" s="1015" t="str">
        <f t="shared" si="0"/>
        <v>Амурская областьНорский Склад</v>
      </c>
      <c r="E28" s="1016">
        <v>232</v>
      </c>
      <c r="F28" s="1017">
        <v>-14.3</v>
      </c>
      <c r="G28" s="1017">
        <v>-43</v>
      </c>
      <c r="H28" s="1019">
        <v>2.1</v>
      </c>
      <c r="I28" s="1020">
        <f>E28*(списки!$C$56-F28)</f>
        <v>7957.5999999999995</v>
      </c>
      <c r="J28" s="1021" t="str">
        <f t="shared" si="1"/>
        <v>7000-8000</v>
      </c>
      <c r="K28" s="1022">
        <v>19.3</v>
      </c>
      <c r="L28" s="1022"/>
      <c r="M28" s="1023">
        <f t="shared" si="2"/>
        <v>0</v>
      </c>
      <c r="N28" s="1024">
        <f>M28*(списки!$C$56-K28)</f>
        <v>0</v>
      </c>
      <c r="O28" s="1025">
        <v>17</v>
      </c>
      <c r="P28" s="1025"/>
      <c r="Q28" s="1025">
        <f t="shared" si="3"/>
        <v>0</v>
      </c>
      <c r="R28" s="1025">
        <f>Q28*(списки!$C$56-O28)</f>
        <v>0</v>
      </c>
      <c r="S28" s="1026">
        <v>9.9</v>
      </c>
      <c r="T28" s="1026"/>
      <c r="U28" s="1026">
        <f t="shared" si="10"/>
        <v>10</v>
      </c>
      <c r="V28" s="1026">
        <f>U28*(списки!$C$56-S28)</f>
        <v>101</v>
      </c>
      <c r="W28" s="1027">
        <v>-0.3</v>
      </c>
      <c r="X28" s="1027"/>
      <c r="Y28" s="1027">
        <f t="shared" si="4"/>
        <v>31</v>
      </c>
      <c r="Z28" s="1027">
        <f>Y28*(списки!$C$56-W28)</f>
        <v>629.30000000000007</v>
      </c>
      <c r="AA28" s="1028">
        <v>-16.8</v>
      </c>
      <c r="AB28" s="1028"/>
      <c r="AC28" s="1028">
        <f t="shared" si="5"/>
        <v>30</v>
      </c>
      <c r="AD28" s="1028">
        <f>AC28*(списки!$C$56-AA28)</f>
        <v>1104</v>
      </c>
      <c r="AE28" s="1029">
        <v>-29</v>
      </c>
      <c r="AF28" s="1029"/>
      <c r="AG28" s="1029">
        <v>31</v>
      </c>
      <c r="AH28" s="1029">
        <f>AG28*(списки!$C$56-AE28)</f>
        <v>1519</v>
      </c>
      <c r="AI28" s="1030">
        <v>-31.8</v>
      </c>
      <c r="AJ28" s="1030"/>
      <c r="AK28" s="1030">
        <v>31</v>
      </c>
      <c r="AL28" s="1030">
        <f>AK28*(списки!$C$56-AI28)</f>
        <v>1605.8</v>
      </c>
      <c r="AM28" s="1031">
        <v>-25.1</v>
      </c>
      <c r="AN28" s="1031"/>
      <c r="AO28" s="1031">
        <v>28</v>
      </c>
      <c r="AP28" s="1031">
        <f>AO28*(списки!$C$56-AM28)</f>
        <v>1262.8</v>
      </c>
      <c r="AQ28" s="1026">
        <v>-13.3</v>
      </c>
      <c r="AR28" s="1026"/>
      <c r="AS28" s="1026">
        <f t="shared" si="6"/>
        <v>31</v>
      </c>
      <c r="AT28" s="1026">
        <f>AS28*(списки!$C$56-AQ28)</f>
        <v>1032.3</v>
      </c>
      <c r="AU28" s="1032">
        <v>0.2</v>
      </c>
      <c r="AV28" s="1032"/>
      <c r="AW28" s="1032">
        <f t="shared" si="7"/>
        <v>30</v>
      </c>
      <c r="AX28" s="1032">
        <f>AW28*(списки!$C$56-AU28)</f>
        <v>594</v>
      </c>
      <c r="AY28" s="1033">
        <v>9.4</v>
      </c>
      <c r="AZ28" s="1033"/>
      <c r="BA28" s="1033">
        <f t="shared" si="8"/>
        <v>10</v>
      </c>
      <c r="BB28" s="1033">
        <f>BA28*(списки!$C$56-AY28)</f>
        <v>106</v>
      </c>
      <c r="BC28" s="1034">
        <v>16</v>
      </c>
      <c r="BD28" s="1034"/>
      <c r="BE28" s="1034">
        <f t="shared" si="9"/>
        <v>0</v>
      </c>
      <c r="BF28" s="1035">
        <f>BE28*(списки!$C$56-BC28)</f>
        <v>0</v>
      </c>
      <c r="BG28" s="1424">
        <v>7719.5196428571453</v>
      </c>
      <c r="BH28" s="1424">
        <v>7073.0458333333327</v>
      </c>
    </row>
    <row r="29" spans="2:60" ht="15.75" customHeight="1" x14ac:dyDescent="0.25">
      <c r="B29" s="1013" t="s">
        <v>13</v>
      </c>
      <c r="C29" s="1014" t="s">
        <v>24</v>
      </c>
      <c r="D29" s="1015" t="str">
        <f t="shared" si="0"/>
        <v>Амурская областьОгорон</v>
      </c>
      <c r="E29" s="1016">
        <v>247</v>
      </c>
      <c r="F29" s="1017">
        <v>-13.3</v>
      </c>
      <c r="G29" s="1017">
        <v>-40</v>
      </c>
      <c r="H29" s="1019">
        <v>3.2</v>
      </c>
      <c r="I29" s="1020">
        <f>E29*(списки!$C$56-F29)</f>
        <v>8225.0999999999985</v>
      </c>
      <c r="J29" s="1021" t="str">
        <f t="shared" si="1"/>
        <v>8000-9000</v>
      </c>
      <c r="K29" s="1022">
        <v>17.100000000000001</v>
      </c>
      <c r="L29" s="1022"/>
      <c r="M29" s="1023">
        <f t="shared" si="2"/>
        <v>0</v>
      </c>
      <c r="N29" s="1024">
        <f>M29*(списки!$C$56-K29)</f>
        <v>0</v>
      </c>
      <c r="O29" s="1025">
        <v>14.5</v>
      </c>
      <c r="P29" s="1025"/>
      <c r="Q29" s="1025">
        <f t="shared" si="3"/>
        <v>0</v>
      </c>
      <c r="R29" s="1025">
        <f>Q29*(списки!$C$56-O29)</f>
        <v>0</v>
      </c>
      <c r="S29" s="1026">
        <v>8</v>
      </c>
      <c r="T29" s="1026"/>
      <c r="U29" s="1026">
        <f t="shared" si="10"/>
        <v>17.5</v>
      </c>
      <c r="V29" s="1026">
        <f>U29*(списки!$C$56-S29)</f>
        <v>210</v>
      </c>
      <c r="W29" s="1027">
        <v>-3.3</v>
      </c>
      <c r="X29" s="1027"/>
      <c r="Y29" s="1027">
        <f t="shared" si="4"/>
        <v>31</v>
      </c>
      <c r="Z29" s="1027">
        <f>Y29*(списки!$C$56-W29)</f>
        <v>722.30000000000007</v>
      </c>
      <c r="AA29" s="1028">
        <v>-18</v>
      </c>
      <c r="AB29" s="1028"/>
      <c r="AC29" s="1028">
        <f t="shared" si="5"/>
        <v>30</v>
      </c>
      <c r="AD29" s="1028">
        <f>AC29*(списки!$C$56-AA29)</f>
        <v>1140</v>
      </c>
      <c r="AE29" s="1029">
        <v>-27.3</v>
      </c>
      <c r="AF29" s="1029"/>
      <c r="AG29" s="1029">
        <v>31</v>
      </c>
      <c r="AH29" s="1029">
        <f>AG29*(списки!$C$56-AE29)</f>
        <v>1466.3</v>
      </c>
      <c r="AI29" s="1030">
        <v>-29.3</v>
      </c>
      <c r="AJ29" s="1030"/>
      <c r="AK29" s="1030">
        <v>31</v>
      </c>
      <c r="AL29" s="1030">
        <f>AK29*(списки!$C$56-AI29)</f>
        <v>1528.3</v>
      </c>
      <c r="AM29" s="1031">
        <v>-23.1</v>
      </c>
      <c r="AN29" s="1031"/>
      <c r="AO29" s="1031">
        <v>28</v>
      </c>
      <c r="AP29" s="1031">
        <f>AO29*(списки!$C$56-AM29)</f>
        <v>1206.8</v>
      </c>
      <c r="AQ29" s="1026">
        <v>-13.9</v>
      </c>
      <c r="AR29" s="1026"/>
      <c r="AS29" s="1026">
        <f t="shared" si="6"/>
        <v>31</v>
      </c>
      <c r="AT29" s="1026">
        <f>AS29*(списки!$C$56-AQ29)</f>
        <v>1050.8999999999999</v>
      </c>
      <c r="AU29" s="1032">
        <v>2.2999999999999998</v>
      </c>
      <c r="AV29" s="1032"/>
      <c r="AW29" s="1032">
        <f t="shared" si="7"/>
        <v>30</v>
      </c>
      <c r="AX29" s="1032">
        <f>AW29*(списки!$C$56-AU29)</f>
        <v>531</v>
      </c>
      <c r="AY29" s="1033">
        <v>7</v>
      </c>
      <c r="AZ29" s="1033"/>
      <c r="BA29" s="1033">
        <f t="shared" si="8"/>
        <v>17.5</v>
      </c>
      <c r="BB29" s="1033">
        <f>BA29*(списки!$C$56-AY29)</f>
        <v>227.5</v>
      </c>
      <c r="BC29" s="1034">
        <v>13.8</v>
      </c>
      <c r="BD29" s="1034"/>
      <c r="BE29" s="1034">
        <f t="shared" si="9"/>
        <v>0</v>
      </c>
      <c r="BF29" s="1035">
        <f>BE29*(списки!$C$56-BC29)</f>
        <v>0</v>
      </c>
      <c r="BG29" s="1424" t="e">
        <v>#N/A</v>
      </c>
      <c r="BH29" s="1424" t="e">
        <v>#N/A</v>
      </c>
    </row>
    <row r="30" spans="2:60" ht="15.75" customHeight="1" x14ac:dyDescent="0.25">
      <c r="B30" s="1036" t="s">
        <v>13</v>
      </c>
      <c r="C30" s="1038" t="s">
        <v>25</v>
      </c>
      <c r="D30" s="1015" t="str">
        <f t="shared" si="0"/>
        <v>Амурская областьПоярково</v>
      </c>
      <c r="E30" s="1016">
        <v>222</v>
      </c>
      <c r="F30" s="1017">
        <v>-11.9</v>
      </c>
      <c r="G30" s="1017">
        <v>-37</v>
      </c>
      <c r="H30" s="1019">
        <v>3.4</v>
      </c>
      <c r="I30" s="1020">
        <f>E30*(списки!$C$56-F30)</f>
        <v>7081.7999999999993</v>
      </c>
      <c r="J30" s="1021" t="str">
        <f t="shared" si="1"/>
        <v>7000-8000</v>
      </c>
      <c r="K30" s="1022">
        <v>20.9</v>
      </c>
      <c r="L30" s="1022"/>
      <c r="M30" s="1023">
        <f t="shared" si="2"/>
        <v>0</v>
      </c>
      <c r="N30" s="1024">
        <f>M30*(списки!$C$56-K30)</f>
        <v>0</v>
      </c>
      <c r="O30" s="1025">
        <v>18.8</v>
      </c>
      <c r="P30" s="1025"/>
      <c r="Q30" s="1025">
        <f t="shared" si="3"/>
        <v>0</v>
      </c>
      <c r="R30" s="1025">
        <f>Q30*(списки!$C$56-O30)</f>
        <v>0</v>
      </c>
      <c r="S30" s="1026">
        <v>11.9</v>
      </c>
      <c r="T30" s="1026"/>
      <c r="U30" s="1026">
        <f t="shared" si="10"/>
        <v>5</v>
      </c>
      <c r="V30" s="1026">
        <f>U30*(списки!$C$56-S30)</f>
        <v>40.5</v>
      </c>
      <c r="W30" s="1027">
        <v>1.8</v>
      </c>
      <c r="X30" s="1027"/>
      <c r="Y30" s="1027">
        <f t="shared" si="4"/>
        <v>31</v>
      </c>
      <c r="Z30" s="1027">
        <f>Y30*(списки!$C$56-W30)</f>
        <v>564.19999999999993</v>
      </c>
      <c r="AA30" s="1028">
        <v>-12.4</v>
      </c>
      <c r="AB30" s="1028"/>
      <c r="AC30" s="1028">
        <f t="shared" si="5"/>
        <v>30</v>
      </c>
      <c r="AD30" s="1028">
        <f>AC30*(списки!$C$56-AA30)</f>
        <v>972</v>
      </c>
      <c r="AE30" s="1029">
        <v>-23.7</v>
      </c>
      <c r="AF30" s="1029"/>
      <c r="AG30" s="1029">
        <v>31</v>
      </c>
      <c r="AH30" s="1029">
        <f>AG30*(списки!$C$56-AE30)</f>
        <v>1354.7</v>
      </c>
      <c r="AI30" s="1030">
        <v>-26.9</v>
      </c>
      <c r="AJ30" s="1030"/>
      <c r="AK30" s="1030">
        <v>31</v>
      </c>
      <c r="AL30" s="1030">
        <f>AK30*(списки!$C$56-AI30)</f>
        <v>1453.8999999999999</v>
      </c>
      <c r="AM30" s="1031">
        <v>-21.6</v>
      </c>
      <c r="AN30" s="1031"/>
      <c r="AO30" s="1031">
        <v>28</v>
      </c>
      <c r="AP30" s="1031">
        <f>AO30*(списки!$C$56-AM30)</f>
        <v>1164.8</v>
      </c>
      <c r="AQ30" s="1026">
        <v>-11.5</v>
      </c>
      <c r="AR30" s="1026"/>
      <c r="AS30" s="1026">
        <f t="shared" si="6"/>
        <v>31</v>
      </c>
      <c r="AT30" s="1026">
        <f>AS30*(списки!$C$56-AQ30)</f>
        <v>976.5</v>
      </c>
      <c r="AU30" s="1032">
        <v>2.1</v>
      </c>
      <c r="AV30" s="1032"/>
      <c r="AW30" s="1032">
        <f t="shared" si="7"/>
        <v>30</v>
      </c>
      <c r="AX30" s="1032">
        <f>AW30*(списки!$C$56-AU30)</f>
        <v>537</v>
      </c>
      <c r="AY30" s="1033">
        <v>10.4</v>
      </c>
      <c r="AZ30" s="1033"/>
      <c r="BA30" s="1033">
        <f t="shared" si="8"/>
        <v>5</v>
      </c>
      <c r="BB30" s="1033">
        <f>BA30*(списки!$C$56-AY30)</f>
        <v>48</v>
      </c>
      <c r="BC30" s="1034">
        <v>17.100000000000001</v>
      </c>
      <c r="BD30" s="1034"/>
      <c r="BE30" s="1034">
        <f t="shared" si="9"/>
        <v>0</v>
      </c>
      <c r="BF30" s="1035">
        <f>BE30*(списки!$C$56-BC30)</f>
        <v>0</v>
      </c>
      <c r="BG30" s="1424">
        <v>6735.5874999999969</v>
      </c>
      <c r="BH30" s="1424">
        <v>6326.95</v>
      </c>
    </row>
    <row r="31" spans="2:60" ht="15.75" customHeight="1" x14ac:dyDescent="0.25">
      <c r="B31" s="1013" t="s">
        <v>13</v>
      </c>
      <c r="C31" s="1014" t="s">
        <v>29</v>
      </c>
      <c r="D31" s="1015" t="str">
        <f t="shared" si="0"/>
        <v>Амурская областьСвободный</v>
      </c>
      <c r="E31" s="1016">
        <v>229</v>
      </c>
      <c r="F31" s="1017">
        <v>-12.4</v>
      </c>
      <c r="G31" s="1017">
        <v>-39</v>
      </c>
      <c r="H31" s="1019">
        <f>H30</f>
        <v>3.4</v>
      </c>
      <c r="I31" s="1020">
        <f>E31*(списки!$C$56-F31)</f>
        <v>7419.5999999999995</v>
      </c>
      <c r="J31" s="1021" t="str">
        <f t="shared" si="1"/>
        <v>7000-8000</v>
      </c>
      <c r="K31" s="1022">
        <v>20.2</v>
      </c>
      <c r="L31" s="1022"/>
      <c r="M31" s="1023">
        <f t="shared" si="2"/>
        <v>0</v>
      </c>
      <c r="N31" s="1024">
        <f>M31*(списки!$C$56-K31)</f>
        <v>0</v>
      </c>
      <c r="O31" s="1025">
        <v>17.7</v>
      </c>
      <c r="P31" s="1025"/>
      <c r="Q31" s="1025">
        <f t="shared" si="3"/>
        <v>0</v>
      </c>
      <c r="R31" s="1025">
        <f>Q31*(списки!$C$56-O31)</f>
        <v>0</v>
      </c>
      <c r="S31" s="1026">
        <v>10.6</v>
      </c>
      <c r="T31" s="1026"/>
      <c r="U31" s="1026">
        <f t="shared" si="10"/>
        <v>8.5</v>
      </c>
      <c r="V31" s="1026">
        <f>U31*(списки!$C$56-S31)</f>
        <v>79.900000000000006</v>
      </c>
      <c r="W31" s="1027">
        <v>0</v>
      </c>
      <c r="X31" s="1027"/>
      <c r="Y31" s="1027">
        <f t="shared" si="4"/>
        <v>31</v>
      </c>
      <c r="Z31" s="1027">
        <f>Y31*(списки!$C$56-W31)</f>
        <v>620</v>
      </c>
      <c r="AA31" s="1028">
        <v>-14.9</v>
      </c>
      <c r="AB31" s="1028"/>
      <c r="AC31" s="1028">
        <f t="shared" si="5"/>
        <v>30</v>
      </c>
      <c r="AD31" s="1028">
        <f>AC31*(списки!$C$56-AA31)</f>
        <v>1047</v>
      </c>
      <c r="AE31" s="1029">
        <v>-25.4</v>
      </c>
      <c r="AF31" s="1029"/>
      <c r="AG31" s="1029">
        <v>31</v>
      </c>
      <c r="AH31" s="1029">
        <f>AG31*(списки!$C$56-AE31)</f>
        <v>1407.3999999999999</v>
      </c>
      <c r="AI31" s="1030">
        <v>-27.7</v>
      </c>
      <c r="AJ31" s="1030"/>
      <c r="AK31" s="1030">
        <v>31</v>
      </c>
      <c r="AL31" s="1030">
        <f>AK31*(списки!$C$56-AI31)</f>
        <v>1478.7</v>
      </c>
      <c r="AM31" s="1031">
        <v>-21.6</v>
      </c>
      <c r="AN31" s="1031"/>
      <c r="AO31" s="1031">
        <v>28</v>
      </c>
      <c r="AP31" s="1031">
        <f>AO31*(списки!$C$56-AM31)</f>
        <v>1164.8</v>
      </c>
      <c r="AQ31" s="1026">
        <v>-12.1</v>
      </c>
      <c r="AR31" s="1026"/>
      <c r="AS31" s="1026">
        <f t="shared" si="6"/>
        <v>31</v>
      </c>
      <c r="AT31" s="1026">
        <f>AS31*(списки!$C$56-AQ31)</f>
        <v>995.1</v>
      </c>
      <c r="AU31" s="1032">
        <v>1</v>
      </c>
      <c r="AV31" s="1032"/>
      <c r="AW31" s="1032">
        <f t="shared" si="7"/>
        <v>30</v>
      </c>
      <c r="AX31" s="1032">
        <f>AW31*(списки!$C$56-AU31)</f>
        <v>570</v>
      </c>
      <c r="AY31" s="1033">
        <v>9.6</v>
      </c>
      <c r="AZ31" s="1033"/>
      <c r="BA31" s="1033">
        <f t="shared" si="8"/>
        <v>8.5</v>
      </c>
      <c r="BB31" s="1033">
        <f>BA31*(списки!$C$56-AY31)</f>
        <v>88.4</v>
      </c>
      <c r="BC31" s="1034">
        <v>16.600000000000001</v>
      </c>
      <c r="BD31" s="1034"/>
      <c r="BE31" s="1034">
        <f t="shared" si="9"/>
        <v>0</v>
      </c>
      <c r="BF31" s="1035">
        <f>BE31*(списки!$C$56-BC31)</f>
        <v>0</v>
      </c>
      <c r="BG31" s="1424">
        <v>7067.1119047619077</v>
      </c>
      <c r="BH31" s="1424">
        <v>6579.5696428571473</v>
      </c>
    </row>
    <row r="32" spans="2:60" ht="15.75" customHeight="1" x14ac:dyDescent="0.25">
      <c r="B32" s="1036" t="s">
        <v>13</v>
      </c>
      <c r="C32" s="1038" t="s">
        <v>27</v>
      </c>
      <c r="D32" s="1015" t="str">
        <f t="shared" si="0"/>
        <v>Амурская областьСковородино</v>
      </c>
      <c r="E32" s="1016">
        <v>245</v>
      </c>
      <c r="F32" s="1017">
        <v>-13.7</v>
      </c>
      <c r="G32" s="1017">
        <v>-38</v>
      </c>
      <c r="H32" s="1019">
        <v>2.8</v>
      </c>
      <c r="I32" s="1020">
        <f>E32*(списки!$C$56-F32)</f>
        <v>8256.5</v>
      </c>
      <c r="J32" s="1021" t="str">
        <f t="shared" si="1"/>
        <v>8000-9000</v>
      </c>
      <c r="K32" s="1022">
        <v>17.8</v>
      </c>
      <c r="L32" s="1022"/>
      <c r="M32" s="1023">
        <f t="shared" si="2"/>
        <v>0</v>
      </c>
      <c r="N32" s="1024">
        <f>M32*(списки!$C$56-K32)</f>
        <v>0</v>
      </c>
      <c r="O32" s="1025">
        <v>14.7</v>
      </c>
      <c r="P32" s="1025"/>
      <c r="Q32" s="1025">
        <f t="shared" si="3"/>
        <v>0</v>
      </c>
      <c r="R32" s="1025">
        <f>Q32*(списки!$C$56-O32)</f>
        <v>0</v>
      </c>
      <c r="S32" s="1026">
        <v>7.2</v>
      </c>
      <c r="T32" s="1026"/>
      <c r="U32" s="1026">
        <f t="shared" si="10"/>
        <v>16.5</v>
      </c>
      <c r="V32" s="1026">
        <f>U32*(списки!$C$56-S32)</f>
        <v>211.20000000000002</v>
      </c>
      <c r="W32" s="1027">
        <v>-3.6</v>
      </c>
      <c r="X32" s="1027"/>
      <c r="Y32" s="1027">
        <f t="shared" si="4"/>
        <v>31</v>
      </c>
      <c r="Z32" s="1027">
        <f>Y32*(списки!$C$56-W32)</f>
        <v>731.6</v>
      </c>
      <c r="AA32" s="1028">
        <v>-18.7</v>
      </c>
      <c r="AB32" s="1028"/>
      <c r="AC32" s="1028">
        <f t="shared" si="5"/>
        <v>30</v>
      </c>
      <c r="AD32" s="1028">
        <f>AC32*(списки!$C$56-AA32)</f>
        <v>1161</v>
      </c>
      <c r="AE32" s="1029">
        <v>-27.1</v>
      </c>
      <c r="AF32" s="1029"/>
      <c r="AG32" s="1029">
        <v>31</v>
      </c>
      <c r="AH32" s="1029">
        <f>AG32*(списки!$C$56-AE32)</f>
        <v>1460.1000000000001</v>
      </c>
      <c r="AI32" s="1030">
        <v>-27.6</v>
      </c>
      <c r="AJ32" s="1030"/>
      <c r="AK32" s="1030">
        <v>31</v>
      </c>
      <c r="AL32" s="1030">
        <f>AK32*(списки!$C$56-AI32)</f>
        <v>1475.6000000000001</v>
      </c>
      <c r="AM32" s="1031">
        <v>-23.3</v>
      </c>
      <c r="AN32" s="1031"/>
      <c r="AO32" s="1031">
        <v>28</v>
      </c>
      <c r="AP32" s="1031">
        <f>AO32*(списки!$C$56-AM32)</f>
        <v>1212.3999999999999</v>
      </c>
      <c r="AQ32" s="1026">
        <v>-13.3</v>
      </c>
      <c r="AR32" s="1026"/>
      <c r="AS32" s="1026">
        <f t="shared" si="6"/>
        <v>31</v>
      </c>
      <c r="AT32" s="1026">
        <f>AS32*(списки!$C$56-AQ32)</f>
        <v>1032.3</v>
      </c>
      <c r="AU32" s="1032">
        <v>-0.6</v>
      </c>
      <c r="AV32" s="1032"/>
      <c r="AW32" s="1032">
        <f t="shared" si="7"/>
        <v>30</v>
      </c>
      <c r="AX32" s="1032">
        <f>AW32*(списки!$C$56-AU32)</f>
        <v>618</v>
      </c>
      <c r="AY32" s="1033">
        <v>8.4</v>
      </c>
      <c r="AZ32" s="1033"/>
      <c r="BA32" s="1033">
        <f t="shared" si="8"/>
        <v>16.5</v>
      </c>
      <c r="BB32" s="1033">
        <f>BA32*(списки!$C$56-AY32)</f>
        <v>191.4</v>
      </c>
      <c r="BC32" s="1034">
        <v>15.1</v>
      </c>
      <c r="BD32" s="1034"/>
      <c r="BE32" s="1034">
        <f t="shared" si="9"/>
        <v>0</v>
      </c>
      <c r="BF32" s="1035">
        <f>BE32*(списки!$C$56-BC32)</f>
        <v>0</v>
      </c>
      <c r="BG32" s="1424" t="e">
        <v>#N/A</v>
      </c>
      <c r="BH32" s="1424" t="e">
        <v>#N/A</v>
      </c>
    </row>
    <row r="33" spans="2:60" ht="15.75" customHeight="1" x14ac:dyDescent="0.25">
      <c r="B33" s="1013" t="s">
        <v>13</v>
      </c>
      <c r="C33" s="1014" t="s">
        <v>28</v>
      </c>
      <c r="D33" s="1015" t="str">
        <f t="shared" si="0"/>
        <v>Амурская областьСредняя Нюкжа</v>
      </c>
      <c r="E33" s="1016">
        <v>262</v>
      </c>
      <c r="F33" s="1017">
        <v>-16.100000000000001</v>
      </c>
      <c r="G33" s="1017">
        <v>-45</v>
      </c>
      <c r="H33" s="1019">
        <f>H32</f>
        <v>2.8</v>
      </c>
      <c r="I33" s="1020">
        <f>E33*(списки!$C$56-F33)</f>
        <v>9458.2000000000007</v>
      </c>
      <c r="J33" s="1021" t="str">
        <f t="shared" si="1"/>
        <v>9000-10000</v>
      </c>
      <c r="K33" s="1022">
        <v>16.8</v>
      </c>
      <c r="L33" s="1022"/>
      <c r="M33" s="1023">
        <f t="shared" si="2"/>
        <v>0</v>
      </c>
      <c r="N33" s="1024">
        <f>M33*(списки!$C$56-K33)</f>
        <v>0</v>
      </c>
      <c r="O33" s="1025">
        <v>13.4</v>
      </c>
      <c r="P33" s="1025"/>
      <c r="Q33" s="1025">
        <f t="shared" si="3"/>
        <v>0</v>
      </c>
      <c r="R33" s="1025">
        <f>Q33*(списки!$C$56-O33)</f>
        <v>0</v>
      </c>
      <c r="S33" s="1026">
        <v>5.7</v>
      </c>
      <c r="T33" s="1026"/>
      <c r="U33" s="1026">
        <f t="shared" si="10"/>
        <v>25</v>
      </c>
      <c r="V33" s="1026">
        <f>U33*(списки!$C$56-S33)</f>
        <v>357.5</v>
      </c>
      <c r="W33" s="1027">
        <v>-6.6</v>
      </c>
      <c r="X33" s="1027"/>
      <c r="Y33" s="1027">
        <f t="shared" si="4"/>
        <v>31</v>
      </c>
      <c r="Z33" s="1027">
        <f>Y33*(списки!$C$56-W33)</f>
        <v>824.6</v>
      </c>
      <c r="AA33" s="1028">
        <v>-22.9</v>
      </c>
      <c r="AB33" s="1028"/>
      <c r="AC33" s="1028">
        <f t="shared" si="5"/>
        <v>30</v>
      </c>
      <c r="AD33" s="1028">
        <f>AC33*(списки!$C$56-AA33)</f>
        <v>1287</v>
      </c>
      <c r="AE33" s="1029">
        <v>-32.9</v>
      </c>
      <c r="AF33" s="1029"/>
      <c r="AG33" s="1029">
        <v>31</v>
      </c>
      <c r="AH33" s="1029">
        <f>AG33*(списки!$C$56-AE33)</f>
        <v>1639.8999999999999</v>
      </c>
      <c r="AI33" s="1030">
        <v>-34.700000000000003</v>
      </c>
      <c r="AJ33" s="1030"/>
      <c r="AK33" s="1030">
        <v>31</v>
      </c>
      <c r="AL33" s="1030">
        <f>AK33*(списки!$C$56-AI33)</f>
        <v>1695.7</v>
      </c>
      <c r="AM33" s="1031">
        <v>-28.9</v>
      </c>
      <c r="AN33" s="1031"/>
      <c r="AO33" s="1031">
        <v>28</v>
      </c>
      <c r="AP33" s="1031">
        <f>AO33*(списки!$C$56-AM33)</f>
        <v>1369.2</v>
      </c>
      <c r="AQ33" s="1026">
        <v>-18.399999999999999</v>
      </c>
      <c r="AR33" s="1026"/>
      <c r="AS33" s="1026">
        <f t="shared" si="6"/>
        <v>31</v>
      </c>
      <c r="AT33" s="1026">
        <f>AS33*(списки!$C$56-AQ33)</f>
        <v>1190.3999999999999</v>
      </c>
      <c r="AU33" s="1032">
        <v>-5.4</v>
      </c>
      <c r="AV33" s="1032"/>
      <c r="AW33" s="1032">
        <f t="shared" si="7"/>
        <v>30</v>
      </c>
      <c r="AX33" s="1032">
        <f>AW33*(списки!$C$56-AU33)</f>
        <v>762</v>
      </c>
      <c r="AY33" s="1033">
        <v>5.3</v>
      </c>
      <c r="AZ33" s="1033"/>
      <c r="BA33" s="1033">
        <f t="shared" si="8"/>
        <v>25</v>
      </c>
      <c r="BB33" s="1033">
        <f>BA33*(списки!$C$56-AY33)</f>
        <v>367.5</v>
      </c>
      <c r="BC33" s="1034">
        <v>13.2</v>
      </c>
      <c r="BD33" s="1034"/>
      <c r="BE33" s="1034">
        <f t="shared" si="9"/>
        <v>0</v>
      </c>
      <c r="BF33" s="1035">
        <f>BE33*(списки!$C$56-BC33)</f>
        <v>0</v>
      </c>
      <c r="BG33" s="1424">
        <v>7298.7964285714297</v>
      </c>
      <c r="BH33" s="1424">
        <v>6774.1107142857145</v>
      </c>
    </row>
    <row r="34" spans="2:60" ht="15.75" customHeight="1" x14ac:dyDescent="0.25">
      <c r="B34" s="1036" t="s">
        <v>13</v>
      </c>
      <c r="C34" s="1038" t="s">
        <v>30</v>
      </c>
      <c r="D34" s="1015" t="str">
        <f t="shared" si="0"/>
        <v>Амурская областьТыган-Уркан</v>
      </c>
      <c r="E34" s="1016">
        <v>245</v>
      </c>
      <c r="F34" s="1017">
        <v>-12.4</v>
      </c>
      <c r="G34" s="1017">
        <v>-37</v>
      </c>
      <c r="H34" s="1019">
        <v>5.2</v>
      </c>
      <c r="I34" s="1020">
        <f>E34*(списки!$C$56-F34)</f>
        <v>7938</v>
      </c>
      <c r="J34" s="1021" t="str">
        <f t="shared" si="1"/>
        <v>7000-8000</v>
      </c>
      <c r="K34" s="1022">
        <v>18.100000000000001</v>
      </c>
      <c r="L34" s="1022"/>
      <c r="M34" s="1023">
        <f t="shared" si="2"/>
        <v>0</v>
      </c>
      <c r="N34" s="1024">
        <f>M34*(списки!$C$56-K34)</f>
        <v>0</v>
      </c>
      <c r="O34" s="1025">
        <v>15.1</v>
      </c>
      <c r="P34" s="1025"/>
      <c r="Q34" s="1025">
        <f t="shared" si="3"/>
        <v>0</v>
      </c>
      <c r="R34" s="1025">
        <f>Q34*(списки!$C$56-O34)</f>
        <v>0</v>
      </c>
      <c r="S34" s="1026">
        <v>7.9</v>
      </c>
      <c r="T34" s="1026"/>
      <c r="U34" s="1026">
        <f t="shared" si="10"/>
        <v>16.5</v>
      </c>
      <c r="V34" s="1026">
        <f>U34*(списки!$C$56-S34)</f>
        <v>199.65</v>
      </c>
      <c r="W34" s="1027">
        <v>-3.4</v>
      </c>
      <c r="X34" s="1027"/>
      <c r="Y34" s="1027">
        <f t="shared" si="4"/>
        <v>31</v>
      </c>
      <c r="Z34" s="1027">
        <f>Y34*(списки!$C$56-W34)</f>
        <v>725.4</v>
      </c>
      <c r="AA34" s="1028">
        <v>-17.2</v>
      </c>
      <c r="AB34" s="1028"/>
      <c r="AC34" s="1028">
        <f t="shared" si="5"/>
        <v>30</v>
      </c>
      <c r="AD34" s="1028">
        <f>AC34*(списки!$C$56-AA34)</f>
        <v>1116</v>
      </c>
      <c r="AE34" s="1029">
        <v>-25.2</v>
      </c>
      <c r="AF34" s="1029"/>
      <c r="AG34" s="1029">
        <v>31</v>
      </c>
      <c r="AH34" s="1029">
        <f>AG34*(списки!$C$56-AE34)</f>
        <v>1401.2</v>
      </c>
      <c r="AI34" s="1030">
        <v>-26.4</v>
      </c>
      <c r="AJ34" s="1030"/>
      <c r="AK34" s="1030">
        <v>31</v>
      </c>
      <c r="AL34" s="1030">
        <f>AK34*(списки!$C$56-AI34)</f>
        <v>1438.3999999999999</v>
      </c>
      <c r="AM34" s="1031">
        <v>-21.6</v>
      </c>
      <c r="AN34" s="1031"/>
      <c r="AO34" s="1031">
        <v>28</v>
      </c>
      <c r="AP34" s="1031">
        <f>AO34*(списки!$C$56-AM34)</f>
        <v>1164.8</v>
      </c>
      <c r="AQ34" s="1026">
        <v>-13.4</v>
      </c>
      <c r="AR34" s="1026"/>
      <c r="AS34" s="1026">
        <f t="shared" si="6"/>
        <v>31</v>
      </c>
      <c r="AT34" s="1026">
        <f>AS34*(списки!$C$56-AQ34)</f>
        <v>1035.3999999999999</v>
      </c>
      <c r="AU34" s="1032">
        <v>-1.5</v>
      </c>
      <c r="AV34" s="1032"/>
      <c r="AW34" s="1032">
        <f t="shared" si="7"/>
        <v>30</v>
      </c>
      <c r="AX34" s="1032">
        <f>AW34*(списки!$C$56-AU34)</f>
        <v>645</v>
      </c>
      <c r="AY34" s="1033">
        <v>7.5</v>
      </c>
      <c r="AZ34" s="1033"/>
      <c r="BA34" s="1033">
        <f t="shared" si="8"/>
        <v>16.5</v>
      </c>
      <c r="BB34" s="1033">
        <f>BA34*(списки!$C$56-AY34)</f>
        <v>206.25</v>
      </c>
      <c r="BC34" s="1034">
        <v>14.6</v>
      </c>
      <c r="BD34" s="1034"/>
      <c r="BE34" s="1034">
        <f t="shared" si="9"/>
        <v>0</v>
      </c>
      <c r="BF34" s="1035">
        <f>BE34*(списки!$C$56-BC34)</f>
        <v>0</v>
      </c>
      <c r="BG34" s="1424" t="e">
        <v>#N/A</v>
      </c>
      <c r="BH34" s="1424" t="e">
        <v>#N/A</v>
      </c>
    </row>
    <row r="35" spans="2:60" ht="15.75" customHeight="1" x14ac:dyDescent="0.25">
      <c r="B35" s="1013" t="s">
        <v>13</v>
      </c>
      <c r="C35" s="1014" t="s">
        <v>31</v>
      </c>
      <c r="D35" s="1015" t="str">
        <f t="shared" si="0"/>
        <v>Амурская областьТында</v>
      </c>
      <c r="E35" s="1016">
        <v>258</v>
      </c>
      <c r="F35" s="1017">
        <v>-14.7</v>
      </c>
      <c r="G35" s="1017">
        <v>-42</v>
      </c>
      <c r="H35" s="1019">
        <v>5.3</v>
      </c>
      <c r="I35" s="1020">
        <f>E35*(списки!$C$56-F35)</f>
        <v>8952.6</v>
      </c>
      <c r="J35" s="1021" t="str">
        <f t="shared" si="1"/>
        <v>8000-9000</v>
      </c>
      <c r="K35" s="1022">
        <v>17.100000000000001</v>
      </c>
      <c r="L35" s="1022"/>
      <c r="M35" s="1023">
        <f t="shared" si="2"/>
        <v>0</v>
      </c>
      <c r="N35" s="1024">
        <f>M35*(списки!$C$56-K35)</f>
        <v>0</v>
      </c>
      <c r="O35" s="1025">
        <v>13.9</v>
      </c>
      <c r="P35" s="1025"/>
      <c r="Q35" s="1025">
        <f t="shared" si="3"/>
        <v>0</v>
      </c>
      <c r="R35" s="1025">
        <f>Q35*(списки!$C$56-O35)</f>
        <v>0</v>
      </c>
      <c r="S35" s="1026">
        <v>6.3</v>
      </c>
      <c r="T35" s="1026"/>
      <c r="U35" s="1026">
        <f t="shared" si="10"/>
        <v>23</v>
      </c>
      <c r="V35" s="1026">
        <f>U35*(списки!$C$56-S35)</f>
        <v>315.09999999999997</v>
      </c>
      <c r="W35" s="1027">
        <v>-5.7</v>
      </c>
      <c r="X35" s="1027"/>
      <c r="Y35" s="1027">
        <f t="shared" si="4"/>
        <v>31</v>
      </c>
      <c r="Z35" s="1027">
        <f>Y35*(списки!$C$56-W35)</f>
        <v>796.69999999999993</v>
      </c>
      <c r="AA35" s="1028">
        <v>-21.5</v>
      </c>
      <c r="AB35" s="1028"/>
      <c r="AC35" s="1028">
        <f t="shared" si="5"/>
        <v>30</v>
      </c>
      <c r="AD35" s="1028">
        <f>AC35*(списки!$C$56-AA35)</f>
        <v>1245</v>
      </c>
      <c r="AE35" s="1029">
        <v>-30.2</v>
      </c>
      <c r="AF35" s="1029"/>
      <c r="AG35" s="1029">
        <v>31</v>
      </c>
      <c r="AH35" s="1029">
        <f>AG35*(списки!$C$56-AE35)</f>
        <v>1556.2</v>
      </c>
      <c r="AI35" s="1030">
        <v>-31.7</v>
      </c>
      <c r="AJ35" s="1030"/>
      <c r="AK35" s="1030">
        <v>31</v>
      </c>
      <c r="AL35" s="1030">
        <f>AK35*(списки!$C$56-AI35)</f>
        <v>1602.7</v>
      </c>
      <c r="AM35" s="1031">
        <v>-25.9</v>
      </c>
      <c r="AN35" s="1031"/>
      <c r="AO35" s="1031">
        <v>28</v>
      </c>
      <c r="AP35" s="1031">
        <f>AO35*(списки!$C$56-AM35)</f>
        <v>1285.2</v>
      </c>
      <c r="AQ35" s="1026">
        <v>-16.2</v>
      </c>
      <c r="AR35" s="1026"/>
      <c r="AS35" s="1026">
        <f t="shared" si="6"/>
        <v>31</v>
      </c>
      <c r="AT35" s="1026">
        <f>AS35*(списки!$C$56-AQ35)</f>
        <v>1122.2</v>
      </c>
      <c r="AU35" s="1032">
        <v>-3.8</v>
      </c>
      <c r="AV35" s="1032"/>
      <c r="AW35" s="1032">
        <f t="shared" si="7"/>
        <v>30</v>
      </c>
      <c r="AX35" s="1032">
        <f>AW35*(списки!$C$56-AU35)</f>
        <v>714</v>
      </c>
      <c r="AY35" s="1033">
        <v>6</v>
      </c>
      <c r="AZ35" s="1033"/>
      <c r="BA35" s="1033">
        <f t="shared" si="8"/>
        <v>23</v>
      </c>
      <c r="BB35" s="1033">
        <f>BA35*(списки!$C$56-AY35)</f>
        <v>322</v>
      </c>
      <c r="BC35" s="1034">
        <v>13.4</v>
      </c>
      <c r="BD35" s="1034"/>
      <c r="BE35" s="1034">
        <f t="shared" si="9"/>
        <v>0</v>
      </c>
      <c r="BF35" s="1035">
        <f>BE35*(списки!$C$56-BC35)</f>
        <v>0</v>
      </c>
      <c r="BG35" s="1424">
        <v>8295.3250000000025</v>
      </c>
      <c r="BH35" s="1424">
        <v>7934.0214285714283</v>
      </c>
    </row>
    <row r="36" spans="2:60" ht="15.75" customHeight="1" x14ac:dyDescent="0.25">
      <c r="B36" s="1036" t="s">
        <v>13</v>
      </c>
      <c r="C36" s="1038" t="s">
        <v>32</v>
      </c>
      <c r="D36" s="1015" t="str">
        <f t="shared" si="0"/>
        <v>Амурская областьУнаха</v>
      </c>
      <c r="E36" s="1016">
        <v>255</v>
      </c>
      <c r="F36" s="1017">
        <v>-14</v>
      </c>
      <c r="G36" s="1017">
        <v>-42</v>
      </c>
      <c r="H36" s="1019">
        <f>H35</f>
        <v>5.3</v>
      </c>
      <c r="I36" s="1020">
        <f>E36*(списки!$C$56-F36)</f>
        <v>8670</v>
      </c>
      <c r="J36" s="1021" t="str">
        <f t="shared" si="1"/>
        <v>8000-9000</v>
      </c>
      <c r="K36" s="1022">
        <v>17.2</v>
      </c>
      <c r="L36" s="1022"/>
      <c r="M36" s="1023">
        <f t="shared" si="2"/>
        <v>0</v>
      </c>
      <c r="N36" s="1024">
        <f>M36*(списки!$C$56-K36)</f>
        <v>0</v>
      </c>
      <c r="O36" s="1025">
        <v>14.1</v>
      </c>
      <c r="P36" s="1025"/>
      <c r="Q36" s="1025">
        <f t="shared" si="3"/>
        <v>0</v>
      </c>
      <c r="R36" s="1025">
        <f>Q36*(списки!$C$56-O36)</f>
        <v>0</v>
      </c>
      <c r="S36" s="1026">
        <v>6.9</v>
      </c>
      <c r="T36" s="1026"/>
      <c r="U36" s="1026">
        <f t="shared" si="10"/>
        <v>21.5</v>
      </c>
      <c r="V36" s="1026">
        <f>U36*(списки!$C$56-S36)</f>
        <v>281.64999999999998</v>
      </c>
      <c r="W36" s="1027">
        <v>-5.0999999999999996</v>
      </c>
      <c r="X36" s="1027"/>
      <c r="Y36" s="1027">
        <f t="shared" si="4"/>
        <v>31</v>
      </c>
      <c r="Z36" s="1027">
        <f>Y36*(списки!$C$56-W36)</f>
        <v>778.1</v>
      </c>
      <c r="AA36" s="1028">
        <v>-20.2</v>
      </c>
      <c r="AB36" s="1028"/>
      <c r="AC36" s="1028">
        <f t="shared" si="5"/>
        <v>30</v>
      </c>
      <c r="AD36" s="1028">
        <f>AC36*(списки!$C$56-AA36)</f>
        <v>1206</v>
      </c>
      <c r="AE36" s="1029">
        <v>-28.3</v>
      </c>
      <c r="AF36" s="1029"/>
      <c r="AG36" s="1029">
        <v>31</v>
      </c>
      <c r="AH36" s="1029">
        <f>AG36*(списки!$C$56-AE36)</f>
        <v>1497.3</v>
      </c>
      <c r="AI36" s="1030">
        <v>-30</v>
      </c>
      <c r="AJ36" s="1030"/>
      <c r="AK36" s="1030">
        <v>31</v>
      </c>
      <c r="AL36" s="1030">
        <f>AK36*(списки!$C$56-AI36)</f>
        <v>1550</v>
      </c>
      <c r="AM36" s="1031">
        <v>-24.5</v>
      </c>
      <c r="AN36" s="1031"/>
      <c r="AO36" s="1031">
        <v>28</v>
      </c>
      <c r="AP36" s="1031">
        <f>AO36*(списки!$C$56-AM36)</f>
        <v>1246</v>
      </c>
      <c r="AQ36" s="1026">
        <v>-15.9</v>
      </c>
      <c r="AR36" s="1026"/>
      <c r="AS36" s="1026">
        <f t="shared" si="6"/>
        <v>31</v>
      </c>
      <c r="AT36" s="1026">
        <f>AS36*(списки!$C$56-AQ36)</f>
        <v>1112.8999999999999</v>
      </c>
      <c r="AU36" s="1032">
        <v>-3.5</v>
      </c>
      <c r="AV36" s="1032"/>
      <c r="AW36" s="1032">
        <f t="shared" si="7"/>
        <v>30</v>
      </c>
      <c r="AX36" s="1032">
        <f>AW36*(списки!$C$56-AU36)</f>
        <v>705</v>
      </c>
      <c r="AY36" s="1033">
        <v>6.2</v>
      </c>
      <c r="AZ36" s="1033"/>
      <c r="BA36" s="1033">
        <f t="shared" si="8"/>
        <v>21.5</v>
      </c>
      <c r="BB36" s="1033">
        <f>BA36*(списки!$C$56-AY36)</f>
        <v>296.7</v>
      </c>
      <c r="BC36" s="1034">
        <v>13.6</v>
      </c>
      <c r="BD36" s="1034"/>
      <c r="BE36" s="1034">
        <f t="shared" si="9"/>
        <v>0</v>
      </c>
      <c r="BF36" s="1035">
        <f>BE36*(списки!$C$56-BC36)</f>
        <v>0</v>
      </c>
      <c r="BG36" s="1424" t="e">
        <v>#N/A</v>
      </c>
      <c r="BH36" s="1424" t="e">
        <v>#N/A</v>
      </c>
    </row>
    <row r="37" spans="2:60" ht="15.75" customHeight="1" x14ac:dyDescent="0.25">
      <c r="B37" s="1013" t="s">
        <v>13</v>
      </c>
      <c r="C37" s="1014" t="s">
        <v>33</v>
      </c>
      <c r="D37" s="1015" t="str">
        <f t="shared" si="0"/>
        <v>Амурская областьУсть-Нюкжа</v>
      </c>
      <c r="E37" s="1016">
        <v>252</v>
      </c>
      <c r="F37" s="1017">
        <v>-15.1</v>
      </c>
      <c r="G37" s="1017">
        <v>-43</v>
      </c>
      <c r="H37" s="1019">
        <v>1.7</v>
      </c>
      <c r="I37" s="1020">
        <f>E37*(списки!$C$56-F37)</f>
        <v>8845.2000000000007</v>
      </c>
      <c r="J37" s="1021" t="str">
        <f t="shared" si="1"/>
        <v>8000-9000</v>
      </c>
      <c r="K37" s="1022">
        <v>17.600000000000001</v>
      </c>
      <c r="L37" s="1022"/>
      <c r="M37" s="1023">
        <f t="shared" si="2"/>
        <v>0</v>
      </c>
      <c r="N37" s="1024">
        <f>M37*(списки!$C$56-K37)</f>
        <v>0</v>
      </c>
      <c r="O37" s="1025">
        <v>14.5</v>
      </c>
      <c r="P37" s="1025"/>
      <c r="Q37" s="1025">
        <f t="shared" si="3"/>
        <v>0</v>
      </c>
      <c r="R37" s="1025">
        <f>Q37*(списки!$C$56-O37)</f>
        <v>0</v>
      </c>
      <c r="S37" s="1026">
        <v>6.6</v>
      </c>
      <c r="T37" s="1026"/>
      <c r="U37" s="1026">
        <f t="shared" si="10"/>
        <v>20</v>
      </c>
      <c r="V37" s="1026">
        <f>U37*(списки!$C$56-S37)</f>
        <v>268</v>
      </c>
      <c r="W37" s="1027">
        <v>-4.8</v>
      </c>
      <c r="X37" s="1027"/>
      <c r="Y37" s="1027">
        <f t="shared" si="4"/>
        <v>31</v>
      </c>
      <c r="Z37" s="1027">
        <f>Y37*(списки!$C$56-W37)</f>
        <v>768.80000000000007</v>
      </c>
      <c r="AA37" s="1028">
        <v>-20.6</v>
      </c>
      <c r="AB37" s="1028"/>
      <c r="AC37" s="1028">
        <f t="shared" si="5"/>
        <v>30</v>
      </c>
      <c r="AD37" s="1028">
        <f>AC37*(списки!$C$56-AA37)</f>
        <v>1218</v>
      </c>
      <c r="AE37" s="1029">
        <v>-30.2</v>
      </c>
      <c r="AF37" s="1029"/>
      <c r="AG37" s="1029">
        <v>31</v>
      </c>
      <c r="AH37" s="1029">
        <f>AG37*(списки!$C$56-AE37)</f>
        <v>1556.2</v>
      </c>
      <c r="AI37" s="1030">
        <v>-31.3</v>
      </c>
      <c r="AJ37" s="1030"/>
      <c r="AK37" s="1030">
        <v>31</v>
      </c>
      <c r="AL37" s="1030">
        <f>AK37*(списки!$C$56-AI37)</f>
        <v>1590.3</v>
      </c>
      <c r="AM37" s="1031">
        <v>-25.3</v>
      </c>
      <c r="AN37" s="1031"/>
      <c r="AO37" s="1031">
        <v>28</v>
      </c>
      <c r="AP37" s="1031">
        <f>AO37*(списки!$C$56-AM37)</f>
        <v>1268.3999999999999</v>
      </c>
      <c r="AQ37" s="1026">
        <v>-14.1</v>
      </c>
      <c r="AR37" s="1026"/>
      <c r="AS37" s="1026">
        <f t="shared" si="6"/>
        <v>31</v>
      </c>
      <c r="AT37" s="1026">
        <f>AS37*(списки!$C$56-AQ37)</f>
        <v>1057.1000000000001</v>
      </c>
      <c r="AU37" s="1032">
        <v>-2.1</v>
      </c>
      <c r="AV37" s="1032"/>
      <c r="AW37" s="1032">
        <f t="shared" si="7"/>
        <v>30</v>
      </c>
      <c r="AX37" s="1032">
        <f>AW37*(списки!$C$56-AU37)</f>
        <v>663</v>
      </c>
      <c r="AY37" s="1033">
        <v>7.1</v>
      </c>
      <c r="AZ37" s="1033"/>
      <c r="BA37" s="1033">
        <f t="shared" si="8"/>
        <v>20</v>
      </c>
      <c r="BB37" s="1033">
        <f>BA37*(списки!$C$56-AY37)</f>
        <v>258</v>
      </c>
      <c r="BC37" s="1034">
        <v>14.8</v>
      </c>
      <c r="BD37" s="1034"/>
      <c r="BE37" s="1034">
        <f t="shared" si="9"/>
        <v>0</v>
      </c>
      <c r="BF37" s="1035">
        <f>BE37*(списки!$C$56-BC37)</f>
        <v>0</v>
      </c>
      <c r="BG37" s="1424">
        <v>8510.6857142857134</v>
      </c>
      <c r="BH37" s="1424">
        <v>8138.7249999999976</v>
      </c>
    </row>
    <row r="38" spans="2:60" ht="15.75" customHeight="1" x14ac:dyDescent="0.25">
      <c r="B38" s="1036" t="s">
        <v>13</v>
      </c>
      <c r="C38" s="1038" t="s">
        <v>19</v>
      </c>
      <c r="D38" s="1015" t="str">
        <f t="shared" si="0"/>
        <v>Амурская областьЧерняево</v>
      </c>
      <c r="E38" s="1016">
        <v>229</v>
      </c>
      <c r="F38" s="1017">
        <v>-13.1</v>
      </c>
      <c r="G38" s="1017">
        <v>-40</v>
      </c>
      <c r="H38" s="1019">
        <v>3.7</v>
      </c>
      <c r="I38" s="1020">
        <f>E38*(списки!$C$56-F38)</f>
        <v>7579.9000000000005</v>
      </c>
      <c r="J38" s="1021" t="str">
        <f t="shared" si="1"/>
        <v>7000-8000</v>
      </c>
      <c r="K38" s="1022">
        <v>19.8</v>
      </c>
      <c r="L38" s="1022"/>
      <c r="M38" s="1023">
        <f t="shared" si="2"/>
        <v>0</v>
      </c>
      <c r="N38" s="1024">
        <f>M38*(списки!$C$56-K38)</f>
        <v>0</v>
      </c>
      <c r="O38" s="1025">
        <v>17</v>
      </c>
      <c r="P38" s="1025"/>
      <c r="Q38" s="1025">
        <f t="shared" si="3"/>
        <v>0</v>
      </c>
      <c r="R38" s="1025">
        <f>Q38*(списки!$C$56-O38)</f>
        <v>0</v>
      </c>
      <c r="S38" s="1026">
        <v>9.6999999999999993</v>
      </c>
      <c r="T38" s="1026"/>
      <c r="U38" s="1026">
        <f t="shared" si="10"/>
        <v>8.5</v>
      </c>
      <c r="V38" s="1026">
        <f>U38*(списки!$C$56-S38)</f>
        <v>87.550000000000011</v>
      </c>
      <c r="W38" s="1027">
        <v>-0.7</v>
      </c>
      <c r="X38" s="1027"/>
      <c r="Y38" s="1027">
        <f t="shared" si="4"/>
        <v>31</v>
      </c>
      <c r="Z38" s="1027">
        <f>Y38*(списки!$C$56-W38)</f>
        <v>641.69999999999993</v>
      </c>
      <c r="AA38" s="1028">
        <v>-15.8</v>
      </c>
      <c r="AB38" s="1028"/>
      <c r="AC38" s="1028">
        <f t="shared" si="5"/>
        <v>30</v>
      </c>
      <c r="AD38" s="1028">
        <f>AC38*(списки!$C$56-AA38)</f>
        <v>1074</v>
      </c>
      <c r="AE38" s="1029">
        <v>-25.1</v>
      </c>
      <c r="AF38" s="1029"/>
      <c r="AG38" s="1029">
        <v>31</v>
      </c>
      <c r="AH38" s="1029">
        <f>AG38*(списки!$C$56-AE38)</f>
        <v>1398.1000000000001</v>
      </c>
      <c r="AI38" s="1030">
        <v>-26.6</v>
      </c>
      <c r="AJ38" s="1030"/>
      <c r="AK38" s="1030">
        <v>31</v>
      </c>
      <c r="AL38" s="1030">
        <f>AK38*(списки!$C$56-AI38)</f>
        <v>1444.6000000000001</v>
      </c>
      <c r="AM38" s="1031">
        <v>-21.5</v>
      </c>
      <c r="AN38" s="1031"/>
      <c r="AO38" s="1031">
        <v>28</v>
      </c>
      <c r="AP38" s="1031">
        <f>AO38*(списки!$C$56-AM38)</f>
        <v>1162</v>
      </c>
      <c r="AQ38" s="1026">
        <v>-11.2</v>
      </c>
      <c r="AR38" s="1026"/>
      <c r="AS38" s="1026">
        <f t="shared" si="6"/>
        <v>31</v>
      </c>
      <c r="AT38" s="1026">
        <f>AS38*(списки!$C$56-AQ38)</f>
        <v>967.19999999999993</v>
      </c>
      <c r="AU38" s="1032">
        <v>1.5</v>
      </c>
      <c r="AV38" s="1032"/>
      <c r="AW38" s="1032">
        <f t="shared" si="7"/>
        <v>30</v>
      </c>
      <c r="AX38" s="1032">
        <f>AW38*(списки!$C$56-AU38)</f>
        <v>555</v>
      </c>
      <c r="AY38" s="1033">
        <v>10.199999999999999</v>
      </c>
      <c r="AZ38" s="1033"/>
      <c r="BA38" s="1033">
        <f t="shared" si="8"/>
        <v>8.5</v>
      </c>
      <c r="BB38" s="1033">
        <f>BA38*(списки!$C$56-AY38)</f>
        <v>83.300000000000011</v>
      </c>
      <c r="BC38" s="1034">
        <v>17.2</v>
      </c>
      <c r="BD38" s="1034"/>
      <c r="BE38" s="1034">
        <f t="shared" si="9"/>
        <v>0</v>
      </c>
      <c r="BF38" s="1035">
        <f>BE38*(списки!$C$56-BC38)</f>
        <v>0</v>
      </c>
      <c r="BG38" s="1424">
        <v>7347.9839285714324</v>
      </c>
      <c r="BH38" s="1424">
        <v>6853.9249999999984</v>
      </c>
    </row>
    <row r="39" spans="2:60" ht="15.75" customHeight="1" x14ac:dyDescent="0.25">
      <c r="B39" s="1013" t="s">
        <v>13</v>
      </c>
      <c r="C39" s="1014" t="s">
        <v>26</v>
      </c>
      <c r="D39" s="1015" t="str">
        <f t="shared" si="0"/>
        <v>Амурская областьШимановск</v>
      </c>
      <c r="E39" s="1016">
        <v>233</v>
      </c>
      <c r="F39" s="1017">
        <v>-12.5</v>
      </c>
      <c r="G39" s="1017">
        <v>-38</v>
      </c>
      <c r="H39" s="1019">
        <v>2.2999999999999998</v>
      </c>
      <c r="I39" s="1020">
        <f>E39*(списки!$C$56-F39)</f>
        <v>7572.5</v>
      </c>
      <c r="J39" s="1021" t="str">
        <f t="shared" si="1"/>
        <v>7000-8000</v>
      </c>
      <c r="K39" s="1022">
        <v>19.7</v>
      </c>
      <c r="L39" s="1022"/>
      <c r="M39" s="1023">
        <f t="shared" si="2"/>
        <v>0</v>
      </c>
      <c r="N39" s="1024">
        <f>M39*(списки!$C$56-K39)</f>
        <v>0</v>
      </c>
      <c r="O39" s="1025">
        <v>16.899999999999999</v>
      </c>
      <c r="P39" s="1025"/>
      <c r="Q39" s="1025">
        <f t="shared" si="3"/>
        <v>0</v>
      </c>
      <c r="R39" s="1025">
        <f>Q39*(списки!$C$56-O39)</f>
        <v>0</v>
      </c>
      <c r="S39" s="1026">
        <v>10</v>
      </c>
      <c r="T39" s="1026"/>
      <c r="U39" s="1026">
        <f t="shared" si="10"/>
        <v>10.5</v>
      </c>
      <c r="V39" s="1026">
        <f>U39*(списки!$C$56-S39)</f>
        <v>105</v>
      </c>
      <c r="W39" s="1027">
        <v>-0.8</v>
      </c>
      <c r="X39" s="1027"/>
      <c r="Y39" s="1027">
        <f t="shared" si="4"/>
        <v>31</v>
      </c>
      <c r="Z39" s="1027">
        <f>Y39*(списки!$C$56-W39)</f>
        <v>644.80000000000007</v>
      </c>
      <c r="AA39" s="1028">
        <v>-15.7</v>
      </c>
      <c r="AB39" s="1028"/>
      <c r="AC39" s="1028">
        <f t="shared" si="5"/>
        <v>30</v>
      </c>
      <c r="AD39" s="1028">
        <f>AC39*(списки!$C$56-AA39)</f>
        <v>1071</v>
      </c>
      <c r="AE39" s="1029">
        <v>-25.3</v>
      </c>
      <c r="AF39" s="1029"/>
      <c r="AG39" s="1029">
        <v>31</v>
      </c>
      <c r="AH39" s="1029">
        <f>AG39*(списки!$C$56-AE39)</f>
        <v>1404.3</v>
      </c>
      <c r="AI39" s="1030">
        <v>-27.7</v>
      </c>
      <c r="AJ39" s="1030"/>
      <c r="AK39" s="1030">
        <v>31</v>
      </c>
      <c r="AL39" s="1030">
        <f>AK39*(списки!$C$56-AI39)</f>
        <v>1478.7</v>
      </c>
      <c r="AM39" s="1031">
        <v>-21.9</v>
      </c>
      <c r="AN39" s="1031"/>
      <c r="AO39" s="1031">
        <v>28</v>
      </c>
      <c r="AP39" s="1031">
        <f>AO39*(списки!$C$56-AM39)</f>
        <v>1173.2</v>
      </c>
      <c r="AQ39" s="1026">
        <v>-12.2</v>
      </c>
      <c r="AR39" s="1026"/>
      <c r="AS39" s="1026">
        <f t="shared" si="6"/>
        <v>31</v>
      </c>
      <c r="AT39" s="1026">
        <f>AS39*(списки!$C$56-AQ39)</f>
        <v>998.2</v>
      </c>
      <c r="AU39" s="1032">
        <v>0.6</v>
      </c>
      <c r="AV39" s="1032"/>
      <c r="AW39" s="1032">
        <f t="shared" si="7"/>
        <v>30</v>
      </c>
      <c r="AX39" s="1032">
        <f>AW39*(списки!$C$56-AU39)</f>
        <v>582</v>
      </c>
      <c r="AY39" s="1033">
        <v>9.1</v>
      </c>
      <c r="AZ39" s="1033"/>
      <c r="BA39" s="1033">
        <f t="shared" si="8"/>
        <v>10.5</v>
      </c>
      <c r="BB39" s="1033">
        <f>BA39*(списки!$C$56-AY39)</f>
        <v>114.45</v>
      </c>
      <c r="BC39" s="1034">
        <v>16.100000000000001</v>
      </c>
      <c r="BD39" s="1034"/>
      <c r="BE39" s="1034">
        <f t="shared" si="9"/>
        <v>0</v>
      </c>
      <c r="BF39" s="1035">
        <f>BE39*(списки!$C$56-BC39)</f>
        <v>0</v>
      </c>
      <c r="BG39" s="1424">
        <v>7292.6964285714303</v>
      </c>
      <c r="BH39" s="1424">
        <v>6745.6089285714279</v>
      </c>
    </row>
    <row r="40" spans="2:60" ht="15.75" customHeight="1" x14ac:dyDescent="0.25">
      <c r="B40" s="1036" t="s">
        <v>13</v>
      </c>
      <c r="C40" s="1038" t="s">
        <v>21</v>
      </c>
      <c r="D40" s="1015" t="str">
        <f t="shared" si="0"/>
        <v>Амурская областьЭкимчан</v>
      </c>
      <c r="E40" s="1016">
        <v>249</v>
      </c>
      <c r="F40" s="1017">
        <v>-14.4</v>
      </c>
      <c r="G40" s="1017">
        <v>-42</v>
      </c>
      <c r="H40" s="1019">
        <v>1.6</v>
      </c>
      <c r="I40" s="1020">
        <f>E40*(списки!$C$56-F40)</f>
        <v>8565.6</v>
      </c>
      <c r="J40" s="1021" t="str">
        <f t="shared" si="1"/>
        <v>8000-9000</v>
      </c>
      <c r="K40" s="1022">
        <v>17.2</v>
      </c>
      <c r="L40" s="1022"/>
      <c r="M40" s="1023">
        <f t="shared" si="2"/>
        <v>0</v>
      </c>
      <c r="N40" s="1024">
        <f>M40*(списки!$C$56-K40)</f>
        <v>0</v>
      </c>
      <c r="O40" s="1025">
        <v>14.6</v>
      </c>
      <c r="P40" s="1025"/>
      <c r="Q40" s="1025">
        <f t="shared" si="3"/>
        <v>0</v>
      </c>
      <c r="R40" s="1025">
        <f>Q40*(списки!$C$56-O40)</f>
        <v>0</v>
      </c>
      <c r="S40" s="1026">
        <v>7.5</v>
      </c>
      <c r="T40" s="1026"/>
      <c r="U40" s="1026">
        <f t="shared" si="10"/>
        <v>18.5</v>
      </c>
      <c r="V40" s="1026">
        <f>U40*(списки!$C$56-S40)</f>
        <v>231.25</v>
      </c>
      <c r="W40" s="1027">
        <v>-2.9</v>
      </c>
      <c r="X40" s="1027"/>
      <c r="Y40" s="1027">
        <f t="shared" si="4"/>
        <v>31</v>
      </c>
      <c r="Z40" s="1027">
        <f>Y40*(списки!$C$56-W40)</f>
        <v>709.9</v>
      </c>
      <c r="AA40" s="1028">
        <v>-18.399999999999999</v>
      </c>
      <c r="AB40" s="1028"/>
      <c r="AC40" s="1028">
        <f t="shared" si="5"/>
        <v>30</v>
      </c>
      <c r="AD40" s="1028">
        <f>AC40*(списки!$C$56-AA40)</f>
        <v>1152</v>
      </c>
      <c r="AE40" s="1029">
        <v>-29.6</v>
      </c>
      <c r="AF40" s="1029"/>
      <c r="AG40" s="1029">
        <v>31</v>
      </c>
      <c r="AH40" s="1029">
        <f>AG40*(списки!$C$56-AE40)</f>
        <v>1537.6000000000001</v>
      </c>
      <c r="AI40" s="1030">
        <v>-30.8</v>
      </c>
      <c r="AJ40" s="1030"/>
      <c r="AK40" s="1030">
        <v>31</v>
      </c>
      <c r="AL40" s="1030">
        <f>AK40*(списки!$C$56-AI40)</f>
        <v>1574.8</v>
      </c>
      <c r="AM40" s="1031">
        <v>-24.3</v>
      </c>
      <c r="AN40" s="1031"/>
      <c r="AO40" s="1031">
        <v>28</v>
      </c>
      <c r="AP40" s="1031">
        <f>AO40*(списки!$C$56-AM40)</f>
        <v>1240.3999999999999</v>
      </c>
      <c r="AQ40" s="1026">
        <v>-13.5</v>
      </c>
      <c r="AR40" s="1026"/>
      <c r="AS40" s="1026">
        <f t="shared" si="6"/>
        <v>31</v>
      </c>
      <c r="AT40" s="1026">
        <f>AS40*(списки!$C$56-AQ40)</f>
        <v>1038.5</v>
      </c>
      <c r="AU40" s="1032">
        <v>-1.5</v>
      </c>
      <c r="AV40" s="1032"/>
      <c r="AW40" s="1032">
        <f t="shared" si="7"/>
        <v>30</v>
      </c>
      <c r="AX40" s="1032">
        <f>AW40*(списки!$C$56-AU40)</f>
        <v>645</v>
      </c>
      <c r="AY40" s="1033">
        <v>7.3</v>
      </c>
      <c r="AZ40" s="1033"/>
      <c r="BA40" s="1033">
        <f t="shared" si="8"/>
        <v>18.5</v>
      </c>
      <c r="BB40" s="1033">
        <f>BA40*(списки!$C$56-AY40)</f>
        <v>234.95</v>
      </c>
      <c r="BC40" s="1034">
        <v>14.3</v>
      </c>
      <c r="BD40" s="1034"/>
      <c r="BE40" s="1034">
        <f t="shared" si="9"/>
        <v>0</v>
      </c>
      <c r="BF40" s="1035">
        <f>BE40*(списки!$C$56-BC40)</f>
        <v>0</v>
      </c>
      <c r="BG40" s="1424">
        <v>8556.3260714285771</v>
      </c>
      <c r="BH40" s="1424">
        <v>7853.8732142857134</v>
      </c>
    </row>
    <row r="41" spans="2:60" ht="15.75" customHeight="1" x14ac:dyDescent="0.25">
      <c r="B41" s="1013" t="s">
        <v>36</v>
      </c>
      <c r="C41" s="1014" t="s">
        <v>37</v>
      </c>
      <c r="D41" s="1015" t="str">
        <f t="shared" si="0"/>
        <v>Архангельская областьАрхангельск</v>
      </c>
      <c r="E41" s="1016">
        <v>250</v>
      </c>
      <c r="F41" s="1017">
        <v>-4.5</v>
      </c>
      <c r="G41" s="1017">
        <v>-33</v>
      </c>
      <c r="H41" s="1019">
        <v>3.4</v>
      </c>
      <c r="I41" s="1020">
        <f>E41*(списки!$C$56-F41)</f>
        <v>6125</v>
      </c>
      <c r="J41" s="1021" t="str">
        <f t="shared" si="1"/>
        <v>6000-7000</v>
      </c>
      <c r="K41" s="1022">
        <v>16</v>
      </c>
      <c r="L41" s="1022"/>
      <c r="M41" s="1023">
        <f t="shared" si="2"/>
        <v>0</v>
      </c>
      <c r="N41" s="1024">
        <f>M41*(списки!$C$56-K41)</f>
        <v>0</v>
      </c>
      <c r="O41" s="1025">
        <v>13.2</v>
      </c>
      <c r="P41" s="1025"/>
      <c r="Q41" s="1025">
        <f t="shared" si="3"/>
        <v>0</v>
      </c>
      <c r="R41" s="1025">
        <f>Q41*(списки!$C$56-O41)</f>
        <v>0</v>
      </c>
      <c r="S41" s="1026">
        <v>8</v>
      </c>
      <c r="T41" s="1026"/>
      <c r="U41" s="1026">
        <f t="shared" si="10"/>
        <v>19</v>
      </c>
      <c r="V41" s="1026">
        <f>U41*(списки!$C$56-S41)</f>
        <v>228</v>
      </c>
      <c r="W41" s="1027">
        <v>1.8</v>
      </c>
      <c r="X41" s="1027"/>
      <c r="Y41" s="1027">
        <f t="shared" si="4"/>
        <v>31</v>
      </c>
      <c r="Z41" s="1027">
        <f>Y41*(списки!$C$56-W41)</f>
        <v>564.19999999999993</v>
      </c>
      <c r="AA41" s="1028">
        <v>-4.8</v>
      </c>
      <c r="AB41" s="1028"/>
      <c r="AC41" s="1028">
        <f t="shared" si="5"/>
        <v>30</v>
      </c>
      <c r="AD41" s="1028">
        <f>AC41*(списки!$C$56-AA41)</f>
        <v>744</v>
      </c>
      <c r="AE41" s="1029">
        <v>-9.9</v>
      </c>
      <c r="AF41" s="1029"/>
      <c r="AG41" s="1029">
        <v>31</v>
      </c>
      <c r="AH41" s="1029">
        <f>AG41*(списки!$C$56-AE41)</f>
        <v>926.9</v>
      </c>
      <c r="AI41" s="1030">
        <v>-13.6</v>
      </c>
      <c r="AJ41" s="1030"/>
      <c r="AK41" s="1030">
        <v>31</v>
      </c>
      <c r="AL41" s="1030">
        <f>AK41*(списки!$C$56-AI41)</f>
        <v>1041.6000000000001</v>
      </c>
      <c r="AM41" s="1031">
        <v>-12.1</v>
      </c>
      <c r="AN41" s="1031"/>
      <c r="AO41" s="1031">
        <v>28</v>
      </c>
      <c r="AP41" s="1031">
        <f>AO41*(списки!$C$56-AM41)</f>
        <v>898.80000000000007</v>
      </c>
      <c r="AQ41" s="1026">
        <v>-5.7</v>
      </c>
      <c r="AR41" s="1026"/>
      <c r="AS41" s="1026">
        <f t="shared" si="6"/>
        <v>31</v>
      </c>
      <c r="AT41" s="1026">
        <f>AS41*(списки!$C$56-AQ41)</f>
        <v>796.69999999999993</v>
      </c>
      <c r="AU41" s="1032">
        <v>0.1</v>
      </c>
      <c r="AV41" s="1032"/>
      <c r="AW41" s="1032">
        <f t="shared" si="7"/>
        <v>30</v>
      </c>
      <c r="AX41" s="1032">
        <f>AW41*(списки!$C$56-AU41)</f>
        <v>597</v>
      </c>
      <c r="AY41" s="1033">
        <v>6.6</v>
      </c>
      <c r="AZ41" s="1033"/>
      <c r="BA41" s="1033">
        <f t="shared" si="8"/>
        <v>19</v>
      </c>
      <c r="BB41" s="1033">
        <f>BA41*(списки!$C$56-AY41)</f>
        <v>254.6</v>
      </c>
      <c r="BC41" s="1034">
        <v>12.7</v>
      </c>
      <c r="BD41" s="1034"/>
      <c r="BE41" s="1034">
        <f t="shared" si="9"/>
        <v>0</v>
      </c>
      <c r="BF41" s="1035">
        <f>BE41*(списки!$C$56-BC41)</f>
        <v>0</v>
      </c>
      <c r="BG41" s="1424">
        <v>5132.5374999999967</v>
      </c>
      <c r="BH41" s="1424">
        <v>5757.6124999999965</v>
      </c>
    </row>
    <row r="42" spans="2:60" ht="15.75" customHeight="1" x14ac:dyDescent="0.25">
      <c r="B42" s="1036" t="s">
        <v>36</v>
      </c>
      <c r="C42" s="1038" t="s">
        <v>38</v>
      </c>
      <c r="D42" s="1015" t="str">
        <f t="shared" si="0"/>
        <v>Архангельская областьБорковская</v>
      </c>
      <c r="E42" s="1016">
        <v>277</v>
      </c>
      <c r="F42" s="1017">
        <v>-6.6</v>
      </c>
      <c r="G42" s="1017">
        <v>-42</v>
      </c>
      <c r="H42" s="1019">
        <f>H41</f>
        <v>3.4</v>
      </c>
      <c r="I42" s="1020">
        <f>E42*(списки!$C$56-F42)</f>
        <v>7368.2000000000007</v>
      </c>
      <c r="J42" s="1021" t="str">
        <f t="shared" si="1"/>
        <v>7000-8000</v>
      </c>
      <c r="K42" s="1022">
        <v>13.5</v>
      </c>
      <c r="L42" s="1022"/>
      <c r="M42" s="1023">
        <f t="shared" si="2"/>
        <v>0</v>
      </c>
      <c r="N42" s="1024">
        <f>M42*(списки!$C$56-K42)</f>
        <v>0</v>
      </c>
      <c r="O42" s="1025">
        <v>11</v>
      </c>
      <c r="P42" s="1025"/>
      <c r="Q42" s="1025">
        <f t="shared" si="3"/>
        <v>2</v>
      </c>
      <c r="R42" s="1025">
        <f>Q42*(списки!$C$56-O42)</f>
        <v>18</v>
      </c>
      <c r="S42" s="1026">
        <v>5.5</v>
      </c>
      <c r="T42" s="1026"/>
      <c r="U42" s="1026">
        <f t="shared" si="10"/>
        <v>30</v>
      </c>
      <c r="V42" s="1026">
        <f>U42*(списки!$C$56-S42)</f>
        <v>435</v>
      </c>
      <c r="W42" s="1027">
        <v>-1.7</v>
      </c>
      <c r="X42" s="1027"/>
      <c r="Y42" s="1027">
        <f t="shared" si="4"/>
        <v>31</v>
      </c>
      <c r="Z42" s="1027">
        <f>Y42*(списки!$C$56-W42)</f>
        <v>672.69999999999993</v>
      </c>
      <c r="AA42" s="1028">
        <v>-8.1</v>
      </c>
      <c r="AB42" s="1028"/>
      <c r="AC42" s="1028">
        <f t="shared" si="5"/>
        <v>30</v>
      </c>
      <c r="AD42" s="1028">
        <f>AC42*(списки!$C$56-AA42)</f>
        <v>843</v>
      </c>
      <c r="AE42" s="1029">
        <v>-13.9</v>
      </c>
      <c r="AF42" s="1029"/>
      <c r="AG42" s="1029">
        <v>31</v>
      </c>
      <c r="AH42" s="1029">
        <f>AG42*(списки!$C$56-AE42)</f>
        <v>1050.8999999999999</v>
      </c>
      <c r="AI42" s="1030">
        <v>-17.8</v>
      </c>
      <c r="AJ42" s="1030"/>
      <c r="AK42" s="1030">
        <v>31</v>
      </c>
      <c r="AL42" s="1030">
        <f>AK42*(списки!$C$56-AI42)</f>
        <v>1171.8</v>
      </c>
      <c r="AM42" s="1031">
        <v>-16.399999999999999</v>
      </c>
      <c r="AN42" s="1031"/>
      <c r="AO42" s="1031">
        <v>28</v>
      </c>
      <c r="AP42" s="1031">
        <f>AO42*(списки!$C$56-AM42)</f>
        <v>1019.1999999999999</v>
      </c>
      <c r="AQ42" s="1026">
        <v>-11.2</v>
      </c>
      <c r="AR42" s="1026"/>
      <c r="AS42" s="1026">
        <f t="shared" si="6"/>
        <v>31</v>
      </c>
      <c r="AT42" s="1026">
        <f>AS42*(списки!$C$56-AQ42)</f>
        <v>967.19999999999993</v>
      </c>
      <c r="AU42" s="1032">
        <v>-2.9</v>
      </c>
      <c r="AV42" s="1032"/>
      <c r="AW42" s="1032">
        <f t="shared" si="7"/>
        <v>30</v>
      </c>
      <c r="AX42" s="1032">
        <f>AW42*(списки!$C$56-AU42)</f>
        <v>687</v>
      </c>
      <c r="AY42" s="1033">
        <v>3.1</v>
      </c>
      <c r="AZ42" s="1033"/>
      <c r="BA42" s="1033">
        <f t="shared" si="8"/>
        <v>31</v>
      </c>
      <c r="BB42" s="1033">
        <f>BA42*(списки!$C$56-AY42)</f>
        <v>523.9</v>
      </c>
      <c r="BC42" s="1034">
        <v>10.199999999999999</v>
      </c>
      <c r="BD42" s="1034"/>
      <c r="BE42" s="1034">
        <f t="shared" si="9"/>
        <v>2</v>
      </c>
      <c r="BF42" s="1035">
        <f>BE42*(списки!$C$56-BC42)</f>
        <v>19.600000000000001</v>
      </c>
      <c r="BG42" s="1424" t="e">
        <v>#N/A</v>
      </c>
      <c r="BH42" s="1424" t="e">
        <v>#N/A</v>
      </c>
    </row>
    <row r="43" spans="2:60" ht="15.75" customHeight="1" x14ac:dyDescent="0.25">
      <c r="B43" s="1013" t="s">
        <v>36</v>
      </c>
      <c r="C43" s="1014" t="s">
        <v>39</v>
      </c>
      <c r="D43" s="1015" t="str">
        <f t="shared" si="0"/>
        <v>Архангельская областьЕмецк</v>
      </c>
      <c r="E43" s="1016">
        <v>249</v>
      </c>
      <c r="F43" s="1017">
        <v>-4.7</v>
      </c>
      <c r="G43" s="1017">
        <v>-33</v>
      </c>
      <c r="H43" s="1019">
        <f>H42</f>
        <v>3.4</v>
      </c>
      <c r="I43" s="1020">
        <f>E43*(списки!$C$56-F43)</f>
        <v>6150.3</v>
      </c>
      <c r="J43" s="1021" t="str">
        <f t="shared" si="1"/>
        <v>6000-7000</v>
      </c>
      <c r="K43" s="1022">
        <v>16.100000000000001</v>
      </c>
      <c r="L43" s="1022"/>
      <c r="M43" s="1023">
        <f t="shared" si="2"/>
        <v>0</v>
      </c>
      <c r="N43" s="1024">
        <f>M43*(списки!$C$56-K43)</f>
        <v>0</v>
      </c>
      <c r="O43" s="1025">
        <v>13.9</v>
      </c>
      <c r="P43" s="1025"/>
      <c r="Q43" s="1025">
        <f t="shared" si="3"/>
        <v>0</v>
      </c>
      <c r="R43" s="1025">
        <f>Q43*(списки!$C$56-O43)</f>
        <v>0</v>
      </c>
      <c r="S43" s="1026">
        <v>8</v>
      </c>
      <c r="T43" s="1026"/>
      <c r="U43" s="1026">
        <f t="shared" si="10"/>
        <v>18.5</v>
      </c>
      <c r="V43" s="1026">
        <f>U43*(списки!$C$56-S43)</f>
        <v>222</v>
      </c>
      <c r="W43" s="1027">
        <v>1.2</v>
      </c>
      <c r="X43" s="1027"/>
      <c r="Y43" s="1027">
        <f t="shared" si="4"/>
        <v>31</v>
      </c>
      <c r="Z43" s="1027">
        <f>Y43*(списки!$C$56-W43)</f>
        <v>582.80000000000007</v>
      </c>
      <c r="AA43" s="1028">
        <v>-4.5</v>
      </c>
      <c r="AB43" s="1028"/>
      <c r="AC43" s="1028">
        <f t="shared" si="5"/>
        <v>30</v>
      </c>
      <c r="AD43" s="1028">
        <f>AC43*(списки!$C$56-AA43)</f>
        <v>735</v>
      </c>
      <c r="AE43" s="1029">
        <v>-10.199999999999999</v>
      </c>
      <c r="AF43" s="1029"/>
      <c r="AG43" s="1029">
        <v>31</v>
      </c>
      <c r="AH43" s="1029">
        <f>AG43*(списки!$C$56-AE43)</f>
        <v>936.19999999999993</v>
      </c>
      <c r="AI43" s="1030">
        <v>-14.1</v>
      </c>
      <c r="AJ43" s="1030"/>
      <c r="AK43" s="1030">
        <v>31</v>
      </c>
      <c r="AL43" s="1030">
        <f>AK43*(списки!$C$56-AI43)</f>
        <v>1057.1000000000001</v>
      </c>
      <c r="AM43" s="1031">
        <v>-12.8</v>
      </c>
      <c r="AN43" s="1031"/>
      <c r="AO43" s="1031">
        <v>28</v>
      </c>
      <c r="AP43" s="1031">
        <f>AO43*(списки!$C$56-AM43)</f>
        <v>918.39999999999986</v>
      </c>
      <c r="AQ43" s="1026">
        <v>-7.3</v>
      </c>
      <c r="AR43" s="1026"/>
      <c r="AS43" s="1026">
        <f t="shared" si="6"/>
        <v>31</v>
      </c>
      <c r="AT43" s="1026">
        <f>AS43*(списки!$C$56-AQ43)</f>
        <v>846.30000000000007</v>
      </c>
      <c r="AU43" s="1032">
        <v>-0.1</v>
      </c>
      <c r="AV43" s="1032"/>
      <c r="AW43" s="1032">
        <f t="shared" si="7"/>
        <v>30</v>
      </c>
      <c r="AX43" s="1032">
        <f>AW43*(списки!$C$56-AU43)</f>
        <v>603</v>
      </c>
      <c r="AY43" s="1033">
        <v>6.6</v>
      </c>
      <c r="AZ43" s="1033"/>
      <c r="BA43" s="1033">
        <f t="shared" si="8"/>
        <v>18.5</v>
      </c>
      <c r="BB43" s="1033">
        <f>BA43*(списки!$C$56-AY43)</f>
        <v>247.9</v>
      </c>
      <c r="BC43" s="1034">
        <v>13.4</v>
      </c>
      <c r="BD43" s="1034"/>
      <c r="BE43" s="1034">
        <f t="shared" si="9"/>
        <v>0</v>
      </c>
      <c r="BF43" s="1035">
        <f>BE43*(списки!$C$56-BC43)</f>
        <v>0</v>
      </c>
      <c r="BG43" s="1424">
        <v>5216.8053571428554</v>
      </c>
      <c r="BH43" s="1424">
        <v>5695.1625000000022</v>
      </c>
    </row>
    <row r="44" spans="2:60" ht="15.75" customHeight="1" x14ac:dyDescent="0.25">
      <c r="B44" s="1036" t="s">
        <v>36</v>
      </c>
      <c r="C44" s="1038" t="s">
        <v>41</v>
      </c>
      <c r="D44" s="1015" t="str">
        <f t="shared" si="0"/>
        <v>Архангельская областьКойнас</v>
      </c>
      <c r="E44" s="1016">
        <v>262</v>
      </c>
      <c r="F44" s="1017">
        <v>-6.2</v>
      </c>
      <c r="G44" s="1017">
        <v>-41</v>
      </c>
      <c r="H44" s="1019">
        <v>2</v>
      </c>
      <c r="I44" s="1020">
        <f>E44*(списки!$C$56-F44)</f>
        <v>6864.4</v>
      </c>
      <c r="J44" s="1021" t="str">
        <f t="shared" si="1"/>
        <v>6000-7000</v>
      </c>
      <c r="K44" s="1022">
        <v>16.100000000000001</v>
      </c>
      <c r="L44" s="1022"/>
      <c r="M44" s="1023">
        <f t="shared" si="2"/>
        <v>0</v>
      </c>
      <c r="N44" s="1024">
        <f>M44*(списки!$C$56-K44)</f>
        <v>0</v>
      </c>
      <c r="O44" s="1025">
        <v>12.4</v>
      </c>
      <c r="P44" s="1025"/>
      <c r="Q44" s="1025">
        <f t="shared" si="3"/>
        <v>0</v>
      </c>
      <c r="R44" s="1025">
        <f>Q44*(списки!$C$56-O44)</f>
        <v>0</v>
      </c>
      <c r="S44" s="1026">
        <v>6.9</v>
      </c>
      <c r="T44" s="1026"/>
      <c r="U44" s="1026">
        <f t="shared" si="10"/>
        <v>25</v>
      </c>
      <c r="V44" s="1026">
        <f>U44*(списки!$C$56-S44)</f>
        <v>327.5</v>
      </c>
      <c r="W44" s="1027">
        <v>0.1</v>
      </c>
      <c r="X44" s="1027"/>
      <c r="Y44" s="1027">
        <f t="shared" si="4"/>
        <v>31</v>
      </c>
      <c r="Z44" s="1027">
        <f>Y44*(списки!$C$56-W44)</f>
        <v>616.9</v>
      </c>
      <c r="AA44" s="1028">
        <v>-7.5</v>
      </c>
      <c r="AB44" s="1028"/>
      <c r="AC44" s="1028">
        <f t="shared" si="5"/>
        <v>30</v>
      </c>
      <c r="AD44" s="1028">
        <f>AC44*(списки!$C$56-AA44)</f>
        <v>825</v>
      </c>
      <c r="AE44" s="1029">
        <v>-13.1</v>
      </c>
      <c r="AF44" s="1029"/>
      <c r="AG44" s="1029">
        <v>31</v>
      </c>
      <c r="AH44" s="1029">
        <f>AG44*(списки!$C$56-AE44)</f>
        <v>1026.1000000000001</v>
      </c>
      <c r="AI44" s="1030">
        <v>-17.2</v>
      </c>
      <c r="AJ44" s="1030"/>
      <c r="AK44" s="1030">
        <v>31</v>
      </c>
      <c r="AL44" s="1030">
        <f>AK44*(списки!$C$56-AI44)</f>
        <v>1153.2</v>
      </c>
      <c r="AM44" s="1031">
        <v>-15</v>
      </c>
      <c r="AN44" s="1031"/>
      <c r="AO44" s="1031">
        <v>28</v>
      </c>
      <c r="AP44" s="1031">
        <f>AO44*(списки!$C$56-AM44)</f>
        <v>980</v>
      </c>
      <c r="AQ44" s="1026">
        <v>-7.1</v>
      </c>
      <c r="AR44" s="1026"/>
      <c r="AS44" s="1026">
        <f t="shared" si="6"/>
        <v>31</v>
      </c>
      <c r="AT44" s="1026">
        <f>AS44*(списки!$C$56-AQ44)</f>
        <v>840.1</v>
      </c>
      <c r="AU44" s="1032">
        <v>-1.1000000000000001</v>
      </c>
      <c r="AV44" s="1032"/>
      <c r="AW44" s="1032">
        <f t="shared" si="7"/>
        <v>30</v>
      </c>
      <c r="AX44" s="1032">
        <f>AW44*(списки!$C$56-AU44)</f>
        <v>633</v>
      </c>
      <c r="AY44" s="1033">
        <v>5.4</v>
      </c>
      <c r="AZ44" s="1033"/>
      <c r="BA44" s="1033">
        <f t="shared" si="8"/>
        <v>25</v>
      </c>
      <c r="BB44" s="1033">
        <f>BA44*(списки!$C$56-AY44)</f>
        <v>365</v>
      </c>
      <c r="BC44" s="1034">
        <v>12.3</v>
      </c>
      <c r="BD44" s="1034"/>
      <c r="BE44" s="1034">
        <f t="shared" si="9"/>
        <v>0</v>
      </c>
      <c r="BF44" s="1035">
        <f>BE44*(списки!$C$56-BC44)</f>
        <v>0</v>
      </c>
      <c r="BG44" s="1424">
        <v>5978.3357142857167</v>
      </c>
      <c r="BH44" s="1424">
        <v>6279.7567857142885</v>
      </c>
    </row>
    <row r="45" spans="2:60" ht="15.75" customHeight="1" x14ac:dyDescent="0.25">
      <c r="B45" s="1013" t="s">
        <v>36</v>
      </c>
      <c r="C45" s="1014" t="s">
        <v>40</v>
      </c>
      <c r="D45" s="1015" t="str">
        <f t="shared" si="0"/>
        <v>Архангельская областьКотлас</v>
      </c>
      <c r="E45" s="1016">
        <v>237</v>
      </c>
      <c r="F45" s="1017">
        <v>-5</v>
      </c>
      <c r="G45" s="1017">
        <v>-31</v>
      </c>
      <c r="H45" s="1019">
        <v>4.5999999999999996</v>
      </c>
      <c r="I45" s="1020">
        <f>E45*(списки!$C$56-F45)</f>
        <v>5925</v>
      </c>
      <c r="J45" s="1021" t="str">
        <f t="shared" si="1"/>
        <v>5000-6000</v>
      </c>
      <c r="K45" s="1022">
        <v>17.3</v>
      </c>
      <c r="L45" s="1022"/>
      <c r="M45" s="1023">
        <f t="shared" si="2"/>
        <v>0</v>
      </c>
      <c r="N45" s="1024">
        <f>M45*(списки!$C$56-K45)</f>
        <v>0</v>
      </c>
      <c r="O45" s="1025">
        <v>14.2</v>
      </c>
      <c r="P45" s="1025"/>
      <c r="Q45" s="1025">
        <f t="shared" si="3"/>
        <v>0</v>
      </c>
      <c r="R45" s="1025">
        <f>Q45*(списки!$C$56-O45)</f>
        <v>0</v>
      </c>
      <c r="S45" s="1026">
        <v>8.4</v>
      </c>
      <c r="T45" s="1026"/>
      <c r="U45" s="1026">
        <f t="shared" si="10"/>
        <v>12.5</v>
      </c>
      <c r="V45" s="1026">
        <f>U45*(списки!$C$56-S45)</f>
        <v>145</v>
      </c>
      <c r="W45" s="1027">
        <v>1.9</v>
      </c>
      <c r="X45" s="1027"/>
      <c r="Y45" s="1027">
        <f t="shared" si="4"/>
        <v>31</v>
      </c>
      <c r="Z45" s="1027">
        <f>Y45*(списки!$C$56-W45)</f>
        <v>561.1</v>
      </c>
      <c r="AA45" s="1028">
        <v>-5.3</v>
      </c>
      <c r="AB45" s="1028"/>
      <c r="AC45" s="1028">
        <f t="shared" si="5"/>
        <v>30</v>
      </c>
      <c r="AD45" s="1028">
        <f>AC45*(списки!$C$56-AA45)</f>
        <v>759</v>
      </c>
      <c r="AE45" s="1029">
        <v>-10.8</v>
      </c>
      <c r="AF45" s="1029"/>
      <c r="AG45" s="1029">
        <v>31</v>
      </c>
      <c r="AH45" s="1029">
        <f>AG45*(списки!$C$56-AE45)</f>
        <v>954.80000000000007</v>
      </c>
      <c r="AI45" s="1030">
        <v>-14.1</v>
      </c>
      <c r="AJ45" s="1030"/>
      <c r="AK45" s="1030">
        <v>31</v>
      </c>
      <c r="AL45" s="1030">
        <f>AK45*(списки!$C$56-AI45)</f>
        <v>1057.1000000000001</v>
      </c>
      <c r="AM45" s="1031">
        <v>-12.2</v>
      </c>
      <c r="AN45" s="1031"/>
      <c r="AO45" s="1031">
        <v>28</v>
      </c>
      <c r="AP45" s="1031">
        <f>AO45*(списки!$C$56-AM45)</f>
        <v>901.60000000000014</v>
      </c>
      <c r="AQ45" s="1026">
        <v>-4.7</v>
      </c>
      <c r="AR45" s="1026"/>
      <c r="AS45" s="1026">
        <f t="shared" si="6"/>
        <v>31</v>
      </c>
      <c r="AT45" s="1026">
        <f>AS45*(списки!$C$56-AQ45)</f>
        <v>765.69999999999993</v>
      </c>
      <c r="AU45" s="1032">
        <v>2.2999999999999998</v>
      </c>
      <c r="AV45" s="1032"/>
      <c r="AW45" s="1032">
        <f t="shared" si="7"/>
        <v>30</v>
      </c>
      <c r="AX45" s="1032">
        <f>AW45*(списки!$C$56-AU45)</f>
        <v>531</v>
      </c>
      <c r="AY45" s="1033">
        <v>9</v>
      </c>
      <c r="AZ45" s="1033"/>
      <c r="BA45" s="1033">
        <f t="shared" si="8"/>
        <v>12.5</v>
      </c>
      <c r="BB45" s="1033">
        <f>BA45*(списки!$C$56-AY45)</f>
        <v>137.5</v>
      </c>
      <c r="BC45" s="1034">
        <v>14.6</v>
      </c>
      <c r="BD45" s="1034"/>
      <c r="BE45" s="1034">
        <f t="shared" si="9"/>
        <v>0</v>
      </c>
      <c r="BF45" s="1035">
        <f>BE45*(списки!$C$56-BC45)</f>
        <v>0</v>
      </c>
      <c r="BG45" s="1424">
        <v>5274.460119047616</v>
      </c>
      <c r="BH45" s="1424">
        <v>5458.2249999999976</v>
      </c>
    </row>
    <row r="46" spans="2:60" ht="15.75" customHeight="1" x14ac:dyDescent="0.25">
      <c r="B46" s="1036" t="s">
        <v>36</v>
      </c>
      <c r="C46" s="1038" t="s">
        <v>42</v>
      </c>
      <c r="D46" s="1015" t="str">
        <f t="shared" si="0"/>
        <v>Архангельская областьМезень</v>
      </c>
      <c r="E46" s="1016">
        <v>268</v>
      </c>
      <c r="F46" s="1017">
        <v>-5.3</v>
      </c>
      <c r="G46" s="1017">
        <v>-35</v>
      </c>
      <c r="H46" s="1019">
        <v>4.5</v>
      </c>
      <c r="I46" s="1020">
        <f>E46*(списки!$C$56-F46)</f>
        <v>6780.4000000000005</v>
      </c>
      <c r="J46" s="1021" t="str">
        <f t="shared" si="1"/>
        <v>6000-7000</v>
      </c>
      <c r="K46" s="1022">
        <v>14.5</v>
      </c>
      <c r="L46" s="1022"/>
      <c r="M46" s="1023">
        <f t="shared" si="2"/>
        <v>0</v>
      </c>
      <c r="N46" s="1024">
        <f>M46*(списки!$C$56-K46)</f>
        <v>0</v>
      </c>
      <c r="O46" s="1025">
        <v>11.9</v>
      </c>
      <c r="P46" s="1025"/>
      <c r="Q46" s="1025">
        <f t="shared" si="3"/>
        <v>0</v>
      </c>
      <c r="R46" s="1025">
        <f>Q46*(списки!$C$56-O46)</f>
        <v>0</v>
      </c>
      <c r="S46" s="1026">
        <v>7.1</v>
      </c>
      <c r="T46" s="1026"/>
      <c r="U46" s="1026">
        <f t="shared" si="10"/>
        <v>28</v>
      </c>
      <c r="V46" s="1026">
        <f>U46*(списки!$C$56-S46)</f>
        <v>361.2</v>
      </c>
      <c r="W46" s="1027">
        <v>0.6</v>
      </c>
      <c r="X46" s="1027"/>
      <c r="Y46" s="1027">
        <f t="shared" si="4"/>
        <v>31</v>
      </c>
      <c r="Z46" s="1027">
        <f>Y46*(списки!$C$56-W46)</f>
        <v>601.4</v>
      </c>
      <c r="AA46" s="1028">
        <v>-6.3</v>
      </c>
      <c r="AB46" s="1028"/>
      <c r="AC46" s="1028">
        <f t="shared" si="5"/>
        <v>30</v>
      </c>
      <c r="AD46" s="1028">
        <f>AC46*(списки!$C$56-AA46)</f>
        <v>789</v>
      </c>
      <c r="AE46" s="1029">
        <v>-11</v>
      </c>
      <c r="AF46" s="1029"/>
      <c r="AG46" s="1029">
        <v>31</v>
      </c>
      <c r="AH46" s="1029">
        <f>AG46*(списки!$C$56-AE46)</f>
        <v>961</v>
      </c>
      <c r="AI46" s="1030">
        <v>-14.8</v>
      </c>
      <c r="AJ46" s="1030"/>
      <c r="AK46" s="1030">
        <v>31</v>
      </c>
      <c r="AL46" s="1030">
        <f>AK46*(списки!$C$56-AI46)</f>
        <v>1078.8</v>
      </c>
      <c r="AM46" s="1031">
        <v>-13.4</v>
      </c>
      <c r="AN46" s="1031"/>
      <c r="AO46" s="1031">
        <v>28</v>
      </c>
      <c r="AP46" s="1031">
        <f>AO46*(списки!$C$56-AM46)</f>
        <v>935.19999999999993</v>
      </c>
      <c r="AQ46" s="1026">
        <v>-7.2</v>
      </c>
      <c r="AR46" s="1026"/>
      <c r="AS46" s="1026">
        <f t="shared" si="6"/>
        <v>31</v>
      </c>
      <c r="AT46" s="1026">
        <f>AS46*(списки!$C$56-AQ46)</f>
        <v>843.19999999999993</v>
      </c>
      <c r="AU46" s="1032">
        <v>-2.2000000000000002</v>
      </c>
      <c r="AV46" s="1032"/>
      <c r="AW46" s="1032">
        <f t="shared" si="7"/>
        <v>30</v>
      </c>
      <c r="AX46" s="1032">
        <f>AW46*(списки!$C$56-AU46)</f>
        <v>666</v>
      </c>
      <c r="AY46" s="1033">
        <v>4</v>
      </c>
      <c r="AZ46" s="1033"/>
      <c r="BA46" s="1033">
        <f t="shared" si="8"/>
        <v>28</v>
      </c>
      <c r="BB46" s="1033">
        <f>BA46*(списки!$C$56-AY46)</f>
        <v>448</v>
      </c>
      <c r="BC46" s="1034">
        <v>10.5</v>
      </c>
      <c r="BD46" s="1034"/>
      <c r="BE46" s="1034">
        <f t="shared" si="9"/>
        <v>0</v>
      </c>
      <c r="BF46" s="1035">
        <f>BE46*(списки!$C$56-BC46)</f>
        <v>0</v>
      </c>
      <c r="BG46" s="1424">
        <v>5725.2071428571453</v>
      </c>
      <c r="BH46" s="1424">
        <v>6249.0232142857121</v>
      </c>
    </row>
    <row r="47" spans="2:60" ht="15.75" customHeight="1" x14ac:dyDescent="0.25">
      <c r="B47" s="1013" t="s">
        <v>36</v>
      </c>
      <c r="C47" s="1014" t="s">
        <v>43</v>
      </c>
      <c r="D47" s="1015" t="str">
        <f t="shared" si="0"/>
        <v>Архангельская областьОнега</v>
      </c>
      <c r="E47" s="1016">
        <v>243</v>
      </c>
      <c r="F47" s="1017">
        <v>-4</v>
      </c>
      <c r="G47" s="1017">
        <v>-32</v>
      </c>
      <c r="H47" s="1019">
        <v>3.7</v>
      </c>
      <c r="I47" s="1020">
        <f>E47*(списки!$C$56-F47)</f>
        <v>5832</v>
      </c>
      <c r="J47" s="1021" t="str">
        <f t="shared" si="1"/>
        <v>5000-6000</v>
      </c>
      <c r="K47" s="1022">
        <v>16.7</v>
      </c>
      <c r="L47" s="1022"/>
      <c r="M47" s="1023">
        <f t="shared" si="2"/>
        <v>0</v>
      </c>
      <c r="N47" s="1024">
        <f>M47*(списки!$C$56-K47)</f>
        <v>0</v>
      </c>
      <c r="O47" s="1025">
        <v>13.9</v>
      </c>
      <c r="P47" s="1025"/>
      <c r="Q47" s="1025">
        <f t="shared" si="3"/>
        <v>0</v>
      </c>
      <c r="R47" s="1025">
        <f>Q47*(списки!$C$56-O47)</f>
        <v>0</v>
      </c>
      <c r="S47" s="1026">
        <v>8.6999999999999993</v>
      </c>
      <c r="T47" s="1026"/>
      <c r="U47" s="1026">
        <f t="shared" si="10"/>
        <v>15.5</v>
      </c>
      <c r="V47" s="1026">
        <f>U47*(списки!$C$56-S47)</f>
        <v>175.15</v>
      </c>
      <c r="W47" s="1027">
        <v>2.5</v>
      </c>
      <c r="X47" s="1027"/>
      <c r="Y47" s="1027">
        <f t="shared" si="4"/>
        <v>31</v>
      </c>
      <c r="Z47" s="1027">
        <f>Y47*(списки!$C$56-W47)</f>
        <v>542.5</v>
      </c>
      <c r="AA47" s="1028">
        <v>-3.8</v>
      </c>
      <c r="AB47" s="1028"/>
      <c r="AC47" s="1028">
        <f t="shared" si="5"/>
        <v>30</v>
      </c>
      <c r="AD47" s="1028">
        <f>AC47*(списки!$C$56-AA47)</f>
        <v>714</v>
      </c>
      <c r="AE47" s="1029">
        <v>-8.6999999999999993</v>
      </c>
      <c r="AF47" s="1029"/>
      <c r="AG47" s="1029">
        <v>31</v>
      </c>
      <c r="AH47" s="1029">
        <f>AG47*(списки!$C$56-AE47)</f>
        <v>889.69999999999993</v>
      </c>
      <c r="AI47" s="1030">
        <v>-12.3</v>
      </c>
      <c r="AJ47" s="1030"/>
      <c r="AK47" s="1030">
        <v>31</v>
      </c>
      <c r="AL47" s="1030">
        <f>AK47*(списки!$C$56-AI47)</f>
        <v>1001.3</v>
      </c>
      <c r="AM47" s="1031">
        <v>-11</v>
      </c>
      <c r="AN47" s="1031"/>
      <c r="AO47" s="1031">
        <v>28</v>
      </c>
      <c r="AP47" s="1031">
        <f>AO47*(списки!$C$56-AM47)</f>
        <v>868</v>
      </c>
      <c r="AQ47" s="1026">
        <v>-5</v>
      </c>
      <c r="AR47" s="1026"/>
      <c r="AS47" s="1026">
        <f t="shared" si="6"/>
        <v>31</v>
      </c>
      <c r="AT47" s="1026">
        <f>AS47*(списки!$C$56-AQ47)</f>
        <v>775</v>
      </c>
      <c r="AU47" s="1032">
        <v>0.8</v>
      </c>
      <c r="AV47" s="1032"/>
      <c r="AW47" s="1032">
        <f t="shared" si="7"/>
        <v>30</v>
      </c>
      <c r="AX47" s="1032">
        <f>AW47*(списки!$C$56-AU47)</f>
        <v>576</v>
      </c>
      <c r="AY47" s="1033">
        <v>7.2</v>
      </c>
      <c r="AZ47" s="1033"/>
      <c r="BA47" s="1033">
        <f t="shared" si="8"/>
        <v>15.5</v>
      </c>
      <c r="BB47" s="1033">
        <f>BA47*(списки!$C$56-AY47)</f>
        <v>198.4</v>
      </c>
      <c r="BC47" s="1034">
        <v>13.4</v>
      </c>
      <c r="BD47" s="1034"/>
      <c r="BE47" s="1034">
        <f t="shared" si="9"/>
        <v>0</v>
      </c>
      <c r="BF47" s="1035">
        <f>BE47*(списки!$C$56-BC47)</f>
        <v>0</v>
      </c>
      <c r="BG47" s="1424">
        <v>4955.1142857142831</v>
      </c>
      <c r="BH47" s="1424">
        <v>5600.7749999999978</v>
      </c>
    </row>
    <row r="48" spans="2:60" ht="15.75" customHeight="1" x14ac:dyDescent="0.25">
      <c r="B48" s="1038" t="s">
        <v>44</v>
      </c>
      <c r="C48" s="1038" t="s">
        <v>45</v>
      </c>
      <c r="D48" s="1015" t="str">
        <f t="shared" si="0"/>
        <v>Астраханская областьАстрахань</v>
      </c>
      <c r="E48" s="1016">
        <v>164</v>
      </c>
      <c r="F48" s="1017">
        <v>-0.8</v>
      </c>
      <c r="G48" s="1017">
        <v>-21</v>
      </c>
      <c r="H48" s="1019">
        <v>3.8</v>
      </c>
      <c r="I48" s="1020">
        <f>E48*(списки!$C$56-F48)</f>
        <v>3411.2000000000003</v>
      </c>
      <c r="J48" s="1021" t="str">
        <f t="shared" si="1"/>
        <v>3000-4000</v>
      </c>
      <c r="K48" s="1022">
        <v>25.4</v>
      </c>
      <c r="L48" s="1022"/>
      <c r="M48" s="1023">
        <f t="shared" si="2"/>
        <v>0</v>
      </c>
      <c r="N48" s="1024">
        <f>M48*(списки!$C$56-K48)</f>
        <v>0</v>
      </c>
      <c r="O48" s="1025">
        <v>23.8</v>
      </c>
      <c r="P48" s="1025"/>
      <c r="Q48" s="1025">
        <f t="shared" si="3"/>
        <v>0</v>
      </c>
      <c r="R48" s="1025">
        <f>Q48*(списки!$C$56-O48)</f>
        <v>0</v>
      </c>
      <c r="S48" s="1026">
        <v>17.600000000000001</v>
      </c>
      <c r="T48" s="1026"/>
      <c r="U48" s="1026">
        <f t="shared" si="10"/>
        <v>0</v>
      </c>
      <c r="V48" s="1026">
        <f>U48*(списки!$C$56-S48)</f>
        <v>0</v>
      </c>
      <c r="W48" s="1027">
        <v>10</v>
      </c>
      <c r="X48" s="1027"/>
      <c r="Y48" s="1027">
        <f t="shared" si="4"/>
        <v>6.5</v>
      </c>
      <c r="Z48" s="1027">
        <f>Y48*(списки!$C$56-W48)</f>
        <v>65</v>
      </c>
      <c r="AA48" s="1028">
        <v>3.4</v>
      </c>
      <c r="AB48" s="1028"/>
      <c r="AC48" s="1028">
        <f t="shared" si="5"/>
        <v>30</v>
      </c>
      <c r="AD48" s="1028">
        <f>AC48*(списки!$C$56-AA48)</f>
        <v>498.00000000000006</v>
      </c>
      <c r="AE48" s="1029">
        <v>-2</v>
      </c>
      <c r="AF48" s="1029"/>
      <c r="AG48" s="1029">
        <v>31</v>
      </c>
      <c r="AH48" s="1029">
        <f>AG48*(списки!$C$56-AE48)</f>
        <v>682</v>
      </c>
      <c r="AI48" s="1030">
        <v>-4.8</v>
      </c>
      <c r="AJ48" s="1030"/>
      <c r="AK48" s="1030">
        <v>31</v>
      </c>
      <c r="AL48" s="1030">
        <f>AK48*(списки!$C$56-AI48)</f>
        <v>768.80000000000007</v>
      </c>
      <c r="AM48" s="1031">
        <v>-4.3</v>
      </c>
      <c r="AN48" s="1031"/>
      <c r="AO48" s="1031">
        <v>28</v>
      </c>
      <c r="AP48" s="1031">
        <f>AO48*(списки!$C$56-AM48)</f>
        <v>680.4</v>
      </c>
      <c r="AQ48" s="1026">
        <v>2</v>
      </c>
      <c r="AR48" s="1026"/>
      <c r="AS48" s="1026">
        <f t="shared" si="6"/>
        <v>31</v>
      </c>
      <c r="AT48" s="1026">
        <f>AS48*(списки!$C$56-AQ48)</f>
        <v>558</v>
      </c>
      <c r="AU48" s="1032">
        <v>11.3</v>
      </c>
      <c r="AV48" s="1032"/>
      <c r="AW48" s="1032">
        <f t="shared" si="7"/>
        <v>6.5</v>
      </c>
      <c r="AX48" s="1032">
        <f>AW48*(списки!$C$56-AU48)</f>
        <v>56.55</v>
      </c>
      <c r="AY48" s="1033">
        <v>18</v>
      </c>
      <c r="AZ48" s="1033"/>
      <c r="BA48" s="1033">
        <f t="shared" si="8"/>
        <v>0</v>
      </c>
      <c r="BB48" s="1033">
        <f>BA48*(списки!$C$56-AY48)</f>
        <v>0</v>
      </c>
      <c r="BC48" s="1034">
        <v>22.9</v>
      </c>
      <c r="BD48" s="1034"/>
      <c r="BE48" s="1034">
        <f t="shared" si="9"/>
        <v>0</v>
      </c>
      <c r="BF48" s="1035">
        <f>BE48*(списки!$C$56-BC48)</f>
        <v>0</v>
      </c>
      <c r="BG48" s="1424">
        <v>3295.6482142857139</v>
      </c>
      <c r="BH48" s="1424">
        <v>3052.6499999999996</v>
      </c>
    </row>
    <row r="49" spans="2:60" ht="15.75" customHeight="1" x14ac:dyDescent="0.25">
      <c r="B49" s="1014" t="s">
        <v>44</v>
      </c>
      <c r="C49" s="1014" t="s">
        <v>46</v>
      </c>
      <c r="D49" s="1015" t="str">
        <f t="shared" si="0"/>
        <v>Астраханская областьВерхний Баскунчак</v>
      </c>
      <c r="E49" s="1016">
        <v>174</v>
      </c>
      <c r="F49" s="1017">
        <v>-2.5</v>
      </c>
      <c r="G49" s="1017">
        <v>-24</v>
      </c>
      <c r="H49" s="1019">
        <v>3.7</v>
      </c>
      <c r="I49" s="1020">
        <f>E49*(списки!$C$56-F49)</f>
        <v>3915</v>
      </c>
      <c r="J49" s="1021" t="str">
        <f t="shared" si="1"/>
        <v>3000-4000</v>
      </c>
      <c r="K49" s="1022">
        <v>25.1</v>
      </c>
      <c r="L49" s="1022"/>
      <c r="M49" s="1023">
        <f t="shared" si="2"/>
        <v>0</v>
      </c>
      <c r="N49" s="1024">
        <f>M49*(списки!$C$56-K49)</f>
        <v>0</v>
      </c>
      <c r="O49" s="1025">
        <v>23.6</v>
      </c>
      <c r="P49" s="1025"/>
      <c r="Q49" s="1025">
        <f t="shared" si="3"/>
        <v>0</v>
      </c>
      <c r="R49" s="1025">
        <f>Q49*(списки!$C$56-O49)</f>
        <v>0</v>
      </c>
      <c r="S49" s="1026">
        <v>16.8</v>
      </c>
      <c r="T49" s="1026"/>
      <c r="U49" s="1026">
        <f t="shared" si="10"/>
        <v>0</v>
      </c>
      <c r="V49" s="1026">
        <f>U49*(списки!$C$56-S49)</f>
        <v>0</v>
      </c>
      <c r="W49" s="1027">
        <v>8.5</v>
      </c>
      <c r="X49" s="1027"/>
      <c r="Y49" s="1027">
        <f t="shared" si="4"/>
        <v>11.5</v>
      </c>
      <c r="Z49" s="1027">
        <f>Y49*(списки!$C$56-W49)</f>
        <v>132.25</v>
      </c>
      <c r="AA49" s="1028">
        <v>1.2</v>
      </c>
      <c r="AB49" s="1028"/>
      <c r="AC49" s="1028">
        <f t="shared" si="5"/>
        <v>30</v>
      </c>
      <c r="AD49" s="1028">
        <f>AC49*(списки!$C$56-AA49)</f>
        <v>564</v>
      </c>
      <c r="AE49" s="1029">
        <v>-4.5999999999999996</v>
      </c>
      <c r="AF49" s="1029"/>
      <c r="AG49" s="1029">
        <v>31</v>
      </c>
      <c r="AH49" s="1029">
        <f>AG49*(списки!$C$56-AE49)</f>
        <v>762.6</v>
      </c>
      <c r="AI49" s="1030">
        <v>-7.5</v>
      </c>
      <c r="AJ49" s="1030"/>
      <c r="AK49" s="1030">
        <v>31</v>
      </c>
      <c r="AL49" s="1030">
        <f>AK49*(списки!$C$56-AI49)</f>
        <v>852.5</v>
      </c>
      <c r="AM49" s="1031">
        <v>-7</v>
      </c>
      <c r="AN49" s="1031"/>
      <c r="AO49" s="1031">
        <v>28</v>
      </c>
      <c r="AP49" s="1031">
        <f>AO49*(списки!$C$56-AM49)</f>
        <v>756</v>
      </c>
      <c r="AQ49" s="1026">
        <v>0.1</v>
      </c>
      <c r="AR49" s="1026"/>
      <c r="AS49" s="1026">
        <f t="shared" si="6"/>
        <v>31</v>
      </c>
      <c r="AT49" s="1026">
        <f>AS49*(списки!$C$56-AQ49)</f>
        <v>616.9</v>
      </c>
      <c r="AU49" s="1032">
        <v>10.6</v>
      </c>
      <c r="AV49" s="1032"/>
      <c r="AW49" s="1032">
        <f t="shared" si="7"/>
        <v>11.5</v>
      </c>
      <c r="AX49" s="1032">
        <f>AW49*(списки!$C$56-AU49)</f>
        <v>108.10000000000001</v>
      </c>
      <c r="AY49" s="1033">
        <v>17.600000000000001</v>
      </c>
      <c r="AZ49" s="1033"/>
      <c r="BA49" s="1033">
        <f t="shared" si="8"/>
        <v>0</v>
      </c>
      <c r="BB49" s="1033">
        <f>BA49*(списки!$C$56-AY49)</f>
        <v>0</v>
      </c>
      <c r="BC49" s="1034">
        <v>22.6</v>
      </c>
      <c r="BD49" s="1034"/>
      <c r="BE49" s="1034">
        <f t="shared" si="9"/>
        <v>0</v>
      </c>
      <c r="BF49" s="1035">
        <f>BE49*(списки!$C$56-BC49)</f>
        <v>0</v>
      </c>
      <c r="BG49" s="1424">
        <v>3739.6553571428562</v>
      </c>
      <c r="BH49" s="1424">
        <v>3698.474999999999</v>
      </c>
    </row>
    <row r="50" spans="2:60" ht="15.75" customHeight="1" x14ac:dyDescent="0.25">
      <c r="B50" s="1038" t="s">
        <v>47</v>
      </c>
      <c r="C50" s="1038" t="s">
        <v>48</v>
      </c>
      <c r="D50" s="1015" t="str">
        <f t="shared" si="0"/>
        <v>Белгородская областьБелгород</v>
      </c>
      <c r="E50" s="1016">
        <v>191</v>
      </c>
      <c r="F50" s="1017">
        <v>-1.9</v>
      </c>
      <c r="G50" s="1017">
        <v>-23</v>
      </c>
      <c r="H50" s="1019">
        <v>5.9</v>
      </c>
      <c r="I50" s="1020">
        <f>E50*(списки!$C$56-F50)</f>
        <v>4182.8999999999996</v>
      </c>
      <c r="J50" s="1021" t="str">
        <f t="shared" si="1"/>
        <v>4000-5000</v>
      </c>
      <c r="K50" s="1022">
        <v>19.899999999999999</v>
      </c>
      <c r="L50" s="1022"/>
      <c r="M50" s="1023">
        <f t="shared" si="2"/>
        <v>0</v>
      </c>
      <c r="N50" s="1024">
        <f>M50*(списки!$C$56-K50)</f>
        <v>0</v>
      </c>
      <c r="O50" s="1025">
        <v>18.7</v>
      </c>
      <c r="P50" s="1025"/>
      <c r="Q50" s="1025">
        <f t="shared" si="3"/>
        <v>0</v>
      </c>
      <c r="R50" s="1025">
        <f>Q50*(списки!$C$56-O50)</f>
        <v>0</v>
      </c>
      <c r="S50" s="1026">
        <v>12.9</v>
      </c>
      <c r="T50" s="1026"/>
      <c r="U50" s="1026">
        <f t="shared" si="10"/>
        <v>0</v>
      </c>
      <c r="V50" s="1026">
        <f>U50*(списки!$C$56-S50)</f>
        <v>0</v>
      </c>
      <c r="W50" s="1027">
        <v>6.4</v>
      </c>
      <c r="X50" s="1027"/>
      <c r="Y50" s="1027">
        <f t="shared" si="4"/>
        <v>20</v>
      </c>
      <c r="Z50" s="1027">
        <f>Y50*(списки!$C$56-W50)</f>
        <v>272</v>
      </c>
      <c r="AA50" s="1028">
        <v>0.3</v>
      </c>
      <c r="AB50" s="1028"/>
      <c r="AC50" s="1028">
        <f t="shared" si="5"/>
        <v>30</v>
      </c>
      <c r="AD50" s="1028">
        <f>AC50*(списки!$C$56-AA50)</f>
        <v>591</v>
      </c>
      <c r="AE50" s="1029">
        <v>-4.5</v>
      </c>
      <c r="AF50" s="1029"/>
      <c r="AG50" s="1029">
        <v>31</v>
      </c>
      <c r="AH50" s="1029">
        <f>AG50*(списки!$C$56-AE50)</f>
        <v>759.5</v>
      </c>
      <c r="AI50" s="1030">
        <v>-8.5</v>
      </c>
      <c r="AJ50" s="1030"/>
      <c r="AK50" s="1030">
        <v>31</v>
      </c>
      <c r="AL50" s="1030">
        <f>AK50*(списки!$C$56-AI50)</f>
        <v>883.5</v>
      </c>
      <c r="AM50" s="1031">
        <v>-6.4</v>
      </c>
      <c r="AN50" s="1031"/>
      <c r="AO50" s="1031">
        <v>28</v>
      </c>
      <c r="AP50" s="1031">
        <f>AO50*(списки!$C$56-AM50)</f>
        <v>739.19999999999993</v>
      </c>
      <c r="AQ50" s="1026">
        <v>-2.5</v>
      </c>
      <c r="AR50" s="1026"/>
      <c r="AS50" s="1026">
        <f t="shared" si="6"/>
        <v>31</v>
      </c>
      <c r="AT50" s="1026">
        <f>AS50*(списки!$C$56-AQ50)</f>
        <v>697.5</v>
      </c>
      <c r="AU50" s="1032">
        <v>7.5</v>
      </c>
      <c r="AV50" s="1032"/>
      <c r="AW50" s="1032">
        <f t="shared" si="7"/>
        <v>20</v>
      </c>
      <c r="AX50" s="1032">
        <f>AW50*(списки!$C$56-AU50)</f>
        <v>250</v>
      </c>
      <c r="AY50" s="1033">
        <v>14.6</v>
      </c>
      <c r="AZ50" s="1033"/>
      <c r="BA50" s="1033">
        <f t="shared" si="8"/>
        <v>0</v>
      </c>
      <c r="BB50" s="1033">
        <f>BA50*(списки!$C$56-AY50)</f>
        <v>0</v>
      </c>
      <c r="BC50" s="1034">
        <v>17.899999999999999</v>
      </c>
      <c r="BD50" s="1034"/>
      <c r="BE50" s="1034">
        <f t="shared" si="9"/>
        <v>0</v>
      </c>
      <c r="BF50" s="1035">
        <f>BE50*(списки!$C$56-BC50)</f>
        <v>0</v>
      </c>
      <c r="BG50" s="1424" t="e">
        <v>#N/A</v>
      </c>
      <c r="BH50" s="1424" t="e">
        <v>#N/A</v>
      </c>
    </row>
    <row r="51" spans="2:60" ht="15.75" customHeight="1" x14ac:dyDescent="0.25">
      <c r="B51" s="1014" t="s">
        <v>50</v>
      </c>
      <c r="C51" s="1014" t="s">
        <v>51</v>
      </c>
      <c r="D51" s="1015" t="str">
        <f t="shared" si="0"/>
        <v>Брянская областьБрянск</v>
      </c>
      <c r="E51" s="1016">
        <v>199</v>
      </c>
      <c r="F51" s="1017">
        <v>-2</v>
      </c>
      <c r="G51" s="1017">
        <v>-24</v>
      </c>
      <c r="H51" s="1019">
        <v>3.4</v>
      </c>
      <c r="I51" s="1020">
        <f>E51*(списки!$C$56-F51)</f>
        <v>4378</v>
      </c>
      <c r="J51" s="1021" t="str">
        <f t="shared" si="1"/>
        <v>4000-5000</v>
      </c>
      <c r="K51" s="1022">
        <v>18.399999999999999</v>
      </c>
      <c r="L51" s="1022"/>
      <c r="M51" s="1023">
        <f t="shared" si="2"/>
        <v>0</v>
      </c>
      <c r="N51" s="1024">
        <f>M51*(списки!$C$56-K51)</f>
        <v>0</v>
      </c>
      <c r="O51" s="1025">
        <v>17.2</v>
      </c>
      <c r="P51" s="1025"/>
      <c r="Q51" s="1025">
        <f t="shared" si="3"/>
        <v>0</v>
      </c>
      <c r="R51" s="1025">
        <f>Q51*(списки!$C$56-O51)</f>
        <v>0</v>
      </c>
      <c r="S51" s="1026">
        <v>11.7</v>
      </c>
      <c r="T51" s="1026"/>
      <c r="U51" s="1026">
        <f t="shared" si="10"/>
        <v>0</v>
      </c>
      <c r="V51" s="1026">
        <f>U51*(списки!$C$56-S51)</f>
        <v>0</v>
      </c>
      <c r="W51" s="1027">
        <v>5.6</v>
      </c>
      <c r="X51" s="1027"/>
      <c r="Y51" s="1027">
        <f t="shared" si="4"/>
        <v>24</v>
      </c>
      <c r="Z51" s="1027">
        <f>Y51*(списки!$C$56-W51)</f>
        <v>345.6</v>
      </c>
      <c r="AA51" s="1028">
        <v>-0.4</v>
      </c>
      <c r="AB51" s="1028"/>
      <c r="AC51" s="1028">
        <f t="shared" si="5"/>
        <v>30</v>
      </c>
      <c r="AD51" s="1028">
        <f>AC51*(списки!$C$56-AA51)</f>
        <v>612</v>
      </c>
      <c r="AE51" s="1029">
        <v>-5</v>
      </c>
      <c r="AF51" s="1029"/>
      <c r="AG51" s="1029">
        <v>31</v>
      </c>
      <c r="AH51" s="1029">
        <f>AG51*(списки!$C$56-AE51)</f>
        <v>775</v>
      </c>
      <c r="AI51" s="1030">
        <v>-7.4</v>
      </c>
      <c r="AJ51" s="1030"/>
      <c r="AK51" s="1030">
        <v>31</v>
      </c>
      <c r="AL51" s="1030">
        <f>AK51*(списки!$C$56-AI51)</f>
        <v>849.4</v>
      </c>
      <c r="AM51" s="1031">
        <v>-6.6</v>
      </c>
      <c r="AN51" s="1031"/>
      <c r="AO51" s="1031">
        <v>28</v>
      </c>
      <c r="AP51" s="1031">
        <f>AO51*(списки!$C$56-AM51)</f>
        <v>744.80000000000007</v>
      </c>
      <c r="AQ51" s="1026">
        <v>-1.2</v>
      </c>
      <c r="AR51" s="1026"/>
      <c r="AS51" s="1026">
        <f t="shared" si="6"/>
        <v>31</v>
      </c>
      <c r="AT51" s="1026">
        <f>AS51*(списки!$C$56-AQ51)</f>
        <v>657.19999999999993</v>
      </c>
      <c r="AU51" s="1032">
        <v>7</v>
      </c>
      <c r="AV51" s="1032"/>
      <c r="AW51" s="1032">
        <f t="shared" si="7"/>
        <v>24</v>
      </c>
      <c r="AX51" s="1032">
        <f>AW51*(списки!$C$56-AU51)</f>
        <v>312</v>
      </c>
      <c r="AY51" s="1033">
        <v>13.6</v>
      </c>
      <c r="AZ51" s="1033"/>
      <c r="BA51" s="1033">
        <f t="shared" si="8"/>
        <v>0</v>
      </c>
      <c r="BB51" s="1033">
        <f>BA51*(списки!$C$56-AY51)</f>
        <v>0</v>
      </c>
      <c r="BC51" s="1034">
        <v>16.899999999999999</v>
      </c>
      <c r="BD51" s="1034"/>
      <c r="BE51" s="1034">
        <f t="shared" si="9"/>
        <v>0</v>
      </c>
      <c r="BF51" s="1035">
        <f>BE51*(списки!$C$56-BC51)</f>
        <v>0</v>
      </c>
      <c r="BG51" s="1424">
        <v>3921.3178571428543</v>
      </c>
      <c r="BH51" s="1424">
        <v>4010.472619047619</v>
      </c>
    </row>
    <row r="52" spans="2:60" ht="15.75" customHeight="1" x14ac:dyDescent="0.25">
      <c r="B52" s="1038" t="s">
        <v>409</v>
      </c>
      <c r="C52" s="1038" t="s">
        <v>411</v>
      </c>
      <c r="D52" s="1015" t="str">
        <f t="shared" si="0"/>
        <v>Владимирская областьВладимир</v>
      </c>
      <c r="E52" s="1016">
        <v>213</v>
      </c>
      <c r="F52" s="1017">
        <v>-3.5</v>
      </c>
      <c r="G52" s="1017">
        <v>-28</v>
      </c>
      <c r="H52" s="1019">
        <v>4.5</v>
      </c>
      <c r="I52" s="1020">
        <f>E52*(списки!$C$56-F52)</f>
        <v>5005.5</v>
      </c>
      <c r="J52" s="1021" t="str">
        <f t="shared" si="1"/>
        <v>5000-6000</v>
      </c>
      <c r="K52" s="1022">
        <v>17.899999999999999</v>
      </c>
      <c r="L52" s="1022"/>
      <c r="M52" s="1023">
        <f t="shared" si="2"/>
        <v>0</v>
      </c>
      <c r="N52" s="1024">
        <f>M52*(списки!$C$56-K52)</f>
        <v>0</v>
      </c>
      <c r="O52" s="1025">
        <v>16.399999999999999</v>
      </c>
      <c r="P52" s="1025"/>
      <c r="Q52" s="1025">
        <f t="shared" si="3"/>
        <v>0</v>
      </c>
      <c r="R52" s="1025">
        <f>Q52*(списки!$C$56-O52)</f>
        <v>0</v>
      </c>
      <c r="S52" s="1026">
        <v>10.7</v>
      </c>
      <c r="T52" s="1026"/>
      <c r="U52" s="1026">
        <f t="shared" si="10"/>
        <v>0.5</v>
      </c>
      <c r="V52" s="1026">
        <f>U52*(списки!$C$56-S52)</f>
        <v>4.6500000000000004</v>
      </c>
      <c r="W52" s="1027">
        <v>3.7</v>
      </c>
      <c r="X52" s="1027"/>
      <c r="Y52" s="1027">
        <f t="shared" si="4"/>
        <v>31</v>
      </c>
      <c r="Z52" s="1027">
        <f>Y52*(списки!$C$56-W52)</f>
        <v>505.3</v>
      </c>
      <c r="AA52" s="1028">
        <v>-2.7</v>
      </c>
      <c r="AB52" s="1028"/>
      <c r="AC52" s="1028">
        <f t="shared" si="5"/>
        <v>30</v>
      </c>
      <c r="AD52" s="1028">
        <f>AC52*(списки!$C$56-AA52)</f>
        <v>681</v>
      </c>
      <c r="AE52" s="1029">
        <v>-7.5</v>
      </c>
      <c r="AF52" s="1029"/>
      <c r="AG52" s="1029">
        <v>31</v>
      </c>
      <c r="AH52" s="1029">
        <f>AG52*(списки!$C$56-AE52)</f>
        <v>852.5</v>
      </c>
      <c r="AI52" s="1030">
        <v>-11.1</v>
      </c>
      <c r="AJ52" s="1030"/>
      <c r="AK52" s="1030">
        <v>31</v>
      </c>
      <c r="AL52" s="1030">
        <f>AK52*(списки!$C$56-AI52)</f>
        <v>964.1</v>
      </c>
      <c r="AM52" s="1031">
        <v>-10</v>
      </c>
      <c r="AN52" s="1031"/>
      <c r="AO52" s="1031">
        <v>28</v>
      </c>
      <c r="AP52" s="1031">
        <f>AO52*(списки!$C$56-AM52)</f>
        <v>840</v>
      </c>
      <c r="AQ52" s="1026">
        <v>-4.3</v>
      </c>
      <c r="AR52" s="1026"/>
      <c r="AS52" s="1026">
        <f t="shared" si="6"/>
        <v>31</v>
      </c>
      <c r="AT52" s="1026">
        <f>AS52*(списки!$C$56-AQ52)</f>
        <v>753.30000000000007</v>
      </c>
      <c r="AU52" s="1032">
        <v>4.9000000000000004</v>
      </c>
      <c r="AV52" s="1032"/>
      <c r="AW52" s="1032">
        <f t="shared" si="7"/>
        <v>30</v>
      </c>
      <c r="AX52" s="1032">
        <f>AW52*(списки!$C$56-AU52)</f>
        <v>453</v>
      </c>
      <c r="AY52" s="1033">
        <v>12.2</v>
      </c>
      <c r="AZ52" s="1033"/>
      <c r="BA52" s="1033">
        <f t="shared" si="8"/>
        <v>0.5</v>
      </c>
      <c r="BB52" s="1033">
        <f>BA52*(списки!$C$56-AY52)</f>
        <v>3.9000000000000004</v>
      </c>
      <c r="BC52" s="1034">
        <v>16.600000000000001</v>
      </c>
      <c r="BD52" s="1034"/>
      <c r="BE52" s="1034">
        <f t="shared" si="9"/>
        <v>0</v>
      </c>
      <c r="BF52" s="1035">
        <f>BE52*(списки!$C$56-BC52)</f>
        <v>0</v>
      </c>
      <c r="BG52" s="1424">
        <v>4575.4517857142837</v>
      </c>
      <c r="BH52" s="1424">
        <v>4760.8500000000013</v>
      </c>
    </row>
    <row r="53" spans="2:60" ht="15.75" customHeight="1" x14ac:dyDescent="0.25">
      <c r="B53" s="1014" t="s">
        <v>409</v>
      </c>
      <c r="C53" s="1014" t="s">
        <v>410</v>
      </c>
      <c r="D53" s="1015" t="str">
        <f t="shared" si="0"/>
        <v>Владимирская областьМуром</v>
      </c>
      <c r="E53" s="1016">
        <v>214</v>
      </c>
      <c r="F53" s="1017">
        <v>-4</v>
      </c>
      <c r="G53" s="1017">
        <v>-30</v>
      </c>
      <c r="H53" s="1019">
        <f>H52</f>
        <v>4.5</v>
      </c>
      <c r="I53" s="1020">
        <f>E53*(списки!$C$56-F53)</f>
        <v>5136</v>
      </c>
      <c r="J53" s="1021" t="str">
        <f t="shared" si="1"/>
        <v>5000-6000</v>
      </c>
      <c r="K53" s="1022">
        <v>18.7</v>
      </c>
      <c r="L53" s="1022"/>
      <c r="M53" s="1023">
        <f t="shared" si="2"/>
        <v>0</v>
      </c>
      <c r="N53" s="1024">
        <f>M53*(списки!$C$56-K53)</f>
        <v>0</v>
      </c>
      <c r="O53" s="1025">
        <v>17.2</v>
      </c>
      <c r="P53" s="1025"/>
      <c r="Q53" s="1025">
        <f t="shared" si="3"/>
        <v>0</v>
      </c>
      <c r="R53" s="1025">
        <f>Q53*(списки!$C$56-O53)</f>
        <v>0</v>
      </c>
      <c r="S53" s="1026">
        <v>11.3</v>
      </c>
      <c r="T53" s="1026"/>
      <c r="U53" s="1026">
        <f t="shared" si="10"/>
        <v>1</v>
      </c>
      <c r="V53" s="1026">
        <f>U53*(списки!$C$56-S53)</f>
        <v>8.6999999999999993</v>
      </c>
      <c r="W53" s="1027">
        <v>4.0999999999999996</v>
      </c>
      <c r="X53" s="1027"/>
      <c r="Y53" s="1027">
        <f t="shared" si="4"/>
        <v>31</v>
      </c>
      <c r="Z53" s="1027">
        <f>Y53*(списки!$C$56-W53)</f>
        <v>492.90000000000003</v>
      </c>
      <c r="AA53" s="1028">
        <v>-2.2999999999999998</v>
      </c>
      <c r="AB53" s="1028"/>
      <c r="AC53" s="1028">
        <f t="shared" si="5"/>
        <v>30</v>
      </c>
      <c r="AD53" s="1028">
        <f>AC53*(списки!$C$56-AA53)</f>
        <v>669</v>
      </c>
      <c r="AE53" s="1029">
        <v>-8.1999999999999993</v>
      </c>
      <c r="AF53" s="1029"/>
      <c r="AG53" s="1029">
        <v>31</v>
      </c>
      <c r="AH53" s="1029">
        <f>AG53*(списки!$C$56-AE53)</f>
        <v>874.19999999999993</v>
      </c>
      <c r="AI53" s="1030">
        <v>-11.5</v>
      </c>
      <c r="AJ53" s="1030"/>
      <c r="AK53" s="1030">
        <v>31</v>
      </c>
      <c r="AL53" s="1030">
        <f>AK53*(списки!$C$56-AI53)</f>
        <v>976.5</v>
      </c>
      <c r="AM53" s="1031">
        <v>-10.9</v>
      </c>
      <c r="AN53" s="1031"/>
      <c r="AO53" s="1031">
        <v>28</v>
      </c>
      <c r="AP53" s="1031">
        <f>AO53*(списки!$C$56-AM53)</f>
        <v>865.19999999999993</v>
      </c>
      <c r="AQ53" s="1026">
        <v>-4.9000000000000004</v>
      </c>
      <c r="AR53" s="1026"/>
      <c r="AS53" s="1026">
        <f t="shared" si="6"/>
        <v>31</v>
      </c>
      <c r="AT53" s="1026">
        <f>AS53*(списки!$C$56-AQ53)</f>
        <v>771.9</v>
      </c>
      <c r="AU53" s="1032">
        <v>4.7</v>
      </c>
      <c r="AV53" s="1032"/>
      <c r="AW53" s="1032">
        <f t="shared" si="7"/>
        <v>30</v>
      </c>
      <c r="AX53" s="1032">
        <f>AW53*(списки!$C$56-AU53)</f>
        <v>459</v>
      </c>
      <c r="AY53" s="1033">
        <v>12.5</v>
      </c>
      <c r="AZ53" s="1033"/>
      <c r="BA53" s="1033">
        <f t="shared" si="8"/>
        <v>1</v>
      </c>
      <c r="BB53" s="1033">
        <f>BA53*(списки!$C$56-AY53)</f>
        <v>7.5</v>
      </c>
      <c r="BC53" s="1034">
        <v>16.7</v>
      </c>
      <c r="BD53" s="1034"/>
      <c r="BE53" s="1034">
        <f t="shared" si="9"/>
        <v>0</v>
      </c>
      <c r="BF53" s="1035">
        <f>BE53*(списки!$C$56-BC53)</f>
        <v>0</v>
      </c>
      <c r="BG53" s="1424" t="e">
        <v>#N/A</v>
      </c>
      <c r="BH53" s="1424" t="e">
        <v>#N/A</v>
      </c>
    </row>
    <row r="54" spans="2:60" ht="15.75" customHeight="1" x14ac:dyDescent="0.25">
      <c r="B54" s="1038" t="s">
        <v>293</v>
      </c>
      <c r="C54" s="1038" t="s">
        <v>417</v>
      </c>
      <c r="D54" s="1015" t="str">
        <f t="shared" si="0"/>
        <v>Волгоградская областьВолгоград</v>
      </c>
      <c r="E54" s="1016">
        <v>176</v>
      </c>
      <c r="F54" s="1017">
        <v>-2.2999999999999998</v>
      </c>
      <c r="G54" s="1017">
        <v>-22</v>
      </c>
      <c r="H54" s="1019">
        <v>5.0999999999999996</v>
      </c>
      <c r="I54" s="1020">
        <f>E54*(списки!$C$56-F54)</f>
        <v>3924.8</v>
      </c>
      <c r="J54" s="1021" t="str">
        <f t="shared" si="1"/>
        <v>3000-4000</v>
      </c>
      <c r="K54" s="1022">
        <v>23.9</v>
      </c>
      <c r="L54" s="1022"/>
      <c r="M54" s="1023">
        <f t="shared" si="2"/>
        <v>0</v>
      </c>
      <c r="N54" s="1024">
        <f>M54*(списки!$C$56-K54)</f>
        <v>0</v>
      </c>
      <c r="O54" s="1025">
        <v>22.7</v>
      </c>
      <c r="P54" s="1025"/>
      <c r="Q54" s="1025">
        <f t="shared" si="3"/>
        <v>0</v>
      </c>
      <c r="R54" s="1025">
        <f>Q54*(списки!$C$56-O54)</f>
        <v>0</v>
      </c>
      <c r="S54" s="1026">
        <v>16.3</v>
      </c>
      <c r="T54" s="1026"/>
      <c r="U54" s="1026">
        <f t="shared" si="10"/>
        <v>0</v>
      </c>
      <c r="V54" s="1026">
        <f>U54*(списки!$C$56-S54)</f>
        <v>0</v>
      </c>
      <c r="W54" s="1027">
        <v>8.3000000000000007</v>
      </c>
      <c r="X54" s="1027"/>
      <c r="Y54" s="1027">
        <f t="shared" si="4"/>
        <v>12.5</v>
      </c>
      <c r="Z54" s="1027">
        <f>Y54*(списки!$C$56-W54)</f>
        <v>146.25</v>
      </c>
      <c r="AA54" s="1028">
        <v>1.1000000000000001</v>
      </c>
      <c r="AB54" s="1028"/>
      <c r="AC54" s="1028">
        <f t="shared" si="5"/>
        <v>30</v>
      </c>
      <c r="AD54" s="1028">
        <f>AC54*(списки!$C$56-AA54)</f>
        <v>567</v>
      </c>
      <c r="AE54" s="1029">
        <v>-4.4000000000000004</v>
      </c>
      <c r="AF54" s="1029"/>
      <c r="AG54" s="1029">
        <v>31</v>
      </c>
      <c r="AH54" s="1029">
        <f>AG54*(списки!$C$56-AE54)</f>
        <v>756.4</v>
      </c>
      <c r="AI54" s="1030">
        <v>-6.9</v>
      </c>
      <c r="AJ54" s="1030"/>
      <c r="AK54" s="1030">
        <v>31</v>
      </c>
      <c r="AL54" s="1030">
        <f>AK54*(списки!$C$56-AI54)</f>
        <v>833.9</v>
      </c>
      <c r="AM54" s="1031">
        <v>-6.5</v>
      </c>
      <c r="AN54" s="1031"/>
      <c r="AO54" s="1031">
        <v>28</v>
      </c>
      <c r="AP54" s="1031">
        <f>AO54*(списки!$C$56-AM54)</f>
        <v>742</v>
      </c>
      <c r="AQ54" s="1026">
        <v>-0.3</v>
      </c>
      <c r="AR54" s="1026"/>
      <c r="AS54" s="1026">
        <f t="shared" si="6"/>
        <v>31</v>
      </c>
      <c r="AT54" s="1026">
        <f>AS54*(списки!$C$56-AQ54)</f>
        <v>629.30000000000007</v>
      </c>
      <c r="AU54" s="1032">
        <v>10</v>
      </c>
      <c r="AV54" s="1032"/>
      <c r="AW54" s="1032">
        <f t="shared" si="7"/>
        <v>12.5</v>
      </c>
      <c r="AX54" s="1032">
        <f>AW54*(списки!$C$56-AU54)</f>
        <v>125</v>
      </c>
      <c r="AY54" s="1033">
        <v>16.8</v>
      </c>
      <c r="AZ54" s="1033"/>
      <c r="BA54" s="1033">
        <f t="shared" si="8"/>
        <v>0</v>
      </c>
      <c r="BB54" s="1033">
        <f>BA54*(списки!$C$56-AY54)</f>
        <v>0</v>
      </c>
      <c r="BC54" s="1034">
        <v>21.4</v>
      </c>
      <c r="BD54" s="1034"/>
      <c r="BE54" s="1034">
        <f t="shared" si="9"/>
        <v>0</v>
      </c>
      <c r="BF54" s="1035">
        <f>BE54*(списки!$C$56-BC54)</f>
        <v>0</v>
      </c>
      <c r="BG54" s="1424" t="e">
        <v>#N/A</v>
      </c>
      <c r="BH54" s="1424" t="e">
        <v>#N/A</v>
      </c>
    </row>
    <row r="55" spans="2:60" ht="15.75" customHeight="1" x14ac:dyDescent="0.25">
      <c r="B55" s="1014" t="s">
        <v>293</v>
      </c>
      <c r="C55" s="1014" t="s">
        <v>413</v>
      </c>
      <c r="D55" s="1015" t="str">
        <f t="shared" si="0"/>
        <v>Волгоградская областьКамышин</v>
      </c>
      <c r="E55" s="1016">
        <v>188</v>
      </c>
      <c r="F55" s="1017">
        <v>-4.0999999999999996</v>
      </c>
      <c r="G55" s="1017">
        <v>-26</v>
      </c>
      <c r="H55" s="1019">
        <v>8.5</v>
      </c>
      <c r="I55" s="1020">
        <f>E55*(списки!$C$56-F55)</f>
        <v>4530.8</v>
      </c>
      <c r="J55" s="1021" t="str">
        <f t="shared" si="1"/>
        <v>4000-5000</v>
      </c>
      <c r="K55" s="1022">
        <v>23.2</v>
      </c>
      <c r="L55" s="1022"/>
      <c r="M55" s="1023">
        <f t="shared" si="2"/>
        <v>0</v>
      </c>
      <c r="N55" s="1024">
        <f>M55*(списки!$C$56-K55)</f>
        <v>0</v>
      </c>
      <c r="O55" s="1025">
        <v>21.5</v>
      </c>
      <c r="P55" s="1025"/>
      <c r="Q55" s="1025">
        <f t="shared" si="3"/>
        <v>0</v>
      </c>
      <c r="R55" s="1025">
        <f>Q55*(списки!$C$56-O55)</f>
        <v>0</v>
      </c>
      <c r="S55" s="1026">
        <v>15.1</v>
      </c>
      <c r="T55" s="1026"/>
      <c r="U55" s="1026">
        <f t="shared" si="10"/>
        <v>0</v>
      </c>
      <c r="V55" s="1026">
        <f>U55*(списки!$C$56-S55)</f>
        <v>0</v>
      </c>
      <c r="W55" s="1027">
        <v>6.7</v>
      </c>
      <c r="X55" s="1027"/>
      <c r="Y55" s="1027">
        <f t="shared" si="4"/>
        <v>18.5</v>
      </c>
      <c r="Z55" s="1027">
        <f>Y55*(списки!$C$56-W55)</f>
        <v>246.05</v>
      </c>
      <c r="AA55" s="1028">
        <v>-0.8</v>
      </c>
      <c r="AB55" s="1028"/>
      <c r="AC55" s="1028">
        <f t="shared" si="5"/>
        <v>30</v>
      </c>
      <c r="AD55" s="1028">
        <f>AC55*(списки!$C$56-AA55)</f>
        <v>624</v>
      </c>
      <c r="AE55" s="1029">
        <v>-6.7</v>
      </c>
      <c r="AF55" s="1029"/>
      <c r="AG55" s="1029">
        <v>31</v>
      </c>
      <c r="AH55" s="1029">
        <f>AG55*(списки!$C$56-AE55)</f>
        <v>827.69999999999993</v>
      </c>
      <c r="AI55" s="1030">
        <v>-10.4</v>
      </c>
      <c r="AJ55" s="1030"/>
      <c r="AK55" s="1030">
        <v>31</v>
      </c>
      <c r="AL55" s="1030">
        <f>AK55*(списки!$C$56-AI55)</f>
        <v>942.4</v>
      </c>
      <c r="AM55" s="1031">
        <v>-9.9</v>
      </c>
      <c r="AN55" s="1031"/>
      <c r="AO55" s="1031">
        <v>28</v>
      </c>
      <c r="AP55" s="1031">
        <f>AO55*(списки!$C$56-AM55)</f>
        <v>837.19999999999993</v>
      </c>
      <c r="AQ55" s="1026">
        <v>-4</v>
      </c>
      <c r="AR55" s="1026"/>
      <c r="AS55" s="1026">
        <f t="shared" si="6"/>
        <v>31</v>
      </c>
      <c r="AT55" s="1026">
        <f>AS55*(списки!$C$56-AQ55)</f>
        <v>744</v>
      </c>
      <c r="AU55" s="1032">
        <v>7.7</v>
      </c>
      <c r="AV55" s="1032"/>
      <c r="AW55" s="1032">
        <f t="shared" si="7"/>
        <v>18.5</v>
      </c>
      <c r="AX55" s="1032">
        <f>AW55*(списки!$C$56-AU55)</f>
        <v>227.55</v>
      </c>
      <c r="AY55" s="1033">
        <v>16.2</v>
      </c>
      <c r="AZ55" s="1033"/>
      <c r="BA55" s="1033">
        <f t="shared" si="8"/>
        <v>0</v>
      </c>
      <c r="BB55" s="1033">
        <f>BA55*(списки!$C$56-AY55)</f>
        <v>0</v>
      </c>
      <c r="BC55" s="1034">
        <v>20.7</v>
      </c>
      <c r="BD55" s="1034"/>
      <c r="BE55" s="1034">
        <f t="shared" si="9"/>
        <v>0</v>
      </c>
      <c r="BF55" s="1035">
        <f>BE55*(списки!$C$56-BC55)</f>
        <v>0</v>
      </c>
      <c r="BG55" s="1424">
        <v>4012.766071428573</v>
      </c>
      <c r="BH55" s="1424">
        <v>3946.5250000000001</v>
      </c>
    </row>
    <row r="56" spans="2:60" ht="15.75" customHeight="1" x14ac:dyDescent="0.25">
      <c r="B56" s="1038" t="s">
        <v>293</v>
      </c>
      <c r="C56" s="1038" t="s">
        <v>414</v>
      </c>
      <c r="D56" s="1015" t="str">
        <f t="shared" si="0"/>
        <v>Волгоградская областьКостычевка</v>
      </c>
      <c r="E56" s="1016">
        <v>190</v>
      </c>
      <c r="F56" s="1017">
        <v>-3.9</v>
      </c>
      <c r="G56" s="1017">
        <v>-26</v>
      </c>
      <c r="H56" s="1019">
        <f>H54</f>
        <v>5.0999999999999996</v>
      </c>
      <c r="I56" s="1020">
        <f>E56*(списки!$C$56-F56)</f>
        <v>4541</v>
      </c>
      <c r="J56" s="1021" t="str">
        <f t="shared" si="1"/>
        <v>4000-5000</v>
      </c>
      <c r="K56" s="1022">
        <v>22.7</v>
      </c>
      <c r="L56" s="1022"/>
      <c r="M56" s="1023">
        <f t="shared" si="2"/>
        <v>0</v>
      </c>
      <c r="N56" s="1024">
        <f>M56*(списки!$C$56-K56)</f>
        <v>0</v>
      </c>
      <c r="O56" s="1025">
        <v>21</v>
      </c>
      <c r="P56" s="1025"/>
      <c r="Q56" s="1025">
        <f t="shared" si="3"/>
        <v>0</v>
      </c>
      <c r="R56" s="1025">
        <f>Q56*(списки!$C$56-O56)</f>
        <v>0</v>
      </c>
      <c r="S56" s="1026">
        <v>14.5</v>
      </c>
      <c r="T56" s="1026"/>
      <c r="U56" s="1026">
        <f t="shared" si="10"/>
        <v>0</v>
      </c>
      <c r="V56" s="1026">
        <f>U56*(списки!$C$56-S56)</f>
        <v>0</v>
      </c>
      <c r="W56" s="1027">
        <v>6</v>
      </c>
      <c r="X56" s="1027"/>
      <c r="Y56" s="1027">
        <f t="shared" si="4"/>
        <v>19.5</v>
      </c>
      <c r="Z56" s="1027">
        <f>Y56*(списки!$C$56-W56)</f>
        <v>273</v>
      </c>
      <c r="AA56" s="1028">
        <v>-1.3</v>
      </c>
      <c r="AB56" s="1028"/>
      <c r="AC56" s="1028">
        <f t="shared" si="5"/>
        <v>30</v>
      </c>
      <c r="AD56" s="1028">
        <f>AC56*(списки!$C$56-AA56)</f>
        <v>639</v>
      </c>
      <c r="AE56" s="1029">
        <v>-8.1</v>
      </c>
      <c r="AF56" s="1029"/>
      <c r="AG56" s="1029">
        <v>31</v>
      </c>
      <c r="AH56" s="1029">
        <f>AG56*(списки!$C$56-AE56)</f>
        <v>871.1</v>
      </c>
      <c r="AI56" s="1030">
        <v>-11.7</v>
      </c>
      <c r="AJ56" s="1030"/>
      <c r="AK56" s="1030">
        <v>31</v>
      </c>
      <c r="AL56" s="1030">
        <f>AK56*(списки!$C$56-AI56)</f>
        <v>982.69999999999993</v>
      </c>
      <c r="AM56" s="1031">
        <v>-11.6</v>
      </c>
      <c r="AN56" s="1031"/>
      <c r="AO56" s="1031">
        <v>28</v>
      </c>
      <c r="AP56" s="1031">
        <f>AO56*(списки!$C$56-AM56)</f>
        <v>884.80000000000007</v>
      </c>
      <c r="AQ56" s="1026">
        <v>-5.2</v>
      </c>
      <c r="AR56" s="1026"/>
      <c r="AS56" s="1026">
        <f t="shared" si="6"/>
        <v>31</v>
      </c>
      <c r="AT56" s="1026">
        <f>AS56*(списки!$C$56-AQ56)</f>
        <v>781.19999999999993</v>
      </c>
      <c r="AU56" s="1032">
        <v>7.2</v>
      </c>
      <c r="AV56" s="1032"/>
      <c r="AW56" s="1032">
        <f t="shared" si="7"/>
        <v>19.5</v>
      </c>
      <c r="AX56" s="1032">
        <f>AW56*(списки!$C$56-AU56)</f>
        <v>249.60000000000002</v>
      </c>
      <c r="AY56" s="1033">
        <v>15.7</v>
      </c>
      <c r="AZ56" s="1033"/>
      <c r="BA56" s="1033">
        <f t="shared" si="8"/>
        <v>0</v>
      </c>
      <c r="BB56" s="1033">
        <f>BA56*(списки!$C$56-AY56)</f>
        <v>0</v>
      </c>
      <c r="BC56" s="1034">
        <v>20.2</v>
      </c>
      <c r="BD56" s="1034"/>
      <c r="BE56" s="1034">
        <f t="shared" si="9"/>
        <v>0</v>
      </c>
      <c r="BF56" s="1035">
        <f>BE56*(списки!$C$56-BC56)</f>
        <v>0</v>
      </c>
      <c r="BG56" s="1424" t="e">
        <v>#N/A</v>
      </c>
      <c r="BH56" s="1424" t="e">
        <v>#N/A</v>
      </c>
    </row>
    <row r="57" spans="2:60" ht="15.75" customHeight="1" x14ac:dyDescent="0.25">
      <c r="B57" s="1014" t="s">
        <v>293</v>
      </c>
      <c r="C57" s="1014" t="s">
        <v>415</v>
      </c>
      <c r="D57" s="1015" t="str">
        <f t="shared" si="0"/>
        <v>Волгоградская областьКотельниково</v>
      </c>
      <c r="E57" s="1016">
        <v>176</v>
      </c>
      <c r="F57" s="1017">
        <v>-1.6</v>
      </c>
      <c r="G57" s="1017">
        <v>-24</v>
      </c>
      <c r="H57" s="1019">
        <v>4.2</v>
      </c>
      <c r="I57" s="1020">
        <f>E57*(списки!$C$56-F57)</f>
        <v>3801.6000000000004</v>
      </c>
      <c r="J57" s="1021" t="str">
        <f t="shared" si="1"/>
        <v>3000-4000</v>
      </c>
      <c r="K57" s="1022">
        <v>24</v>
      </c>
      <c r="L57" s="1022"/>
      <c r="M57" s="1023">
        <f t="shared" si="2"/>
        <v>0</v>
      </c>
      <c r="N57" s="1024">
        <f>M57*(списки!$C$56-K57)</f>
        <v>0</v>
      </c>
      <c r="O57" s="1025">
        <v>22.7</v>
      </c>
      <c r="P57" s="1025"/>
      <c r="Q57" s="1025">
        <f t="shared" si="3"/>
        <v>0</v>
      </c>
      <c r="R57" s="1025">
        <f>Q57*(списки!$C$56-O57)</f>
        <v>0</v>
      </c>
      <c r="S57" s="1026">
        <v>16.2</v>
      </c>
      <c r="T57" s="1026"/>
      <c r="U57" s="1026">
        <f t="shared" si="10"/>
        <v>0</v>
      </c>
      <c r="V57" s="1026">
        <f>U57*(списки!$C$56-S57)</f>
        <v>0</v>
      </c>
      <c r="W57" s="1027">
        <v>8.3000000000000007</v>
      </c>
      <c r="X57" s="1027"/>
      <c r="Y57" s="1027">
        <f t="shared" si="4"/>
        <v>12.5</v>
      </c>
      <c r="Z57" s="1027">
        <f>Y57*(списки!$C$56-W57)</f>
        <v>146.25</v>
      </c>
      <c r="AA57" s="1028">
        <v>1.9</v>
      </c>
      <c r="AB57" s="1028"/>
      <c r="AC57" s="1028">
        <f t="shared" si="5"/>
        <v>30</v>
      </c>
      <c r="AD57" s="1028">
        <f>AC57*(списки!$C$56-AA57)</f>
        <v>543</v>
      </c>
      <c r="AE57" s="1029">
        <v>-3.7</v>
      </c>
      <c r="AF57" s="1029"/>
      <c r="AG57" s="1029">
        <v>31</v>
      </c>
      <c r="AH57" s="1029">
        <f>AG57*(списки!$C$56-AE57)</f>
        <v>734.69999999999993</v>
      </c>
      <c r="AI57" s="1030">
        <v>-7.4</v>
      </c>
      <c r="AJ57" s="1030"/>
      <c r="AK57" s="1030">
        <v>31</v>
      </c>
      <c r="AL57" s="1030">
        <f>AK57*(списки!$C$56-AI57)</f>
        <v>849.4</v>
      </c>
      <c r="AM57" s="1031">
        <v>-6.8</v>
      </c>
      <c r="AN57" s="1031"/>
      <c r="AO57" s="1031">
        <v>28</v>
      </c>
      <c r="AP57" s="1031">
        <f>AO57*(списки!$C$56-AM57)</f>
        <v>750.4</v>
      </c>
      <c r="AQ57" s="1026">
        <v>-0.8</v>
      </c>
      <c r="AR57" s="1026"/>
      <c r="AS57" s="1026">
        <f t="shared" si="6"/>
        <v>31</v>
      </c>
      <c r="AT57" s="1026">
        <f>AS57*(списки!$C$56-AQ57)</f>
        <v>644.80000000000007</v>
      </c>
      <c r="AU57" s="1032">
        <v>9.5</v>
      </c>
      <c r="AV57" s="1032"/>
      <c r="AW57" s="1032">
        <f t="shared" si="7"/>
        <v>12.5</v>
      </c>
      <c r="AX57" s="1032">
        <f>AW57*(списки!$C$56-AU57)</f>
        <v>131.25</v>
      </c>
      <c r="AY57" s="1033">
        <v>17</v>
      </c>
      <c r="AZ57" s="1033"/>
      <c r="BA57" s="1033">
        <f t="shared" si="8"/>
        <v>0</v>
      </c>
      <c r="BB57" s="1033">
        <f>BA57*(списки!$C$56-AY57)</f>
        <v>0</v>
      </c>
      <c r="BC57" s="1034">
        <v>21.2</v>
      </c>
      <c r="BD57" s="1034"/>
      <c r="BE57" s="1034">
        <f t="shared" si="9"/>
        <v>0</v>
      </c>
      <c r="BF57" s="1035">
        <f>BE57*(списки!$C$56-BC57)</f>
        <v>0</v>
      </c>
      <c r="BG57" s="1424">
        <v>3478.483928571427</v>
      </c>
      <c r="BH57" s="1424">
        <v>3426.099999999999</v>
      </c>
    </row>
    <row r="58" spans="2:60" ht="15.75" customHeight="1" x14ac:dyDescent="0.25">
      <c r="B58" s="1038" t="s">
        <v>293</v>
      </c>
      <c r="C58" s="1038" t="s">
        <v>416</v>
      </c>
      <c r="D58" s="1015" t="str">
        <f t="shared" si="0"/>
        <v>Волгоградская областьНовоаннинский</v>
      </c>
      <c r="E58" s="1016">
        <v>191</v>
      </c>
      <c r="F58" s="1017">
        <v>-3.4</v>
      </c>
      <c r="G58" s="1017">
        <v>-26</v>
      </c>
      <c r="H58" s="1019">
        <f>H57</f>
        <v>4.2</v>
      </c>
      <c r="I58" s="1020">
        <f>E58*(списки!$C$56-F58)</f>
        <v>4469.3999999999996</v>
      </c>
      <c r="J58" s="1021" t="str">
        <f t="shared" si="1"/>
        <v>4000-5000</v>
      </c>
      <c r="K58" s="1022">
        <v>21.4</v>
      </c>
      <c r="L58" s="1022"/>
      <c r="M58" s="1023">
        <f t="shared" si="2"/>
        <v>0</v>
      </c>
      <c r="N58" s="1024">
        <f>M58*(списки!$C$56-K58)</f>
        <v>0</v>
      </c>
      <c r="O58" s="1025">
        <v>20.2</v>
      </c>
      <c r="P58" s="1025"/>
      <c r="Q58" s="1025">
        <f t="shared" si="3"/>
        <v>0</v>
      </c>
      <c r="R58" s="1025">
        <f>Q58*(списки!$C$56-O58)</f>
        <v>0</v>
      </c>
      <c r="S58" s="1026">
        <v>14</v>
      </c>
      <c r="T58" s="1026"/>
      <c r="U58" s="1026">
        <f t="shared" si="10"/>
        <v>0</v>
      </c>
      <c r="V58" s="1026">
        <f>U58*(списки!$C$56-S58)</f>
        <v>0</v>
      </c>
      <c r="W58" s="1027">
        <v>5.9</v>
      </c>
      <c r="X58" s="1027"/>
      <c r="Y58" s="1027">
        <f t="shared" si="4"/>
        <v>20</v>
      </c>
      <c r="Z58" s="1027">
        <f>Y58*(списки!$C$56-W58)</f>
        <v>282</v>
      </c>
      <c r="AA58" s="1028">
        <v>-0.5</v>
      </c>
      <c r="AB58" s="1028"/>
      <c r="AC58" s="1028">
        <f t="shared" si="5"/>
        <v>30</v>
      </c>
      <c r="AD58" s="1028">
        <f>AC58*(списки!$C$56-AA58)</f>
        <v>615</v>
      </c>
      <c r="AE58" s="1029">
        <v>-5.8</v>
      </c>
      <c r="AF58" s="1029"/>
      <c r="AG58" s="1029">
        <v>31</v>
      </c>
      <c r="AH58" s="1029">
        <f>AG58*(списки!$C$56-AE58)</f>
        <v>799.80000000000007</v>
      </c>
      <c r="AI58" s="1030">
        <v>-10</v>
      </c>
      <c r="AJ58" s="1030"/>
      <c r="AK58" s="1030">
        <v>31</v>
      </c>
      <c r="AL58" s="1030">
        <f>AK58*(списки!$C$56-AI58)</f>
        <v>930</v>
      </c>
      <c r="AM58" s="1031">
        <v>-9.1</v>
      </c>
      <c r="AN58" s="1031"/>
      <c r="AO58" s="1031">
        <v>28</v>
      </c>
      <c r="AP58" s="1031">
        <f>AO58*(списки!$C$56-AM58)</f>
        <v>814.80000000000007</v>
      </c>
      <c r="AQ58" s="1026">
        <v>-3.4</v>
      </c>
      <c r="AR58" s="1026"/>
      <c r="AS58" s="1026">
        <f t="shared" si="6"/>
        <v>31</v>
      </c>
      <c r="AT58" s="1026">
        <f>AS58*(списки!$C$56-AQ58)</f>
        <v>725.4</v>
      </c>
      <c r="AU58" s="1032">
        <v>7.8</v>
      </c>
      <c r="AV58" s="1032"/>
      <c r="AW58" s="1032">
        <f t="shared" si="7"/>
        <v>20</v>
      </c>
      <c r="AX58" s="1032">
        <f>AW58*(списки!$C$56-AU58)</f>
        <v>244</v>
      </c>
      <c r="AY58" s="1033">
        <v>15.4</v>
      </c>
      <c r="AZ58" s="1033"/>
      <c r="BA58" s="1033">
        <f t="shared" si="8"/>
        <v>0</v>
      </c>
      <c r="BB58" s="1033">
        <f>BA58*(списки!$C$56-AY58)</f>
        <v>0</v>
      </c>
      <c r="BC58" s="1034">
        <v>19.600000000000001</v>
      </c>
      <c r="BD58" s="1034"/>
      <c r="BE58" s="1034">
        <f t="shared" si="9"/>
        <v>0</v>
      </c>
      <c r="BF58" s="1035">
        <f>BE58*(списки!$C$56-BC58)</f>
        <v>0</v>
      </c>
      <c r="BG58" s="1424">
        <v>3823.4821428571408</v>
      </c>
      <c r="BH58" s="1424">
        <v>3797.7999999999993</v>
      </c>
    </row>
    <row r="59" spans="2:60" ht="15.75" customHeight="1" x14ac:dyDescent="0.25">
      <c r="B59" s="1014" t="s">
        <v>293</v>
      </c>
      <c r="C59" s="1014" t="s">
        <v>412</v>
      </c>
      <c r="D59" s="1015" t="str">
        <f t="shared" si="0"/>
        <v>Волгоградская областьЭльтон</v>
      </c>
      <c r="E59" s="1016">
        <v>177</v>
      </c>
      <c r="F59" s="1017">
        <v>-3.2</v>
      </c>
      <c r="G59" s="1017">
        <v>-25</v>
      </c>
      <c r="H59" s="1019">
        <v>5.7</v>
      </c>
      <c r="I59" s="1020">
        <f>E59*(списки!$C$56-F59)</f>
        <v>4106.3999999999996</v>
      </c>
      <c r="J59" s="1021" t="str">
        <f t="shared" si="1"/>
        <v>4000-5000</v>
      </c>
      <c r="K59" s="1022">
        <v>24.9</v>
      </c>
      <c r="L59" s="1022"/>
      <c r="M59" s="1023">
        <f t="shared" si="2"/>
        <v>0</v>
      </c>
      <c r="N59" s="1024">
        <f>M59*(списки!$C$56-K59)</f>
        <v>0</v>
      </c>
      <c r="O59" s="1025">
        <v>23.4</v>
      </c>
      <c r="P59" s="1025"/>
      <c r="Q59" s="1025">
        <f t="shared" si="3"/>
        <v>0</v>
      </c>
      <c r="R59" s="1025">
        <f>Q59*(списки!$C$56-O59)</f>
        <v>0</v>
      </c>
      <c r="S59" s="1026">
        <v>16.600000000000001</v>
      </c>
      <c r="T59" s="1026"/>
      <c r="U59" s="1026">
        <f t="shared" si="10"/>
        <v>0</v>
      </c>
      <c r="V59" s="1026">
        <f>U59*(списки!$C$56-S59)</f>
        <v>0</v>
      </c>
      <c r="W59" s="1027">
        <v>8</v>
      </c>
      <c r="X59" s="1027"/>
      <c r="Y59" s="1027">
        <f t="shared" si="4"/>
        <v>13</v>
      </c>
      <c r="Z59" s="1027">
        <f>Y59*(списки!$C$56-W59)</f>
        <v>156</v>
      </c>
      <c r="AA59" s="1028">
        <v>0.6</v>
      </c>
      <c r="AB59" s="1028"/>
      <c r="AC59" s="1028">
        <f t="shared" si="5"/>
        <v>30</v>
      </c>
      <c r="AD59" s="1028">
        <f>AC59*(списки!$C$56-AA59)</f>
        <v>582</v>
      </c>
      <c r="AE59" s="1029">
        <v>-5.3</v>
      </c>
      <c r="AF59" s="1029"/>
      <c r="AG59" s="1029">
        <v>31</v>
      </c>
      <c r="AH59" s="1029">
        <f>AG59*(списки!$C$56-AE59)</f>
        <v>784.30000000000007</v>
      </c>
      <c r="AI59" s="1030">
        <v>-8.1999999999999993</v>
      </c>
      <c r="AJ59" s="1030"/>
      <c r="AK59" s="1030">
        <v>31</v>
      </c>
      <c r="AL59" s="1030">
        <f>AK59*(списки!$C$56-AI59)</f>
        <v>874.19999999999993</v>
      </c>
      <c r="AM59" s="1031">
        <v>-7.9</v>
      </c>
      <c r="AN59" s="1031"/>
      <c r="AO59" s="1031">
        <v>28</v>
      </c>
      <c r="AP59" s="1031">
        <f>AO59*(списки!$C$56-AM59)</f>
        <v>781.19999999999993</v>
      </c>
      <c r="AQ59" s="1026">
        <v>-1</v>
      </c>
      <c r="AR59" s="1026"/>
      <c r="AS59" s="1026">
        <f t="shared" si="6"/>
        <v>31</v>
      </c>
      <c r="AT59" s="1026">
        <f>AS59*(списки!$C$56-AQ59)</f>
        <v>651</v>
      </c>
      <c r="AU59" s="1032">
        <v>10.199999999999999</v>
      </c>
      <c r="AV59" s="1032"/>
      <c r="AW59" s="1032">
        <f t="shared" si="7"/>
        <v>13</v>
      </c>
      <c r="AX59" s="1032">
        <f>AW59*(списки!$C$56-AU59)</f>
        <v>127.4</v>
      </c>
      <c r="AY59" s="1033">
        <v>17.5</v>
      </c>
      <c r="AZ59" s="1033"/>
      <c r="BA59" s="1033">
        <f t="shared" si="8"/>
        <v>0</v>
      </c>
      <c r="BB59" s="1033">
        <f>BA59*(списки!$C$56-AY59)</f>
        <v>0</v>
      </c>
      <c r="BC59" s="1034">
        <v>22.5</v>
      </c>
      <c r="BD59" s="1034"/>
      <c r="BE59" s="1034">
        <f t="shared" si="9"/>
        <v>0</v>
      </c>
      <c r="BF59" s="1035">
        <f>BE59*(списки!$C$56-BC59)</f>
        <v>0</v>
      </c>
      <c r="BG59" s="1424">
        <v>3865.7357142857127</v>
      </c>
      <c r="BH59" s="1424">
        <v>3573.4</v>
      </c>
    </row>
    <row r="60" spans="2:60" ht="15.75" customHeight="1" x14ac:dyDescent="0.25">
      <c r="B60" s="1038" t="s">
        <v>419</v>
      </c>
      <c r="C60" s="1038" t="s">
        <v>418</v>
      </c>
      <c r="D60" s="1015" t="str">
        <f t="shared" si="0"/>
        <v>Вологодская областьБабаево</v>
      </c>
      <c r="E60" s="1016">
        <v>231</v>
      </c>
      <c r="F60" s="1017">
        <v>-3.8</v>
      </c>
      <c r="G60" s="1017">
        <v>-31</v>
      </c>
      <c r="H60" s="1019">
        <f>H61</f>
        <v>3.9</v>
      </c>
      <c r="I60" s="1020">
        <f>E60*(списки!$C$56-F60)</f>
        <v>5497.8</v>
      </c>
      <c r="J60" s="1021" t="str">
        <f t="shared" si="1"/>
        <v>5000-6000</v>
      </c>
      <c r="K60" s="1022">
        <v>16.8</v>
      </c>
      <c r="L60" s="1022"/>
      <c r="M60" s="1023">
        <f t="shared" si="2"/>
        <v>0</v>
      </c>
      <c r="N60" s="1024">
        <f>M60*(списки!$C$56-K60)</f>
        <v>0</v>
      </c>
      <c r="O60" s="1025">
        <v>14.9</v>
      </c>
      <c r="P60" s="1025"/>
      <c r="Q60" s="1025">
        <f t="shared" si="3"/>
        <v>0</v>
      </c>
      <c r="R60" s="1025">
        <f>Q60*(списки!$C$56-O60)</f>
        <v>0</v>
      </c>
      <c r="S60" s="1026">
        <v>9.1999999999999993</v>
      </c>
      <c r="T60" s="1026"/>
      <c r="U60" s="1026">
        <f t="shared" si="10"/>
        <v>9.5</v>
      </c>
      <c r="V60" s="1026">
        <f>U60*(списки!$C$56-S60)</f>
        <v>102.60000000000001</v>
      </c>
      <c r="W60" s="1027">
        <v>2.9</v>
      </c>
      <c r="X60" s="1027"/>
      <c r="Y60" s="1027">
        <f t="shared" si="4"/>
        <v>31</v>
      </c>
      <c r="Z60" s="1027">
        <f>Y60*(списки!$C$56-W60)</f>
        <v>530.1</v>
      </c>
      <c r="AA60" s="1028">
        <v>-2.6</v>
      </c>
      <c r="AB60" s="1028"/>
      <c r="AC60" s="1028">
        <f t="shared" si="5"/>
        <v>30</v>
      </c>
      <c r="AD60" s="1028">
        <f>AC60*(списки!$C$56-AA60)</f>
        <v>678</v>
      </c>
      <c r="AE60" s="1029">
        <v>-8</v>
      </c>
      <c r="AF60" s="1029"/>
      <c r="AG60" s="1029">
        <v>31</v>
      </c>
      <c r="AH60" s="1029">
        <f>AG60*(списки!$C$56-AE60)</f>
        <v>868</v>
      </c>
      <c r="AI60" s="1030">
        <v>-11.6</v>
      </c>
      <c r="AJ60" s="1030"/>
      <c r="AK60" s="1030">
        <v>31</v>
      </c>
      <c r="AL60" s="1030">
        <f>AK60*(списки!$C$56-AI60)</f>
        <v>979.6</v>
      </c>
      <c r="AM60" s="1031">
        <v>-10.5</v>
      </c>
      <c r="AN60" s="1031"/>
      <c r="AO60" s="1031">
        <v>28</v>
      </c>
      <c r="AP60" s="1031">
        <f>AO60*(списки!$C$56-AM60)</f>
        <v>854</v>
      </c>
      <c r="AQ60" s="1026">
        <v>-5.4</v>
      </c>
      <c r="AR60" s="1026"/>
      <c r="AS60" s="1026">
        <f t="shared" si="6"/>
        <v>31</v>
      </c>
      <c r="AT60" s="1026">
        <f>AS60*(списки!$C$56-AQ60)</f>
        <v>787.4</v>
      </c>
      <c r="AU60" s="1032">
        <v>2.4</v>
      </c>
      <c r="AV60" s="1032"/>
      <c r="AW60" s="1032">
        <f t="shared" si="7"/>
        <v>30</v>
      </c>
      <c r="AX60" s="1032">
        <f>AW60*(списки!$C$56-AU60)</f>
        <v>528</v>
      </c>
      <c r="AY60" s="1033">
        <v>9.5</v>
      </c>
      <c r="AZ60" s="1033"/>
      <c r="BA60" s="1033">
        <f t="shared" si="8"/>
        <v>9.5</v>
      </c>
      <c r="BB60" s="1033">
        <f>BA60*(списки!$C$56-AY60)</f>
        <v>99.75</v>
      </c>
      <c r="BC60" s="1034">
        <v>14.7</v>
      </c>
      <c r="BD60" s="1034"/>
      <c r="BE60" s="1034">
        <f t="shared" si="9"/>
        <v>0</v>
      </c>
      <c r="BF60" s="1035">
        <f>BE60*(списки!$C$56-BC60)</f>
        <v>0</v>
      </c>
      <c r="BG60" s="1424">
        <v>4645.4583333333339</v>
      </c>
      <c r="BH60" s="1424">
        <v>4845.0333333333319</v>
      </c>
    </row>
    <row r="61" spans="2:60" ht="15.75" customHeight="1" x14ac:dyDescent="0.25">
      <c r="B61" s="1014" t="s">
        <v>419</v>
      </c>
      <c r="C61" s="1014" t="s">
        <v>421</v>
      </c>
      <c r="D61" s="1015" t="str">
        <f t="shared" si="0"/>
        <v>Вологодская областьВологда</v>
      </c>
      <c r="E61" s="1016">
        <v>228</v>
      </c>
      <c r="F61" s="1017">
        <v>-4</v>
      </c>
      <c r="G61" s="1017">
        <v>-32</v>
      </c>
      <c r="H61" s="1019">
        <v>3.9</v>
      </c>
      <c r="I61" s="1020">
        <f>E61*(списки!$C$56-F61)</f>
        <v>5472</v>
      </c>
      <c r="J61" s="1021" t="str">
        <f t="shared" si="1"/>
        <v>5000-6000</v>
      </c>
      <c r="K61" s="1022">
        <v>17.3</v>
      </c>
      <c r="L61" s="1022"/>
      <c r="M61" s="1023">
        <f t="shared" si="2"/>
        <v>0</v>
      </c>
      <c r="N61" s="1024">
        <f>M61*(списки!$C$56-K61)</f>
        <v>0</v>
      </c>
      <c r="O61" s="1025">
        <v>14.7</v>
      </c>
      <c r="P61" s="1025"/>
      <c r="Q61" s="1025">
        <f t="shared" si="3"/>
        <v>0</v>
      </c>
      <c r="R61" s="1025">
        <f>Q61*(списки!$C$56-O61)</f>
        <v>0</v>
      </c>
      <c r="S61" s="1026">
        <v>9.1999999999999993</v>
      </c>
      <c r="T61" s="1026"/>
      <c r="U61" s="1026">
        <f t="shared" si="10"/>
        <v>8</v>
      </c>
      <c r="V61" s="1026">
        <f>U61*(списки!$C$56-S61)</f>
        <v>86.4</v>
      </c>
      <c r="W61" s="1027">
        <v>3</v>
      </c>
      <c r="X61" s="1027"/>
      <c r="Y61" s="1027">
        <f t="shared" si="4"/>
        <v>31</v>
      </c>
      <c r="Z61" s="1027">
        <f>Y61*(списки!$C$56-W61)</f>
        <v>527</v>
      </c>
      <c r="AA61" s="1028">
        <v>-3.4</v>
      </c>
      <c r="AB61" s="1028"/>
      <c r="AC61" s="1028">
        <f t="shared" si="5"/>
        <v>30</v>
      </c>
      <c r="AD61" s="1028">
        <f>AC61*(списки!$C$56-AA61)</f>
        <v>702</v>
      </c>
      <c r="AE61" s="1029">
        <v>-8.6999999999999993</v>
      </c>
      <c r="AF61" s="1029"/>
      <c r="AG61" s="1029">
        <v>31</v>
      </c>
      <c r="AH61" s="1029">
        <f>AG61*(списки!$C$56-AE61)</f>
        <v>889.69999999999993</v>
      </c>
      <c r="AI61" s="1030">
        <v>-11.7</v>
      </c>
      <c r="AJ61" s="1030"/>
      <c r="AK61" s="1030">
        <v>31</v>
      </c>
      <c r="AL61" s="1030">
        <f>AK61*(списки!$C$56-AI61)</f>
        <v>982.69999999999993</v>
      </c>
      <c r="AM61" s="1031">
        <v>-10.5</v>
      </c>
      <c r="AN61" s="1031"/>
      <c r="AO61" s="1031">
        <v>28</v>
      </c>
      <c r="AP61" s="1031">
        <f>AO61*(списки!$C$56-AM61)</f>
        <v>854</v>
      </c>
      <c r="AQ61" s="1026">
        <v>-4</v>
      </c>
      <c r="AR61" s="1026"/>
      <c r="AS61" s="1026">
        <f t="shared" si="6"/>
        <v>31</v>
      </c>
      <c r="AT61" s="1026">
        <f>AS61*(списки!$C$56-AQ61)</f>
        <v>744</v>
      </c>
      <c r="AU61" s="1032">
        <v>3.3</v>
      </c>
      <c r="AV61" s="1032"/>
      <c r="AW61" s="1032">
        <f t="shared" si="7"/>
        <v>30</v>
      </c>
      <c r="AX61" s="1032">
        <f>AW61*(списки!$C$56-AU61)</f>
        <v>501</v>
      </c>
      <c r="AY61" s="1033">
        <v>10.4</v>
      </c>
      <c r="AZ61" s="1033"/>
      <c r="BA61" s="1033">
        <f t="shared" si="8"/>
        <v>8</v>
      </c>
      <c r="BB61" s="1033">
        <f>BA61*(списки!$C$56-AY61)</f>
        <v>76.8</v>
      </c>
      <c r="BC61" s="1034">
        <v>15</v>
      </c>
      <c r="BD61" s="1034"/>
      <c r="BE61" s="1034">
        <f t="shared" si="9"/>
        <v>0</v>
      </c>
      <c r="BF61" s="1035">
        <f>BE61*(списки!$C$56-BC61)</f>
        <v>0</v>
      </c>
      <c r="BG61" s="1424">
        <v>4902.0589285714304</v>
      </c>
      <c r="BH61" s="1424">
        <v>5316.4535714285694</v>
      </c>
    </row>
    <row r="62" spans="2:60" ht="15.75" customHeight="1" x14ac:dyDescent="0.25">
      <c r="B62" s="1038" t="s">
        <v>419</v>
      </c>
      <c r="C62" s="1038" t="s">
        <v>635</v>
      </c>
      <c r="D62" s="1015" t="str">
        <f t="shared" si="0"/>
        <v>Вологодская областьВытегра</v>
      </c>
      <c r="E62" s="1016">
        <v>230</v>
      </c>
      <c r="F62" s="1017">
        <v>-3.4</v>
      </c>
      <c r="G62" s="1017">
        <v>-32</v>
      </c>
      <c r="H62" s="1019">
        <v>3.5</v>
      </c>
      <c r="I62" s="1020">
        <f>E62*(списки!$C$56-F62)</f>
        <v>5382</v>
      </c>
      <c r="J62" s="1021" t="str">
        <f t="shared" si="1"/>
        <v>5000-6000</v>
      </c>
      <c r="K62" s="1022">
        <v>17.2</v>
      </c>
      <c r="L62" s="1022"/>
      <c r="M62" s="1023">
        <f t="shared" si="2"/>
        <v>0</v>
      </c>
      <c r="N62" s="1024">
        <f>M62*(списки!$C$56-K62)</f>
        <v>0</v>
      </c>
      <c r="O62" s="1025">
        <v>14.8</v>
      </c>
      <c r="P62" s="1025"/>
      <c r="Q62" s="1025">
        <f t="shared" si="3"/>
        <v>0</v>
      </c>
      <c r="R62" s="1025">
        <f>Q62*(списки!$C$56-O62)</f>
        <v>0</v>
      </c>
      <c r="S62" s="1026">
        <v>9.5</v>
      </c>
      <c r="T62" s="1026"/>
      <c r="U62" s="1026">
        <f t="shared" si="10"/>
        <v>9</v>
      </c>
      <c r="V62" s="1026">
        <f>U62*(списки!$C$56-S62)</f>
        <v>94.5</v>
      </c>
      <c r="W62" s="1027">
        <v>3.7</v>
      </c>
      <c r="X62" s="1027"/>
      <c r="Y62" s="1027">
        <f t="shared" si="4"/>
        <v>31</v>
      </c>
      <c r="Z62" s="1027">
        <f>Y62*(списки!$C$56-W62)</f>
        <v>505.3</v>
      </c>
      <c r="AA62" s="1028">
        <v>-2.6</v>
      </c>
      <c r="AB62" s="1028"/>
      <c r="AC62" s="1028">
        <f t="shared" si="5"/>
        <v>30</v>
      </c>
      <c r="AD62" s="1028">
        <f>AC62*(списки!$C$56-AA62)</f>
        <v>678</v>
      </c>
      <c r="AE62" s="1029">
        <v>-7.6</v>
      </c>
      <c r="AF62" s="1029"/>
      <c r="AG62" s="1029">
        <v>31</v>
      </c>
      <c r="AH62" s="1029">
        <f>AG62*(списки!$C$56-AE62)</f>
        <v>855.6</v>
      </c>
      <c r="AI62" s="1030">
        <v>-10.9</v>
      </c>
      <c r="AJ62" s="1030"/>
      <c r="AK62" s="1030">
        <v>31</v>
      </c>
      <c r="AL62" s="1030">
        <f>AK62*(списки!$C$56-AI62)</f>
        <v>957.9</v>
      </c>
      <c r="AM62" s="1031">
        <v>-9.9</v>
      </c>
      <c r="AN62" s="1031"/>
      <c r="AO62" s="1031">
        <v>28</v>
      </c>
      <c r="AP62" s="1031">
        <f>AO62*(списки!$C$56-AM62)</f>
        <v>837.19999999999993</v>
      </c>
      <c r="AQ62" s="1026">
        <v>-3.9</v>
      </c>
      <c r="AR62" s="1026"/>
      <c r="AS62" s="1026">
        <f t="shared" si="6"/>
        <v>31</v>
      </c>
      <c r="AT62" s="1026">
        <f>AS62*(списки!$C$56-AQ62)</f>
        <v>740.9</v>
      </c>
      <c r="AU62" s="1032">
        <v>2.6</v>
      </c>
      <c r="AV62" s="1032"/>
      <c r="AW62" s="1032">
        <f t="shared" si="7"/>
        <v>30</v>
      </c>
      <c r="AX62" s="1032">
        <f>AW62*(списки!$C$56-AU62)</f>
        <v>522</v>
      </c>
      <c r="AY62" s="1033">
        <v>9.3000000000000007</v>
      </c>
      <c r="AZ62" s="1033"/>
      <c r="BA62" s="1033">
        <f t="shared" si="8"/>
        <v>9</v>
      </c>
      <c r="BB62" s="1033">
        <f>BA62*(списки!$C$56-AY62)</f>
        <v>96.3</v>
      </c>
      <c r="BC62" s="1034">
        <v>14.4</v>
      </c>
      <c r="BD62" s="1034"/>
      <c r="BE62" s="1034">
        <f t="shared" si="9"/>
        <v>0</v>
      </c>
      <c r="BF62" s="1035">
        <f>BE62*(списки!$C$56-BC62)</f>
        <v>0</v>
      </c>
      <c r="BG62" s="1424">
        <v>4694.2000000000007</v>
      </c>
      <c r="BH62" s="1424">
        <v>4942.006666666668</v>
      </c>
    </row>
    <row r="63" spans="2:60" ht="15.75" customHeight="1" x14ac:dyDescent="0.25">
      <c r="B63" s="1014" t="s">
        <v>419</v>
      </c>
      <c r="C63" s="1014" t="s">
        <v>636</v>
      </c>
      <c r="D63" s="1015" t="str">
        <f t="shared" si="0"/>
        <v>Вологодская областьНикольск</v>
      </c>
      <c r="E63" s="1016">
        <v>231</v>
      </c>
      <c r="F63" s="1017">
        <v>-4.7</v>
      </c>
      <c r="G63" s="1017">
        <v>-35</v>
      </c>
      <c r="H63" s="1019">
        <v>2.6</v>
      </c>
      <c r="I63" s="1020">
        <f>E63*(списки!$C$56-F63)</f>
        <v>5705.7</v>
      </c>
      <c r="J63" s="1021" t="str">
        <f t="shared" si="1"/>
        <v>5000-6000</v>
      </c>
      <c r="K63" s="1022">
        <v>17.399999999999999</v>
      </c>
      <c r="L63" s="1022"/>
      <c r="M63" s="1023">
        <f t="shared" si="2"/>
        <v>0</v>
      </c>
      <c r="N63" s="1024">
        <f>M63*(списки!$C$56-K63)</f>
        <v>0</v>
      </c>
      <c r="O63" s="1025">
        <v>14.6</v>
      </c>
      <c r="P63" s="1025"/>
      <c r="Q63" s="1025">
        <f t="shared" si="3"/>
        <v>0</v>
      </c>
      <c r="R63" s="1025">
        <f>Q63*(списки!$C$56-O63)</f>
        <v>0</v>
      </c>
      <c r="S63" s="1026">
        <v>8.8000000000000007</v>
      </c>
      <c r="T63" s="1026"/>
      <c r="U63" s="1026">
        <f t="shared" si="10"/>
        <v>9.5</v>
      </c>
      <c r="V63" s="1026">
        <f>U63*(списки!$C$56-S63)</f>
        <v>106.39999999999999</v>
      </c>
      <c r="W63" s="1027">
        <v>2.2000000000000002</v>
      </c>
      <c r="X63" s="1027"/>
      <c r="Y63" s="1027">
        <f t="shared" si="4"/>
        <v>31</v>
      </c>
      <c r="Z63" s="1027">
        <f>Y63*(списки!$C$56-W63)</f>
        <v>551.80000000000007</v>
      </c>
      <c r="AA63" s="1028">
        <v>-4.5999999999999996</v>
      </c>
      <c r="AB63" s="1028"/>
      <c r="AC63" s="1028">
        <f t="shared" si="5"/>
        <v>30</v>
      </c>
      <c r="AD63" s="1028">
        <f>AC63*(списки!$C$56-AA63)</f>
        <v>738</v>
      </c>
      <c r="AE63" s="1029">
        <v>-10.1</v>
      </c>
      <c r="AF63" s="1029"/>
      <c r="AG63" s="1029">
        <v>31</v>
      </c>
      <c r="AH63" s="1029">
        <f>AG63*(списки!$C$56-AE63)</f>
        <v>933.1</v>
      </c>
      <c r="AI63" s="1030">
        <v>-13.3</v>
      </c>
      <c r="AJ63" s="1030"/>
      <c r="AK63" s="1030">
        <v>31</v>
      </c>
      <c r="AL63" s="1030">
        <f>AK63*(списки!$C$56-AI63)</f>
        <v>1032.3</v>
      </c>
      <c r="AM63" s="1031">
        <v>-11.5</v>
      </c>
      <c r="AN63" s="1031"/>
      <c r="AO63" s="1031">
        <v>28</v>
      </c>
      <c r="AP63" s="1031">
        <f>AO63*(списки!$C$56-AM63)</f>
        <v>882</v>
      </c>
      <c r="AQ63" s="1026">
        <v>-4.4000000000000004</v>
      </c>
      <c r="AR63" s="1026"/>
      <c r="AS63" s="1026">
        <f t="shared" si="6"/>
        <v>31</v>
      </c>
      <c r="AT63" s="1026">
        <f>AS63*(списки!$C$56-AQ63)</f>
        <v>756.4</v>
      </c>
      <c r="AU63" s="1032">
        <v>3</v>
      </c>
      <c r="AV63" s="1032"/>
      <c r="AW63" s="1032">
        <f t="shared" si="7"/>
        <v>30</v>
      </c>
      <c r="AX63" s="1032">
        <f>AW63*(списки!$C$56-AU63)</f>
        <v>510</v>
      </c>
      <c r="AY63" s="1033">
        <v>9.9</v>
      </c>
      <c r="AZ63" s="1033"/>
      <c r="BA63" s="1033">
        <f t="shared" si="8"/>
        <v>9.5</v>
      </c>
      <c r="BB63" s="1033">
        <f>BA63*(списки!$C$56-AY63)</f>
        <v>95.95</v>
      </c>
      <c r="BC63" s="1034">
        <v>15</v>
      </c>
      <c r="BD63" s="1034"/>
      <c r="BE63" s="1034">
        <f t="shared" si="9"/>
        <v>0</v>
      </c>
      <c r="BF63" s="1035">
        <f>BE63*(списки!$C$56-BC63)</f>
        <v>0</v>
      </c>
      <c r="BG63" s="1424">
        <v>5115.2857142857183</v>
      </c>
      <c r="BH63" s="1424">
        <v>5534.5</v>
      </c>
    </row>
    <row r="64" spans="2:60" ht="15.75" customHeight="1" x14ac:dyDescent="0.25">
      <c r="B64" s="1038" t="s">
        <v>419</v>
      </c>
      <c r="C64" s="1038" t="s">
        <v>420</v>
      </c>
      <c r="D64" s="1015" t="str">
        <f t="shared" si="0"/>
        <v>Вологодская областьТотьма</v>
      </c>
      <c r="E64" s="1016">
        <v>232</v>
      </c>
      <c r="F64" s="1017">
        <v>-4.5</v>
      </c>
      <c r="G64" s="1017">
        <v>-32</v>
      </c>
      <c r="H64" s="1019">
        <v>3.1</v>
      </c>
      <c r="I64" s="1020">
        <f>E64*(списки!$C$56-F64)</f>
        <v>5684</v>
      </c>
      <c r="J64" s="1021" t="str">
        <f t="shared" si="1"/>
        <v>5000-6000</v>
      </c>
      <c r="K64" s="1022">
        <v>17.2</v>
      </c>
      <c r="L64" s="1022"/>
      <c r="M64" s="1023">
        <f t="shared" si="2"/>
        <v>0</v>
      </c>
      <c r="N64" s="1024">
        <f>M64*(списки!$C$56-K64)</f>
        <v>0</v>
      </c>
      <c r="O64" s="1025">
        <v>14.4</v>
      </c>
      <c r="P64" s="1025"/>
      <c r="Q64" s="1025">
        <f t="shared" si="3"/>
        <v>0</v>
      </c>
      <c r="R64" s="1025">
        <f>Q64*(списки!$C$56-O64)</f>
        <v>0</v>
      </c>
      <c r="S64" s="1026">
        <v>8.6999999999999993</v>
      </c>
      <c r="T64" s="1026"/>
      <c r="U64" s="1026">
        <f t="shared" si="10"/>
        <v>10</v>
      </c>
      <c r="V64" s="1026">
        <f>U64*(списки!$C$56-S64)</f>
        <v>113</v>
      </c>
      <c r="W64" s="1027">
        <v>2.4</v>
      </c>
      <c r="X64" s="1027"/>
      <c r="Y64" s="1027">
        <f t="shared" si="4"/>
        <v>31</v>
      </c>
      <c r="Z64" s="1027">
        <f>Y64*(списки!$C$56-W64)</f>
        <v>545.6</v>
      </c>
      <c r="AA64" s="1028">
        <v>-4.3</v>
      </c>
      <c r="AB64" s="1028"/>
      <c r="AC64" s="1028">
        <f t="shared" si="5"/>
        <v>30</v>
      </c>
      <c r="AD64" s="1028">
        <f>AC64*(списки!$C$56-AA64)</f>
        <v>729</v>
      </c>
      <c r="AE64" s="1029">
        <v>-9.6999999999999993</v>
      </c>
      <c r="AF64" s="1029"/>
      <c r="AG64" s="1029">
        <v>31</v>
      </c>
      <c r="AH64" s="1029">
        <f>AG64*(списки!$C$56-AE64)</f>
        <v>920.69999999999993</v>
      </c>
      <c r="AI64" s="1030">
        <v>-12.8</v>
      </c>
      <c r="AJ64" s="1030"/>
      <c r="AK64" s="1030">
        <v>31</v>
      </c>
      <c r="AL64" s="1030">
        <f>AK64*(списки!$C$56-AI64)</f>
        <v>1016.8</v>
      </c>
      <c r="AM64" s="1031">
        <v>-11</v>
      </c>
      <c r="AN64" s="1031"/>
      <c r="AO64" s="1031">
        <v>28</v>
      </c>
      <c r="AP64" s="1031">
        <f>AO64*(списки!$C$56-AM64)</f>
        <v>868</v>
      </c>
      <c r="AQ64" s="1026">
        <v>-4.0999999999999996</v>
      </c>
      <c r="AR64" s="1026"/>
      <c r="AS64" s="1026">
        <f t="shared" si="6"/>
        <v>31</v>
      </c>
      <c r="AT64" s="1026">
        <f>AS64*(списки!$C$56-AQ64)</f>
        <v>747.1</v>
      </c>
      <c r="AU64" s="1032">
        <v>2.8</v>
      </c>
      <c r="AV64" s="1032"/>
      <c r="AW64" s="1032">
        <f t="shared" si="7"/>
        <v>30</v>
      </c>
      <c r="AX64" s="1032">
        <f>AW64*(списки!$C$56-AU64)</f>
        <v>516</v>
      </c>
      <c r="AY64" s="1033">
        <v>9.8000000000000007</v>
      </c>
      <c r="AZ64" s="1033"/>
      <c r="BA64" s="1033">
        <f t="shared" si="8"/>
        <v>10</v>
      </c>
      <c r="BB64" s="1033">
        <f>BA64*(списки!$C$56-AY64)</f>
        <v>102</v>
      </c>
      <c r="BC64" s="1034">
        <v>14.7</v>
      </c>
      <c r="BD64" s="1034"/>
      <c r="BE64" s="1034">
        <f t="shared" si="9"/>
        <v>0</v>
      </c>
      <c r="BF64" s="1035">
        <f>BE64*(списки!$C$56-BC64)</f>
        <v>0</v>
      </c>
      <c r="BG64" s="1424">
        <v>5032.4339285714277</v>
      </c>
      <c r="BH64" s="1424">
        <v>5408.5124999999998</v>
      </c>
    </row>
    <row r="65" spans="2:60" ht="15.75" customHeight="1" x14ac:dyDescent="0.25">
      <c r="B65" s="1014" t="s">
        <v>422</v>
      </c>
      <c r="C65" s="1014" t="s">
        <v>423</v>
      </c>
      <c r="D65" s="1015" t="str">
        <f t="shared" si="0"/>
        <v>Воронежская областьВоронеж</v>
      </c>
      <c r="E65" s="1016">
        <v>190</v>
      </c>
      <c r="F65" s="1017">
        <v>-2.5</v>
      </c>
      <c r="G65" s="1017">
        <v>-24</v>
      </c>
      <c r="H65" s="1019">
        <v>4</v>
      </c>
      <c r="I65" s="1020">
        <f>E65*(списки!$C$56-F65)</f>
        <v>4275</v>
      </c>
      <c r="J65" s="1021" t="str">
        <f t="shared" si="1"/>
        <v>4000-5000</v>
      </c>
      <c r="K65" s="1022">
        <v>20.100000000000001</v>
      </c>
      <c r="L65" s="1022"/>
      <c r="M65" s="1023">
        <f t="shared" si="2"/>
        <v>0</v>
      </c>
      <c r="N65" s="1024">
        <f>M65*(списки!$C$56-K65)</f>
        <v>0</v>
      </c>
      <c r="O65" s="1025">
        <v>18.899999999999999</v>
      </c>
      <c r="P65" s="1025"/>
      <c r="Q65" s="1025">
        <f t="shared" si="3"/>
        <v>0</v>
      </c>
      <c r="R65" s="1025">
        <f>Q65*(списки!$C$56-O65)</f>
        <v>0</v>
      </c>
      <c r="S65" s="1026">
        <v>13.1</v>
      </c>
      <c r="T65" s="1026"/>
      <c r="U65" s="1026">
        <f t="shared" si="10"/>
        <v>0</v>
      </c>
      <c r="V65" s="1026">
        <f>U65*(списки!$C$56-S65)</f>
        <v>0</v>
      </c>
      <c r="W65" s="1027">
        <v>6.5</v>
      </c>
      <c r="X65" s="1027"/>
      <c r="Y65" s="1027">
        <f t="shared" si="4"/>
        <v>19.5</v>
      </c>
      <c r="Z65" s="1027">
        <f>Y65*(списки!$C$56-W65)</f>
        <v>263.25</v>
      </c>
      <c r="AA65" s="1028">
        <v>-0.1</v>
      </c>
      <c r="AB65" s="1028"/>
      <c r="AC65" s="1028">
        <f t="shared" si="5"/>
        <v>30</v>
      </c>
      <c r="AD65" s="1028">
        <f>AC65*(списки!$C$56-AA65)</f>
        <v>603</v>
      </c>
      <c r="AE65" s="1029">
        <v>-5.2</v>
      </c>
      <c r="AF65" s="1029"/>
      <c r="AG65" s="1029">
        <v>31</v>
      </c>
      <c r="AH65" s="1029">
        <f>AG65*(списки!$C$56-AE65)</f>
        <v>781.19999999999993</v>
      </c>
      <c r="AI65" s="1030">
        <v>-7.5</v>
      </c>
      <c r="AJ65" s="1030"/>
      <c r="AK65" s="1030">
        <v>31</v>
      </c>
      <c r="AL65" s="1030">
        <f>AK65*(списки!$C$56-AI65)</f>
        <v>852.5</v>
      </c>
      <c r="AM65" s="1031">
        <v>-7.2</v>
      </c>
      <c r="AN65" s="1031"/>
      <c r="AO65" s="1031">
        <v>28</v>
      </c>
      <c r="AP65" s="1031">
        <f>AO65*(списки!$C$56-AM65)</f>
        <v>761.6</v>
      </c>
      <c r="AQ65" s="1026">
        <v>-1.4</v>
      </c>
      <c r="AR65" s="1026"/>
      <c r="AS65" s="1026">
        <f t="shared" si="6"/>
        <v>31</v>
      </c>
      <c r="AT65" s="1026">
        <f>AS65*(списки!$C$56-AQ65)</f>
        <v>663.4</v>
      </c>
      <c r="AU65" s="1032">
        <v>8.1999999999999993</v>
      </c>
      <c r="AV65" s="1032"/>
      <c r="AW65" s="1032">
        <f t="shared" si="7"/>
        <v>19.5</v>
      </c>
      <c r="AX65" s="1032">
        <f>AW65*(списки!$C$56-AU65)</f>
        <v>230.10000000000002</v>
      </c>
      <c r="AY65" s="1033">
        <v>14.9</v>
      </c>
      <c r="AZ65" s="1033"/>
      <c r="BA65" s="1033">
        <f t="shared" si="8"/>
        <v>0</v>
      </c>
      <c r="BB65" s="1033">
        <f>BA65*(списки!$C$56-AY65)</f>
        <v>0</v>
      </c>
      <c r="BC65" s="1034">
        <v>18.399999999999999</v>
      </c>
      <c r="BD65" s="1034"/>
      <c r="BE65" s="1034">
        <f t="shared" si="9"/>
        <v>0</v>
      </c>
      <c r="BF65" s="1035">
        <f>BE65*(списки!$C$56-BC65)</f>
        <v>0</v>
      </c>
      <c r="BG65" s="1424">
        <v>3829.3214285714298</v>
      </c>
      <c r="BH65" s="1424">
        <v>3919.1499999999974</v>
      </c>
    </row>
    <row r="66" spans="2:60" ht="15.75" customHeight="1" x14ac:dyDescent="0.25">
      <c r="B66" s="1038" t="s">
        <v>95</v>
      </c>
      <c r="C66" s="1038" t="s">
        <v>96</v>
      </c>
      <c r="D66" s="1015" t="str">
        <f t="shared" si="0"/>
        <v>Еврейская автономная областьБиробиджан</v>
      </c>
      <c r="E66" s="1016">
        <v>219</v>
      </c>
      <c r="F66" s="1017">
        <v>-10.4</v>
      </c>
      <c r="G66" s="1017">
        <v>-32</v>
      </c>
      <c r="H66" s="1019">
        <f>H440</f>
        <v>3.9</v>
      </c>
      <c r="I66" s="1020">
        <f>E66*(списки!$C$56-F66)</f>
        <v>6657.5999999999995</v>
      </c>
      <c r="J66" s="1021" t="str">
        <f t="shared" si="1"/>
        <v>6000-7000</v>
      </c>
      <c r="K66" s="1022">
        <v>20.3</v>
      </c>
      <c r="L66" s="1022"/>
      <c r="M66" s="1023">
        <f t="shared" si="2"/>
        <v>0</v>
      </c>
      <c r="N66" s="1024">
        <f>M66*(списки!$C$56-K66)</f>
        <v>0</v>
      </c>
      <c r="O66" s="1025">
        <v>19</v>
      </c>
      <c r="P66" s="1025"/>
      <c r="Q66" s="1025">
        <f t="shared" si="3"/>
        <v>0</v>
      </c>
      <c r="R66" s="1025">
        <f>Q66*(списки!$C$56-O66)</f>
        <v>0</v>
      </c>
      <c r="S66" s="1026">
        <v>12.4</v>
      </c>
      <c r="T66" s="1026"/>
      <c r="U66" s="1026">
        <f t="shared" si="10"/>
        <v>3.5</v>
      </c>
      <c r="V66" s="1026">
        <f>U66*(списки!$C$56-S66)</f>
        <v>26.599999999999998</v>
      </c>
      <c r="W66" s="1027">
        <v>3</v>
      </c>
      <c r="X66" s="1027"/>
      <c r="Y66" s="1027">
        <f t="shared" si="4"/>
        <v>31</v>
      </c>
      <c r="Z66" s="1027">
        <f>Y66*(списки!$C$56-W66)</f>
        <v>527</v>
      </c>
      <c r="AA66" s="1028">
        <v>-9.8000000000000007</v>
      </c>
      <c r="AB66" s="1028"/>
      <c r="AC66" s="1028">
        <f t="shared" si="5"/>
        <v>30</v>
      </c>
      <c r="AD66" s="1028">
        <f>AC66*(списки!$C$56-AA66)</f>
        <v>894</v>
      </c>
      <c r="AE66" s="1029">
        <v>-19.600000000000001</v>
      </c>
      <c r="AF66" s="1029"/>
      <c r="AG66" s="1029">
        <v>31</v>
      </c>
      <c r="AH66" s="1029">
        <f>AG66*(списки!$C$56-AE66)</f>
        <v>1227.6000000000001</v>
      </c>
      <c r="AI66" s="1030">
        <v>-22.6</v>
      </c>
      <c r="AJ66" s="1030"/>
      <c r="AK66" s="1030">
        <v>31</v>
      </c>
      <c r="AL66" s="1030">
        <f>AK66*(списки!$C$56-AI66)</f>
        <v>1320.6000000000001</v>
      </c>
      <c r="AM66" s="1031">
        <v>-17.5</v>
      </c>
      <c r="AN66" s="1031"/>
      <c r="AO66" s="1031">
        <v>28</v>
      </c>
      <c r="AP66" s="1031">
        <f>AO66*(списки!$C$56-AM66)</f>
        <v>1050</v>
      </c>
      <c r="AQ66" s="1026">
        <v>-9</v>
      </c>
      <c r="AR66" s="1026"/>
      <c r="AS66" s="1026">
        <f t="shared" si="6"/>
        <v>31</v>
      </c>
      <c r="AT66" s="1026">
        <f>AS66*(списки!$C$56-AQ66)</f>
        <v>899</v>
      </c>
      <c r="AU66" s="1032">
        <v>3</v>
      </c>
      <c r="AV66" s="1032"/>
      <c r="AW66" s="1032">
        <f t="shared" si="7"/>
        <v>30</v>
      </c>
      <c r="AX66" s="1032">
        <f>AW66*(списки!$C$56-AU66)</f>
        <v>510</v>
      </c>
      <c r="AY66" s="1033">
        <v>10.7</v>
      </c>
      <c r="AZ66" s="1033"/>
      <c r="BA66" s="1033">
        <f t="shared" si="8"/>
        <v>3.5</v>
      </c>
      <c r="BB66" s="1033">
        <f>BA66*(списки!$C$56-AY66)</f>
        <v>32.550000000000004</v>
      </c>
      <c r="BC66" s="1034">
        <v>16.7</v>
      </c>
      <c r="BD66" s="1034"/>
      <c r="BE66" s="1034">
        <f t="shared" si="9"/>
        <v>0</v>
      </c>
      <c r="BF66" s="1035">
        <f>BE66*(списки!$C$56-BC66)</f>
        <v>0</v>
      </c>
      <c r="BG66" s="1424">
        <v>6430.8339285714246</v>
      </c>
      <c r="BH66" s="1424">
        <v>5975.9696428571469</v>
      </c>
    </row>
    <row r="67" spans="2:60" ht="15.75" customHeight="1" x14ac:dyDescent="0.25">
      <c r="B67" s="1014" t="s">
        <v>95</v>
      </c>
      <c r="C67" s="1014" t="s">
        <v>97</v>
      </c>
      <c r="D67" s="1015" t="str">
        <f t="shared" si="0"/>
        <v>Еврейская автономная областьОблучье</v>
      </c>
      <c r="E67" s="1016">
        <v>227</v>
      </c>
      <c r="F67" s="1017">
        <v>-11.5</v>
      </c>
      <c r="G67" s="1017">
        <v>-36</v>
      </c>
      <c r="H67" s="1019">
        <f>H66</f>
        <v>3.9</v>
      </c>
      <c r="I67" s="1020">
        <f>E67*(списки!$C$56-F67)</f>
        <v>7150.5</v>
      </c>
      <c r="J67" s="1021" t="str">
        <f t="shared" si="1"/>
        <v>7000-8000</v>
      </c>
      <c r="K67" s="1022">
        <v>19.8</v>
      </c>
      <c r="L67" s="1022"/>
      <c r="M67" s="1023">
        <f t="shared" si="2"/>
        <v>0</v>
      </c>
      <c r="N67" s="1024">
        <f>M67*(списки!$C$56-K67)</f>
        <v>0</v>
      </c>
      <c r="O67" s="1025">
        <v>17.899999999999999</v>
      </c>
      <c r="P67" s="1025"/>
      <c r="Q67" s="1025">
        <f t="shared" si="3"/>
        <v>0</v>
      </c>
      <c r="R67" s="1025">
        <f>Q67*(списки!$C$56-O67)</f>
        <v>0</v>
      </c>
      <c r="S67" s="1026">
        <v>11</v>
      </c>
      <c r="T67" s="1026"/>
      <c r="U67" s="1026">
        <f t="shared" si="10"/>
        <v>7.5</v>
      </c>
      <c r="V67" s="1026">
        <f>U67*(списки!$C$56-S67)</f>
        <v>67.5</v>
      </c>
      <c r="W67" s="1027">
        <v>1.1000000000000001</v>
      </c>
      <c r="X67" s="1027"/>
      <c r="Y67" s="1027">
        <f t="shared" si="4"/>
        <v>31</v>
      </c>
      <c r="Z67" s="1027">
        <f>Y67*(списки!$C$56-W67)</f>
        <v>585.9</v>
      </c>
      <c r="AA67" s="1028">
        <v>-12.6</v>
      </c>
      <c r="AB67" s="1028"/>
      <c r="AC67" s="1028">
        <f t="shared" si="5"/>
        <v>30</v>
      </c>
      <c r="AD67" s="1028">
        <f>AC67*(списки!$C$56-AA67)</f>
        <v>978</v>
      </c>
      <c r="AE67" s="1029">
        <v>-23.6</v>
      </c>
      <c r="AF67" s="1029"/>
      <c r="AG67" s="1029">
        <v>31</v>
      </c>
      <c r="AH67" s="1029">
        <f>AG67*(списки!$C$56-AE67)</f>
        <v>1351.6000000000001</v>
      </c>
      <c r="AI67" s="1030">
        <v>-26.5</v>
      </c>
      <c r="AJ67" s="1030"/>
      <c r="AK67" s="1030">
        <v>31</v>
      </c>
      <c r="AL67" s="1030">
        <f>AK67*(списки!$C$56-AI67)</f>
        <v>1441.5</v>
      </c>
      <c r="AM67" s="1031">
        <v>-21.1</v>
      </c>
      <c r="AN67" s="1031"/>
      <c r="AO67" s="1031">
        <v>28</v>
      </c>
      <c r="AP67" s="1031">
        <f>AO67*(списки!$C$56-AM67)</f>
        <v>1150.8</v>
      </c>
      <c r="AQ67" s="1026">
        <v>-11.4</v>
      </c>
      <c r="AR67" s="1026"/>
      <c r="AS67" s="1026">
        <f t="shared" si="6"/>
        <v>31</v>
      </c>
      <c r="AT67" s="1026">
        <f>AS67*(списки!$C$56-AQ67)</f>
        <v>973.4</v>
      </c>
      <c r="AU67" s="1032">
        <v>1.4</v>
      </c>
      <c r="AV67" s="1032"/>
      <c r="AW67" s="1032">
        <f t="shared" si="7"/>
        <v>30</v>
      </c>
      <c r="AX67" s="1032">
        <f>AW67*(списки!$C$56-AU67)</f>
        <v>558</v>
      </c>
      <c r="AY67" s="1033">
        <v>9.6</v>
      </c>
      <c r="AZ67" s="1033"/>
      <c r="BA67" s="1033">
        <f t="shared" si="8"/>
        <v>7.5</v>
      </c>
      <c r="BB67" s="1033">
        <f>BA67*(списки!$C$56-AY67)</f>
        <v>78</v>
      </c>
      <c r="BC67" s="1034">
        <v>16.2</v>
      </c>
      <c r="BD67" s="1034"/>
      <c r="BE67" s="1034">
        <f t="shared" si="9"/>
        <v>0</v>
      </c>
      <c r="BF67" s="1035">
        <f>BE67*(списки!$C$56-BC67)</f>
        <v>0</v>
      </c>
      <c r="BG67" s="1424">
        <v>7063.0250000000005</v>
      </c>
      <c r="BH67" s="1424">
        <v>6768.2267857142879</v>
      </c>
    </row>
    <row r="68" spans="2:60" ht="15.75" customHeight="1" x14ac:dyDescent="0.25">
      <c r="B68" s="1038" t="s">
        <v>255</v>
      </c>
      <c r="C68" s="1038" t="s">
        <v>429</v>
      </c>
      <c r="D68" s="1015" t="str">
        <f t="shared" si="0"/>
        <v>Забайкальский крайАгинское</v>
      </c>
      <c r="E68" s="1016">
        <v>238</v>
      </c>
      <c r="F68" s="1017">
        <v>-10.4</v>
      </c>
      <c r="G68" s="1017">
        <v>-36</v>
      </c>
      <c r="H68" s="1019">
        <f>H75</f>
        <v>3.6</v>
      </c>
      <c r="I68" s="1020">
        <f>E68*(списки!$C$56-F68)</f>
        <v>7235.2</v>
      </c>
      <c r="J68" s="1021" t="str">
        <f t="shared" si="1"/>
        <v>7000-8000</v>
      </c>
      <c r="K68" s="1022">
        <v>18.399999999999999</v>
      </c>
      <c r="L68" s="1022"/>
      <c r="M68" s="1023">
        <f t="shared" si="2"/>
        <v>0</v>
      </c>
      <c r="N68" s="1024">
        <f>M68*(списки!$C$56-K68)</f>
        <v>0</v>
      </c>
      <c r="O68" s="1025">
        <v>15.5</v>
      </c>
      <c r="P68" s="1025"/>
      <c r="Q68" s="1025">
        <f t="shared" si="3"/>
        <v>0</v>
      </c>
      <c r="R68" s="1025">
        <f>Q68*(списки!$C$56-O68)</f>
        <v>0</v>
      </c>
      <c r="S68" s="1026">
        <v>8.4</v>
      </c>
      <c r="T68" s="1026"/>
      <c r="U68" s="1026">
        <f t="shared" si="10"/>
        <v>13</v>
      </c>
      <c r="V68" s="1026">
        <f>U68*(списки!$C$56-S68)</f>
        <v>150.79999999999998</v>
      </c>
      <c r="W68" s="1027">
        <v>-0.6</v>
      </c>
      <c r="X68" s="1027"/>
      <c r="Y68" s="1027">
        <f t="shared" si="4"/>
        <v>31</v>
      </c>
      <c r="Z68" s="1027">
        <f>Y68*(списки!$C$56-W68)</f>
        <v>638.6</v>
      </c>
      <c r="AA68" s="1028">
        <v>-13</v>
      </c>
      <c r="AB68" s="1028"/>
      <c r="AC68" s="1028">
        <f t="shared" si="5"/>
        <v>30</v>
      </c>
      <c r="AD68" s="1028">
        <f>AC68*(списки!$C$56-AA68)</f>
        <v>990</v>
      </c>
      <c r="AE68" s="1029">
        <v>-21.3</v>
      </c>
      <c r="AF68" s="1029"/>
      <c r="AG68" s="1029">
        <v>31</v>
      </c>
      <c r="AH68" s="1029">
        <f>AG68*(списки!$C$56-AE68)</f>
        <v>1280.3</v>
      </c>
      <c r="AI68" s="1030">
        <v>-23.3</v>
      </c>
      <c r="AJ68" s="1030"/>
      <c r="AK68" s="1030">
        <v>31</v>
      </c>
      <c r="AL68" s="1030">
        <f>AK68*(списки!$C$56-AI68)</f>
        <v>1342.3</v>
      </c>
      <c r="AM68" s="1031">
        <v>-20.399999999999999</v>
      </c>
      <c r="AN68" s="1031"/>
      <c r="AO68" s="1031">
        <v>28</v>
      </c>
      <c r="AP68" s="1031">
        <f>AO68*(списки!$C$56-AM68)</f>
        <v>1131.2</v>
      </c>
      <c r="AQ68" s="1026">
        <v>-11.5</v>
      </c>
      <c r="AR68" s="1026"/>
      <c r="AS68" s="1026">
        <f t="shared" si="6"/>
        <v>31</v>
      </c>
      <c r="AT68" s="1026">
        <f>AS68*(списки!$C$56-AQ68)</f>
        <v>976.5</v>
      </c>
      <c r="AU68" s="1032">
        <v>0.4</v>
      </c>
      <c r="AV68" s="1032"/>
      <c r="AW68" s="1032">
        <f t="shared" si="7"/>
        <v>30</v>
      </c>
      <c r="AX68" s="1032">
        <f>AW68*(списки!$C$56-AU68)</f>
        <v>588</v>
      </c>
      <c r="AY68" s="1033">
        <v>8.8000000000000007</v>
      </c>
      <c r="AZ68" s="1033"/>
      <c r="BA68" s="1033">
        <f t="shared" si="8"/>
        <v>13</v>
      </c>
      <c r="BB68" s="1033">
        <f>BA68*(списки!$C$56-AY68)</f>
        <v>145.6</v>
      </c>
      <c r="BC68" s="1034">
        <v>15.6</v>
      </c>
      <c r="BD68" s="1034"/>
      <c r="BE68" s="1034">
        <f t="shared" si="9"/>
        <v>0</v>
      </c>
      <c r="BF68" s="1035">
        <f>BE68*(списки!$C$56-BC68)</f>
        <v>0</v>
      </c>
      <c r="BG68" s="1424">
        <v>6929.9249999999975</v>
      </c>
      <c r="BH68" s="1424">
        <v>6557.6624999999976</v>
      </c>
    </row>
    <row r="69" spans="2:60" ht="15.75" customHeight="1" x14ac:dyDescent="0.25">
      <c r="B69" s="1014" t="s">
        <v>255</v>
      </c>
      <c r="C69" s="1014" t="s">
        <v>430</v>
      </c>
      <c r="D69" s="1015" t="str">
        <f t="shared" si="0"/>
        <v>Забайкальский крайАкша</v>
      </c>
      <c r="E69" s="1016">
        <v>237</v>
      </c>
      <c r="F69" s="1017">
        <v>-9.6</v>
      </c>
      <c r="G69" s="1017">
        <v>-34</v>
      </c>
      <c r="H69" s="1019">
        <v>5.2</v>
      </c>
      <c r="I69" s="1020">
        <f>E69*(списки!$C$56-F69)</f>
        <v>7015.2000000000007</v>
      </c>
      <c r="J69" s="1021" t="str">
        <f t="shared" si="1"/>
        <v>7000-8000</v>
      </c>
      <c r="K69" s="1022">
        <v>18.100000000000001</v>
      </c>
      <c r="L69" s="1022"/>
      <c r="M69" s="1023">
        <f t="shared" si="2"/>
        <v>0</v>
      </c>
      <c r="N69" s="1024">
        <f>M69*(списки!$C$56-K69)</f>
        <v>0</v>
      </c>
      <c r="O69" s="1025">
        <v>15.5</v>
      </c>
      <c r="P69" s="1025"/>
      <c r="Q69" s="1025">
        <f t="shared" si="3"/>
        <v>0</v>
      </c>
      <c r="R69" s="1025">
        <f>Q69*(списки!$C$56-O69)</f>
        <v>0</v>
      </c>
      <c r="S69" s="1026">
        <v>8.4</v>
      </c>
      <c r="T69" s="1026"/>
      <c r="U69" s="1026">
        <f t="shared" si="10"/>
        <v>12.5</v>
      </c>
      <c r="V69" s="1026">
        <f>U69*(списки!$C$56-S69)</f>
        <v>145</v>
      </c>
      <c r="W69" s="1027">
        <v>-0.1</v>
      </c>
      <c r="X69" s="1027"/>
      <c r="Y69" s="1027">
        <f t="shared" si="4"/>
        <v>31</v>
      </c>
      <c r="Z69" s="1027">
        <f>Y69*(списки!$C$56-W69)</f>
        <v>623.1</v>
      </c>
      <c r="AA69" s="1028">
        <v>-12.1</v>
      </c>
      <c r="AB69" s="1028"/>
      <c r="AC69" s="1028">
        <f t="shared" si="5"/>
        <v>30</v>
      </c>
      <c r="AD69" s="1028">
        <f>AC69*(списки!$C$56-AA69)</f>
        <v>963</v>
      </c>
      <c r="AE69" s="1029">
        <v>-20.3</v>
      </c>
      <c r="AF69" s="1029"/>
      <c r="AG69" s="1029">
        <v>31</v>
      </c>
      <c r="AH69" s="1029">
        <f>AG69*(списки!$C$56-AE69)</f>
        <v>1249.3</v>
      </c>
      <c r="AI69" s="1030">
        <v>-22.6</v>
      </c>
      <c r="AJ69" s="1030"/>
      <c r="AK69" s="1030">
        <v>31</v>
      </c>
      <c r="AL69" s="1030">
        <f>AK69*(списки!$C$56-AI69)</f>
        <v>1320.6000000000001</v>
      </c>
      <c r="AM69" s="1031">
        <v>-19.100000000000001</v>
      </c>
      <c r="AN69" s="1031"/>
      <c r="AO69" s="1031">
        <v>28</v>
      </c>
      <c r="AP69" s="1031">
        <f>AO69*(списки!$C$56-AM69)</f>
        <v>1094.8</v>
      </c>
      <c r="AQ69" s="1026">
        <v>-9.4</v>
      </c>
      <c r="AR69" s="1026"/>
      <c r="AS69" s="1026">
        <f t="shared" si="6"/>
        <v>31</v>
      </c>
      <c r="AT69" s="1026">
        <f>AS69*(списки!$C$56-AQ69)</f>
        <v>911.4</v>
      </c>
      <c r="AU69" s="1032">
        <v>1</v>
      </c>
      <c r="AV69" s="1032"/>
      <c r="AW69" s="1032">
        <f t="shared" si="7"/>
        <v>30</v>
      </c>
      <c r="AX69" s="1032">
        <f>AW69*(списки!$C$56-AU69)</f>
        <v>570</v>
      </c>
      <c r="AY69" s="1033">
        <v>9</v>
      </c>
      <c r="AZ69" s="1033"/>
      <c r="BA69" s="1033">
        <f t="shared" si="8"/>
        <v>12.5</v>
      </c>
      <c r="BB69" s="1033">
        <f>BA69*(списки!$C$56-AY69)</f>
        <v>137.5</v>
      </c>
      <c r="BC69" s="1034">
        <v>15.4</v>
      </c>
      <c r="BD69" s="1034"/>
      <c r="BE69" s="1034">
        <f t="shared" si="9"/>
        <v>0</v>
      </c>
      <c r="BF69" s="1035">
        <f>BE69*(списки!$C$56-BC69)</f>
        <v>0</v>
      </c>
      <c r="BG69" s="1424">
        <v>6781.3125</v>
      </c>
      <c r="BH69" s="1424">
        <v>6396.2749999999987</v>
      </c>
    </row>
    <row r="70" spans="2:60" ht="15.75" customHeight="1" x14ac:dyDescent="0.25">
      <c r="B70" s="1038" t="s">
        <v>255</v>
      </c>
      <c r="C70" s="1038" t="s">
        <v>637</v>
      </c>
      <c r="D70" s="1015" t="str">
        <f t="shared" si="0"/>
        <v>Забайкальский крайАлександровский Завод</v>
      </c>
      <c r="E70" s="1016">
        <v>250</v>
      </c>
      <c r="F70" s="1017">
        <v>-12</v>
      </c>
      <c r="G70" s="1017">
        <v>-38</v>
      </c>
      <c r="H70" s="1019">
        <v>3.6</v>
      </c>
      <c r="I70" s="1020">
        <f>E70*(списки!$C$56-F70)</f>
        <v>8000</v>
      </c>
      <c r="J70" s="1021" t="str">
        <f t="shared" si="1"/>
        <v>8000-8000</v>
      </c>
      <c r="K70" s="1022">
        <v>16.7</v>
      </c>
      <c r="L70" s="1022"/>
      <c r="M70" s="1023">
        <f t="shared" si="2"/>
        <v>0</v>
      </c>
      <c r="N70" s="1024">
        <f>M70*(списки!$C$56-K70)</f>
        <v>0</v>
      </c>
      <c r="O70" s="1025">
        <v>14.1</v>
      </c>
      <c r="P70" s="1025"/>
      <c r="Q70" s="1025">
        <f t="shared" si="3"/>
        <v>0</v>
      </c>
      <c r="R70" s="1025">
        <f>Q70*(списки!$C$56-O70)</f>
        <v>0</v>
      </c>
      <c r="S70" s="1026">
        <v>7</v>
      </c>
      <c r="T70" s="1026"/>
      <c r="U70" s="1026">
        <f t="shared" si="10"/>
        <v>19</v>
      </c>
      <c r="V70" s="1026">
        <f>U70*(списки!$C$56-S70)</f>
        <v>247</v>
      </c>
      <c r="W70" s="1027">
        <v>-2.4</v>
      </c>
      <c r="X70" s="1027"/>
      <c r="Y70" s="1027">
        <f t="shared" si="4"/>
        <v>31</v>
      </c>
      <c r="Z70" s="1027">
        <f>Y70*(списки!$C$56-W70)</f>
        <v>694.4</v>
      </c>
      <c r="AA70" s="1028">
        <v>-15.5</v>
      </c>
      <c r="AB70" s="1028"/>
      <c r="AC70" s="1028">
        <f t="shared" si="5"/>
        <v>30</v>
      </c>
      <c r="AD70" s="1028">
        <f>AC70*(списки!$C$56-AA70)</f>
        <v>1065</v>
      </c>
      <c r="AE70" s="1029">
        <v>-24.6</v>
      </c>
      <c r="AF70" s="1029"/>
      <c r="AG70" s="1029">
        <v>31</v>
      </c>
      <c r="AH70" s="1029">
        <f>AG70*(списки!$C$56-AE70)</f>
        <v>1382.6000000000001</v>
      </c>
      <c r="AI70" s="1030">
        <v>-26.8</v>
      </c>
      <c r="AJ70" s="1030"/>
      <c r="AK70" s="1030">
        <v>31</v>
      </c>
      <c r="AL70" s="1030">
        <f>AK70*(списки!$C$56-AI70)</f>
        <v>1450.8</v>
      </c>
      <c r="AM70" s="1031">
        <v>-23.5</v>
      </c>
      <c r="AN70" s="1031"/>
      <c r="AO70" s="1031">
        <v>28</v>
      </c>
      <c r="AP70" s="1031">
        <f>AO70*(списки!$C$56-AM70)</f>
        <v>1218</v>
      </c>
      <c r="AQ70" s="1026">
        <v>-13.9</v>
      </c>
      <c r="AR70" s="1026"/>
      <c r="AS70" s="1026">
        <f t="shared" si="6"/>
        <v>31</v>
      </c>
      <c r="AT70" s="1026">
        <f>AS70*(списки!$C$56-AQ70)</f>
        <v>1050.8999999999999</v>
      </c>
      <c r="AU70" s="1032">
        <v>-1.4</v>
      </c>
      <c r="AV70" s="1032"/>
      <c r="AW70" s="1032">
        <f t="shared" si="7"/>
        <v>30</v>
      </c>
      <c r="AX70" s="1032">
        <f>AW70*(списки!$C$56-AU70)</f>
        <v>642</v>
      </c>
      <c r="AY70" s="1033">
        <v>7.4</v>
      </c>
      <c r="AZ70" s="1033"/>
      <c r="BA70" s="1033">
        <f t="shared" si="8"/>
        <v>19</v>
      </c>
      <c r="BB70" s="1033">
        <f>BA70*(списки!$C$56-AY70)</f>
        <v>239.4</v>
      </c>
      <c r="BC70" s="1034">
        <v>14.1</v>
      </c>
      <c r="BD70" s="1034"/>
      <c r="BE70" s="1034">
        <f t="shared" si="9"/>
        <v>0</v>
      </c>
      <c r="BF70" s="1035">
        <f>BE70*(списки!$C$56-BC70)</f>
        <v>0</v>
      </c>
      <c r="BG70" s="1424">
        <v>7706.6124999999993</v>
      </c>
      <c r="BH70" s="1424">
        <v>7734.9142857142824</v>
      </c>
    </row>
    <row r="71" spans="2:60" ht="15.75" customHeight="1" x14ac:dyDescent="0.25">
      <c r="B71" s="1014" t="s">
        <v>255</v>
      </c>
      <c r="C71" s="1014" t="s">
        <v>431</v>
      </c>
      <c r="D71" s="1015" t="str">
        <f t="shared" si="0"/>
        <v>Забайкальский крайБорзя</v>
      </c>
      <c r="E71" s="1016">
        <v>232</v>
      </c>
      <c r="F71" s="1017">
        <v>-12.4</v>
      </c>
      <c r="G71" s="1017">
        <v>-38</v>
      </c>
      <c r="H71" s="1019">
        <v>1.9</v>
      </c>
      <c r="I71" s="1020">
        <f>E71*(списки!$C$56-F71)</f>
        <v>7516.7999999999993</v>
      </c>
      <c r="J71" s="1021" t="str">
        <f t="shared" si="1"/>
        <v>7000-8000</v>
      </c>
      <c r="K71" s="1022">
        <v>19.2</v>
      </c>
      <c r="L71" s="1022"/>
      <c r="M71" s="1023">
        <f t="shared" si="2"/>
        <v>0</v>
      </c>
      <c r="N71" s="1024">
        <f>M71*(списки!$C$56-K71)</f>
        <v>0</v>
      </c>
      <c r="O71" s="1025">
        <v>16.7</v>
      </c>
      <c r="P71" s="1025"/>
      <c r="Q71" s="1025">
        <f t="shared" si="3"/>
        <v>0</v>
      </c>
      <c r="R71" s="1025">
        <f>Q71*(списки!$C$56-O71)</f>
        <v>0</v>
      </c>
      <c r="S71" s="1026">
        <v>9.3000000000000007</v>
      </c>
      <c r="T71" s="1026"/>
      <c r="U71" s="1026">
        <f t="shared" si="10"/>
        <v>10</v>
      </c>
      <c r="V71" s="1026">
        <f>U71*(списки!$C$56-S71)</f>
        <v>107</v>
      </c>
      <c r="W71" s="1027">
        <v>-0.4</v>
      </c>
      <c r="X71" s="1027"/>
      <c r="Y71" s="1027">
        <f t="shared" si="4"/>
        <v>31</v>
      </c>
      <c r="Z71" s="1027">
        <f>Y71*(списки!$C$56-W71)</f>
        <v>632.4</v>
      </c>
      <c r="AA71" s="1028">
        <v>-13.5</v>
      </c>
      <c r="AB71" s="1028"/>
      <c r="AC71" s="1028">
        <f t="shared" si="5"/>
        <v>30</v>
      </c>
      <c r="AD71" s="1028">
        <f>AC71*(списки!$C$56-AA71)</f>
        <v>1005</v>
      </c>
      <c r="AE71" s="1029">
        <v>-23.4</v>
      </c>
      <c r="AF71" s="1029"/>
      <c r="AG71" s="1029">
        <v>31</v>
      </c>
      <c r="AH71" s="1029">
        <f>AG71*(списки!$C$56-AE71)</f>
        <v>1345.3999999999999</v>
      </c>
      <c r="AI71" s="1030">
        <v>-26.4</v>
      </c>
      <c r="AJ71" s="1030"/>
      <c r="AK71" s="1030">
        <v>31</v>
      </c>
      <c r="AL71" s="1030">
        <f>AK71*(списки!$C$56-AI71)</f>
        <v>1438.3999999999999</v>
      </c>
      <c r="AM71" s="1031">
        <v>-22</v>
      </c>
      <c r="AN71" s="1031"/>
      <c r="AO71" s="1031">
        <v>28</v>
      </c>
      <c r="AP71" s="1031">
        <f>AO71*(списки!$C$56-AM71)</f>
        <v>1176</v>
      </c>
      <c r="AQ71" s="1026">
        <v>-10.9</v>
      </c>
      <c r="AR71" s="1026"/>
      <c r="AS71" s="1026">
        <f t="shared" si="6"/>
        <v>31</v>
      </c>
      <c r="AT71" s="1026">
        <f>AS71*(списки!$C$56-AQ71)</f>
        <v>957.9</v>
      </c>
      <c r="AU71" s="1032">
        <v>1.3</v>
      </c>
      <c r="AV71" s="1032"/>
      <c r="AW71" s="1032">
        <f t="shared" si="7"/>
        <v>30</v>
      </c>
      <c r="AX71" s="1032">
        <f>AW71*(списки!$C$56-AU71)</f>
        <v>561</v>
      </c>
      <c r="AY71" s="1033">
        <v>9.9</v>
      </c>
      <c r="AZ71" s="1033"/>
      <c r="BA71" s="1033">
        <f t="shared" si="8"/>
        <v>10</v>
      </c>
      <c r="BB71" s="1033">
        <f>BA71*(списки!$C$56-AY71)</f>
        <v>101</v>
      </c>
      <c r="BC71" s="1034">
        <v>16.8</v>
      </c>
      <c r="BD71" s="1034"/>
      <c r="BE71" s="1034">
        <f t="shared" si="9"/>
        <v>0</v>
      </c>
      <c r="BF71" s="1035">
        <f>BE71*(списки!$C$56-BC71)</f>
        <v>0</v>
      </c>
      <c r="BG71" s="1424">
        <v>7218.9732142857156</v>
      </c>
      <c r="BH71" s="1424">
        <v>6990.2196428571442</v>
      </c>
    </row>
    <row r="72" spans="2:60" ht="15.75" customHeight="1" x14ac:dyDescent="0.25">
      <c r="B72" s="1038" t="s">
        <v>255</v>
      </c>
      <c r="C72" s="1038" t="s">
        <v>434</v>
      </c>
      <c r="D72" s="1015" t="str">
        <f t="shared" si="0"/>
        <v>Забайкальский крайДарасун</v>
      </c>
      <c r="E72" s="1016">
        <v>247</v>
      </c>
      <c r="F72" s="1017">
        <v>-9.5</v>
      </c>
      <c r="G72" s="1017">
        <v>-34</v>
      </c>
      <c r="H72" s="1019">
        <v>3.6</v>
      </c>
      <c r="I72" s="1020">
        <f>E72*(списки!$C$56-F72)</f>
        <v>7286.5</v>
      </c>
      <c r="J72" s="1021" t="str">
        <f t="shared" si="1"/>
        <v>7000-8000</v>
      </c>
      <c r="K72" s="1022">
        <v>16.899999999999999</v>
      </c>
      <c r="L72" s="1022"/>
      <c r="M72" s="1023">
        <f t="shared" si="2"/>
        <v>0</v>
      </c>
      <c r="N72" s="1024">
        <f>M72*(списки!$C$56-K72)</f>
        <v>0</v>
      </c>
      <c r="O72" s="1025">
        <v>14.2</v>
      </c>
      <c r="P72" s="1025"/>
      <c r="Q72" s="1025">
        <f t="shared" si="3"/>
        <v>0</v>
      </c>
      <c r="R72" s="1025">
        <f>Q72*(списки!$C$56-O72)</f>
        <v>0</v>
      </c>
      <c r="S72" s="1026">
        <v>7</v>
      </c>
      <c r="T72" s="1026"/>
      <c r="U72" s="1026">
        <f t="shared" si="10"/>
        <v>17.5</v>
      </c>
      <c r="V72" s="1026">
        <f>U72*(списки!$C$56-S72)</f>
        <v>227.5</v>
      </c>
      <c r="W72" s="1027">
        <v>-1.4</v>
      </c>
      <c r="X72" s="1027"/>
      <c r="Y72" s="1027">
        <f t="shared" si="4"/>
        <v>31</v>
      </c>
      <c r="Z72" s="1027">
        <f>Y72*(списки!$C$56-W72)</f>
        <v>663.4</v>
      </c>
      <c r="AA72" s="1028">
        <v>-12.6</v>
      </c>
      <c r="AB72" s="1028"/>
      <c r="AC72" s="1028">
        <f t="shared" si="5"/>
        <v>30</v>
      </c>
      <c r="AD72" s="1028">
        <f>AC72*(списки!$C$56-AA72)</f>
        <v>978</v>
      </c>
      <c r="AE72" s="1029">
        <v>-19.899999999999999</v>
      </c>
      <c r="AF72" s="1029"/>
      <c r="AG72" s="1029">
        <v>31</v>
      </c>
      <c r="AH72" s="1029">
        <f>AG72*(списки!$C$56-AE72)</f>
        <v>1236.8999999999999</v>
      </c>
      <c r="AI72" s="1030">
        <v>-22</v>
      </c>
      <c r="AJ72" s="1030"/>
      <c r="AK72" s="1030">
        <v>31</v>
      </c>
      <c r="AL72" s="1030">
        <f>AK72*(списки!$C$56-AI72)</f>
        <v>1302</v>
      </c>
      <c r="AM72" s="1031">
        <v>-19.600000000000001</v>
      </c>
      <c r="AN72" s="1031"/>
      <c r="AO72" s="1031">
        <v>28</v>
      </c>
      <c r="AP72" s="1031">
        <f>AO72*(списки!$C$56-AM72)</f>
        <v>1108.8</v>
      </c>
      <c r="AQ72" s="1026">
        <v>-10.4</v>
      </c>
      <c r="AR72" s="1026"/>
      <c r="AS72" s="1026">
        <f t="shared" si="6"/>
        <v>31</v>
      </c>
      <c r="AT72" s="1026">
        <f>AS72*(списки!$C$56-AQ72)</f>
        <v>942.4</v>
      </c>
      <c r="AU72" s="1032">
        <v>-0.4</v>
      </c>
      <c r="AV72" s="1032"/>
      <c r="AW72" s="1032">
        <f t="shared" si="7"/>
        <v>30</v>
      </c>
      <c r="AX72" s="1032">
        <f>AW72*(списки!$C$56-AU72)</f>
        <v>612</v>
      </c>
      <c r="AY72" s="1033">
        <v>8</v>
      </c>
      <c r="AZ72" s="1033"/>
      <c r="BA72" s="1033">
        <f t="shared" si="8"/>
        <v>17.5</v>
      </c>
      <c r="BB72" s="1033">
        <f>BA72*(списки!$C$56-AY72)</f>
        <v>210</v>
      </c>
      <c r="BC72" s="1034">
        <v>14.4</v>
      </c>
      <c r="BD72" s="1034"/>
      <c r="BE72" s="1034">
        <f t="shared" si="9"/>
        <v>0</v>
      </c>
      <c r="BF72" s="1035">
        <f>BE72*(списки!$C$56-BC72)</f>
        <v>0</v>
      </c>
      <c r="BG72" s="1424" t="e">
        <v>#N/A</v>
      </c>
      <c r="BH72" s="1424" t="e">
        <v>#N/A</v>
      </c>
    </row>
    <row r="73" spans="2:60" ht="15.75" customHeight="1" x14ac:dyDescent="0.25">
      <c r="B73" s="1014" t="s">
        <v>255</v>
      </c>
      <c r="C73" s="1014" t="s">
        <v>435</v>
      </c>
      <c r="D73" s="1015" t="str">
        <f t="shared" ref="D73:D136" si="11">CONCATENATE(B73,C73)</f>
        <v>Забайкальский крайКалакан</v>
      </c>
      <c r="E73" s="1016">
        <v>257</v>
      </c>
      <c r="F73" s="1017">
        <v>-16.3</v>
      </c>
      <c r="G73" s="1017">
        <v>-45</v>
      </c>
      <c r="H73" s="1019">
        <v>2.4</v>
      </c>
      <c r="I73" s="1020">
        <f>E73*(списки!$C$56-F73)</f>
        <v>9329.0999999999985</v>
      </c>
      <c r="J73" s="1021" t="str">
        <f t="shared" ref="J73:J136" si="12">CONCATENATE(ROUNDDOWN(I73/1000,0)*1000,"-",ROUNDUP(I73/1000,0)*1000)</f>
        <v>9000-10000</v>
      </c>
      <c r="K73" s="1022">
        <v>16.600000000000001</v>
      </c>
      <c r="L73" s="1022"/>
      <c r="M73" s="1023">
        <f t="shared" ref="M73:M136" si="13">MAX(0,E73-Q73-U73-Y73-AC73-AG73-AK73-AO73-AS73-AW73-BA73-BE73)</f>
        <v>0</v>
      </c>
      <c r="N73" s="1024">
        <f>M73*(списки!$C$56-K73)</f>
        <v>0</v>
      </c>
      <c r="O73" s="1025">
        <v>13.4</v>
      </c>
      <c r="P73" s="1025"/>
      <c r="Q73" s="1025">
        <f t="shared" ref="Q73:Q136" si="14">IF((E73-273)&gt;0,IF((E73-273)/2&gt;31,31,(E73-273)/2),0)</f>
        <v>0</v>
      </c>
      <c r="R73" s="1025">
        <f>Q73*(списки!$C$56-O73)</f>
        <v>0</v>
      </c>
      <c r="S73" s="1026">
        <v>5.7</v>
      </c>
      <c r="T73" s="1026"/>
      <c r="U73" s="1026">
        <f t="shared" si="10"/>
        <v>22.5</v>
      </c>
      <c r="V73" s="1026">
        <f>U73*(списки!$C$56-S73)</f>
        <v>321.75</v>
      </c>
      <c r="W73" s="1027">
        <v>-5.8</v>
      </c>
      <c r="X73" s="1027"/>
      <c r="Y73" s="1027">
        <f t="shared" ref="Y73:Y136" si="15">IF((E73-151)&gt;0,IF((E73-151)/2&gt;31,31,(E73-151)/2),0)</f>
        <v>31</v>
      </c>
      <c r="Z73" s="1027">
        <f>Y73*(списки!$C$56-W73)</f>
        <v>799.80000000000007</v>
      </c>
      <c r="AA73" s="1028">
        <v>-21.7</v>
      </c>
      <c r="AB73" s="1028"/>
      <c r="AC73" s="1028">
        <f t="shared" ref="AC73:AC136" si="16">IF((E73-90)/2&gt;30,30,(E73-90)/2)</f>
        <v>30</v>
      </c>
      <c r="AD73" s="1028">
        <f>AC73*(списки!$C$56-AA73)</f>
        <v>1251</v>
      </c>
      <c r="AE73" s="1029">
        <v>-32.5</v>
      </c>
      <c r="AF73" s="1029"/>
      <c r="AG73" s="1029">
        <v>31</v>
      </c>
      <c r="AH73" s="1029">
        <f>AG73*(списки!$C$56-AE73)</f>
        <v>1627.5</v>
      </c>
      <c r="AI73" s="1030">
        <v>-34.299999999999997</v>
      </c>
      <c r="AJ73" s="1030"/>
      <c r="AK73" s="1030">
        <v>31</v>
      </c>
      <c r="AL73" s="1030">
        <f>AK73*(списки!$C$56-AI73)</f>
        <v>1683.3</v>
      </c>
      <c r="AM73" s="1031">
        <v>-27.6</v>
      </c>
      <c r="AN73" s="1031"/>
      <c r="AO73" s="1031">
        <v>28</v>
      </c>
      <c r="AP73" s="1031">
        <f>AO73*(списки!$C$56-AM73)</f>
        <v>1332.8</v>
      </c>
      <c r="AQ73" s="1026">
        <v>-16.2</v>
      </c>
      <c r="AR73" s="1026"/>
      <c r="AS73" s="1026">
        <f t="shared" ref="AS73:AS136" si="17">IF((E73-90)/2&gt;31,31,(E73-90)/2)</f>
        <v>31</v>
      </c>
      <c r="AT73" s="1026">
        <f>AS73*(списки!$C$56-AQ73)</f>
        <v>1122.2</v>
      </c>
      <c r="AU73" s="1032">
        <v>-2.7</v>
      </c>
      <c r="AV73" s="1032"/>
      <c r="AW73" s="1032">
        <f t="shared" ref="AW73:AW136" si="18">IF((E73-151)&gt;0,IF((E73-151)/2&gt;30,30,(E73-151)/2),0)</f>
        <v>30</v>
      </c>
      <c r="AX73" s="1032">
        <f>AW73*(списки!$C$56-AU73)</f>
        <v>681</v>
      </c>
      <c r="AY73" s="1033">
        <v>6.6</v>
      </c>
      <c r="AZ73" s="1033"/>
      <c r="BA73" s="1033">
        <f t="shared" ref="BA73:BA136" si="19">IF((E73-212)&gt;0,IF((E73-212)/2&gt;31,31,(E73-212)/2),0)</f>
        <v>22.5</v>
      </c>
      <c r="BB73" s="1033">
        <f>BA73*(списки!$C$56-AY73)</f>
        <v>301.5</v>
      </c>
      <c r="BC73" s="1034">
        <v>13.9</v>
      </c>
      <c r="BD73" s="1034"/>
      <c r="BE73" s="1034">
        <f t="shared" ref="BE73:BE136" si="20">IF((E73-273)&gt;0,IF((E73-273)/2&gt;30,30,(E73-273)/2),0)</f>
        <v>0</v>
      </c>
      <c r="BF73" s="1035">
        <f>BE73*(списки!$C$56-BC73)</f>
        <v>0</v>
      </c>
      <c r="BG73" s="1424" t="e">
        <v>#N/A</v>
      </c>
      <c r="BH73" s="1424" t="e">
        <v>#N/A</v>
      </c>
    </row>
    <row r="74" spans="2:60" ht="15.75" customHeight="1" x14ac:dyDescent="0.25">
      <c r="B74" s="1038" t="s">
        <v>255</v>
      </c>
      <c r="C74" s="1038" t="s">
        <v>436</v>
      </c>
      <c r="D74" s="1015" t="str">
        <f t="shared" si="11"/>
        <v>Забайкальский крайКрасный Чикой</v>
      </c>
      <c r="E74" s="1016">
        <v>240</v>
      </c>
      <c r="F74" s="1017">
        <v>-11.2</v>
      </c>
      <c r="G74" s="1017">
        <v>-37</v>
      </c>
      <c r="H74" s="1019">
        <v>2.4</v>
      </c>
      <c r="I74" s="1020">
        <f>E74*(списки!$C$56-F74)</f>
        <v>7488</v>
      </c>
      <c r="J74" s="1021" t="str">
        <f t="shared" si="12"/>
        <v>7000-8000</v>
      </c>
      <c r="K74" s="1022">
        <v>17.5</v>
      </c>
      <c r="L74" s="1022"/>
      <c r="M74" s="1023">
        <f t="shared" si="13"/>
        <v>0</v>
      </c>
      <c r="N74" s="1024">
        <f>M74*(списки!$C$56-K74)</f>
        <v>0</v>
      </c>
      <c r="O74" s="1025">
        <v>14.8</v>
      </c>
      <c r="P74" s="1025"/>
      <c r="Q74" s="1025">
        <f t="shared" si="14"/>
        <v>0</v>
      </c>
      <c r="R74" s="1025">
        <f>Q74*(списки!$C$56-O74)</f>
        <v>0</v>
      </c>
      <c r="S74" s="1026">
        <v>7.8</v>
      </c>
      <c r="T74" s="1026"/>
      <c r="U74" s="1026">
        <f t="shared" ref="U74:U137" si="21">IF((E74-212)&gt;0,IF((E74-212)/2&gt;30,30,(E74-212)/2),0)</f>
        <v>14</v>
      </c>
      <c r="V74" s="1026">
        <f>U74*(списки!$C$56-S74)</f>
        <v>170.79999999999998</v>
      </c>
      <c r="W74" s="1027">
        <v>-0.9</v>
      </c>
      <c r="X74" s="1027"/>
      <c r="Y74" s="1027">
        <f t="shared" si="15"/>
        <v>31</v>
      </c>
      <c r="Z74" s="1027">
        <f>Y74*(списки!$C$56-W74)</f>
        <v>647.9</v>
      </c>
      <c r="AA74" s="1028">
        <v>-12.6</v>
      </c>
      <c r="AB74" s="1028"/>
      <c r="AC74" s="1028">
        <f t="shared" si="16"/>
        <v>30</v>
      </c>
      <c r="AD74" s="1028">
        <f>AC74*(списки!$C$56-AA74)</f>
        <v>978</v>
      </c>
      <c r="AE74" s="1029">
        <v>-22.1</v>
      </c>
      <c r="AF74" s="1029"/>
      <c r="AG74" s="1029">
        <v>31</v>
      </c>
      <c r="AH74" s="1029">
        <f>AG74*(списки!$C$56-AE74)</f>
        <v>1305.1000000000001</v>
      </c>
      <c r="AI74" s="1030">
        <v>-26</v>
      </c>
      <c r="AJ74" s="1030"/>
      <c r="AK74" s="1030">
        <v>31</v>
      </c>
      <c r="AL74" s="1030">
        <f>AK74*(списки!$C$56-AI74)</f>
        <v>1426</v>
      </c>
      <c r="AM74" s="1031">
        <v>-20.7</v>
      </c>
      <c r="AN74" s="1031"/>
      <c r="AO74" s="1031">
        <v>28</v>
      </c>
      <c r="AP74" s="1031">
        <f>AO74*(списки!$C$56-AM74)</f>
        <v>1139.6000000000001</v>
      </c>
      <c r="AQ74" s="1026">
        <v>-9.6999999999999993</v>
      </c>
      <c r="AR74" s="1026"/>
      <c r="AS74" s="1026">
        <f t="shared" si="17"/>
        <v>31</v>
      </c>
      <c r="AT74" s="1026">
        <f>AS74*(списки!$C$56-AQ74)</f>
        <v>920.69999999999993</v>
      </c>
      <c r="AU74" s="1032">
        <v>1.2</v>
      </c>
      <c r="AV74" s="1032"/>
      <c r="AW74" s="1032">
        <f t="shared" si="18"/>
        <v>30</v>
      </c>
      <c r="AX74" s="1032">
        <f>AW74*(списки!$C$56-AU74)</f>
        <v>564</v>
      </c>
      <c r="AY74" s="1033">
        <v>9.1</v>
      </c>
      <c r="AZ74" s="1033"/>
      <c r="BA74" s="1033">
        <f t="shared" si="19"/>
        <v>14</v>
      </c>
      <c r="BB74" s="1033">
        <f>BA74*(списки!$C$56-AY74)</f>
        <v>152.6</v>
      </c>
      <c r="BC74" s="1034">
        <v>15.2</v>
      </c>
      <c r="BD74" s="1034"/>
      <c r="BE74" s="1034">
        <f t="shared" si="20"/>
        <v>0</v>
      </c>
      <c r="BF74" s="1035">
        <f>BE74*(списки!$C$56-BC74)</f>
        <v>0</v>
      </c>
      <c r="BG74" s="1424">
        <v>7187.7499999999964</v>
      </c>
      <c r="BH74" s="1424">
        <v>6552.5375000000004</v>
      </c>
    </row>
    <row r="75" spans="2:60" ht="15.75" customHeight="1" x14ac:dyDescent="0.25">
      <c r="B75" s="1014" t="s">
        <v>255</v>
      </c>
      <c r="C75" s="1014" t="s">
        <v>437</v>
      </c>
      <c r="D75" s="1015" t="str">
        <f t="shared" si="11"/>
        <v>Забайкальский крайМогоча</v>
      </c>
      <c r="E75" s="1016">
        <v>250</v>
      </c>
      <c r="F75" s="1017">
        <v>-13.8</v>
      </c>
      <c r="G75" s="1017">
        <v>-39</v>
      </c>
      <c r="H75" s="1019">
        <v>3.6</v>
      </c>
      <c r="I75" s="1020">
        <f>E75*(списки!$C$56-F75)</f>
        <v>8450</v>
      </c>
      <c r="J75" s="1021" t="str">
        <f t="shared" si="12"/>
        <v>8000-9000</v>
      </c>
      <c r="K75" s="1022">
        <v>16.899999999999999</v>
      </c>
      <c r="L75" s="1022"/>
      <c r="M75" s="1023">
        <f t="shared" si="13"/>
        <v>0</v>
      </c>
      <c r="N75" s="1024">
        <f>M75*(списки!$C$56-K75)</f>
        <v>0</v>
      </c>
      <c r="O75" s="1025">
        <v>14</v>
      </c>
      <c r="P75" s="1025"/>
      <c r="Q75" s="1025">
        <f t="shared" si="14"/>
        <v>0</v>
      </c>
      <c r="R75" s="1025">
        <f>Q75*(списки!$C$56-O75)</f>
        <v>0</v>
      </c>
      <c r="S75" s="1026">
        <v>6.6</v>
      </c>
      <c r="T75" s="1026"/>
      <c r="U75" s="1026">
        <f t="shared" si="21"/>
        <v>19</v>
      </c>
      <c r="V75" s="1026">
        <f>U75*(списки!$C$56-S75)</f>
        <v>254.6</v>
      </c>
      <c r="W75" s="1027">
        <v>-4</v>
      </c>
      <c r="X75" s="1027"/>
      <c r="Y75" s="1027">
        <f t="shared" si="15"/>
        <v>31</v>
      </c>
      <c r="Z75" s="1027">
        <f>Y75*(списки!$C$56-W75)</f>
        <v>744</v>
      </c>
      <c r="AA75" s="1028">
        <v>-18.7</v>
      </c>
      <c r="AB75" s="1028"/>
      <c r="AC75" s="1028">
        <f t="shared" si="16"/>
        <v>30</v>
      </c>
      <c r="AD75" s="1028">
        <f>AC75*(списки!$C$56-AA75)</f>
        <v>1161</v>
      </c>
      <c r="AE75" s="1029">
        <v>-27.6</v>
      </c>
      <c r="AF75" s="1029"/>
      <c r="AG75" s="1029">
        <v>31</v>
      </c>
      <c r="AH75" s="1029">
        <f>AG75*(списки!$C$56-AE75)</f>
        <v>1475.6000000000001</v>
      </c>
      <c r="AI75" s="1030">
        <v>-28.5</v>
      </c>
      <c r="AJ75" s="1030"/>
      <c r="AK75" s="1030">
        <v>31</v>
      </c>
      <c r="AL75" s="1030">
        <f>AK75*(списки!$C$56-AI75)</f>
        <v>1503.5</v>
      </c>
      <c r="AM75" s="1031">
        <v>-23.5</v>
      </c>
      <c r="AN75" s="1031"/>
      <c r="AO75" s="1031">
        <v>28</v>
      </c>
      <c r="AP75" s="1031">
        <f>AO75*(списки!$C$56-AM75)</f>
        <v>1218</v>
      </c>
      <c r="AQ75" s="1026">
        <v>-13.4</v>
      </c>
      <c r="AR75" s="1026"/>
      <c r="AS75" s="1026">
        <f t="shared" si="17"/>
        <v>31</v>
      </c>
      <c r="AT75" s="1026">
        <f>AS75*(списки!$C$56-AQ75)</f>
        <v>1035.3999999999999</v>
      </c>
      <c r="AU75" s="1032">
        <v>-1.2</v>
      </c>
      <c r="AV75" s="1032"/>
      <c r="AW75" s="1032">
        <f t="shared" si="18"/>
        <v>30</v>
      </c>
      <c r="AX75" s="1032">
        <f>AW75*(списки!$C$56-AU75)</f>
        <v>636</v>
      </c>
      <c r="AY75" s="1033">
        <v>7.5</v>
      </c>
      <c r="AZ75" s="1033"/>
      <c r="BA75" s="1033">
        <f t="shared" si="19"/>
        <v>19</v>
      </c>
      <c r="BB75" s="1033">
        <f>BA75*(списки!$C$56-AY75)</f>
        <v>237.5</v>
      </c>
      <c r="BC75" s="1034">
        <v>14.2</v>
      </c>
      <c r="BD75" s="1034"/>
      <c r="BE75" s="1034">
        <f t="shared" si="20"/>
        <v>0</v>
      </c>
      <c r="BF75" s="1035">
        <f>BE75*(списки!$C$56-BC75)</f>
        <v>0</v>
      </c>
      <c r="BG75" s="1424">
        <v>8247.1750000000029</v>
      </c>
      <c r="BH75" s="1424">
        <v>7692.355357142862</v>
      </c>
    </row>
    <row r="76" spans="2:60" ht="15.75" customHeight="1" x14ac:dyDescent="0.25">
      <c r="B76" s="1038" t="s">
        <v>255</v>
      </c>
      <c r="C76" s="1038" t="s">
        <v>438</v>
      </c>
      <c r="D76" s="1015" t="str">
        <f t="shared" si="11"/>
        <v>Забайкальский крайНерчинск</v>
      </c>
      <c r="E76" s="1016">
        <v>233</v>
      </c>
      <c r="F76" s="1017">
        <v>-14.1</v>
      </c>
      <c r="G76" s="1017">
        <v>-44</v>
      </c>
      <c r="H76" s="1019">
        <v>4.4000000000000004</v>
      </c>
      <c r="I76" s="1020">
        <f>E76*(списки!$C$56-F76)</f>
        <v>7945.3</v>
      </c>
      <c r="J76" s="1021" t="str">
        <f t="shared" si="12"/>
        <v>7000-8000</v>
      </c>
      <c r="K76" s="1022">
        <v>19.7</v>
      </c>
      <c r="L76" s="1022"/>
      <c r="M76" s="1023">
        <f t="shared" si="13"/>
        <v>0</v>
      </c>
      <c r="N76" s="1024">
        <f>M76*(списки!$C$56-K76)</f>
        <v>0</v>
      </c>
      <c r="O76" s="1025">
        <v>16.600000000000001</v>
      </c>
      <c r="P76" s="1025"/>
      <c r="Q76" s="1025">
        <f t="shared" si="14"/>
        <v>0</v>
      </c>
      <c r="R76" s="1025">
        <f>Q76*(списки!$C$56-O76)</f>
        <v>0</v>
      </c>
      <c r="S76" s="1026">
        <v>9</v>
      </c>
      <c r="T76" s="1026"/>
      <c r="U76" s="1026">
        <f t="shared" si="21"/>
        <v>10.5</v>
      </c>
      <c r="V76" s="1026">
        <f>U76*(списки!$C$56-S76)</f>
        <v>115.5</v>
      </c>
      <c r="W76" s="1027">
        <v>-1</v>
      </c>
      <c r="X76" s="1027"/>
      <c r="Y76" s="1027">
        <f t="shared" si="15"/>
        <v>31</v>
      </c>
      <c r="Z76" s="1027">
        <f>Y76*(списки!$C$56-W76)</f>
        <v>651</v>
      </c>
      <c r="AA76" s="1028">
        <v>-16.7</v>
      </c>
      <c r="AB76" s="1028"/>
      <c r="AC76" s="1028">
        <f t="shared" si="16"/>
        <v>30</v>
      </c>
      <c r="AD76" s="1028">
        <f>AC76*(списки!$C$56-AA76)</f>
        <v>1101</v>
      </c>
      <c r="AE76" s="1029">
        <v>-28.2</v>
      </c>
      <c r="AF76" s="1029"/>
      <c r="AG76" s="1029">
        <v>31</v>
      </c>
      <c r="AH76" s="1029">
        <f>AG76*(списки!$C$56-AE76)</f>
        <v>1494.2</v>
      </c>
      <c r="AI76" s="1030">
        <v>-30.8</v>
      </c>
      <c r="AJ76" s="1030"/>
      <c r="AK76" s="1030">
        <v>31</v>
      </c>
      <c r="AL76" s="1030">
        <f>AK76*(списки!$C$56-AI76)</f>
        <v>1574.8</v>
      </c>
      <c r="AM76" s="1031">
        <v>-26.3</v>
      </c>
      <c r="AN76" s="1031"/>
      <c r="AO76" s="1031">
        <v>28</v>
      </c>
      <c r="AP76" s="1031">
        <f>AO76*(списки!$C$56-AM76)</f>
        <v>1296.3999999999999</v>
      </c>
      <c r="AQ76" s="1026">
        <v>-13.6</v>
      </c>
      <c r="AR76" s="1026"/>
      <c r="AS76" s="1026">
        <f t="shared" si="17"/>
        <v>31</v>
      </c>
      <c r="AT76" s="1026">
        <f>AS76*(списки!$C$56-AQ76)</f>
        <v>1041.6000000000001</v>
      </c>
      <c r="AU76" s="1032">
        <v>0.8</v>
      </c>
      <c r="AV76" s="1032"/>
      <c r="AW76" s="1032">
        <f t="shared" si="18"/>
        <v>30</v>
      </c>
      <c r="AX76" s="1032">
        <f>AW76*(списки!$C$56-AU76)</f>
        <v>576</v>
      </c>
      <c r="AY76" s="1033">
        <v>9.8000000000000007</v>
      </c>
      <c r="AZ76" s="1033"/>
      <c r="BA76" s="1033">
        <f t="shared" si="19"/>
        <v>10.5</v>
      </c>
      <c r="BB76" s="1033">
        <f>BA76*(списки!$C$56-AY76)</f>
        <v>107.1</v>
      </c>
      <c r="BC76" s="1034">
        <v>17</v>
      </c>
      <c r="BD76" s="1034"/>
      <c r="BE76" s="1034">
        <f t="shared" si="20"/>
        <v>0</v>
      </c>
      <c r="BF76" s="1035">
        <f>BE76*(списки!$C$56-BC76)</f>
        <v>0</v>
      </c>
      <c r="BG76" s="1424" t="e">
        <v>#N/A</v>
      </c>
      <c r="BH76" s="1424" t="e">
        <v>#N/A</v>
      </c>
    </row>
    <row r="77" spans="2:60" ht="15.75" customHeight="1" x14ac:dyDescent="0.25">
      <c r="B77" s="1014" t="s">
        <v>255</v>
      </c>
      <c r="C77" s="1014" t="s">
        <v>638</v>
      </c>
      <c r="D77" s="1015" t="str">
        <f t="shared" si="11"/>
        <v>Забайкальский крайНерчинский Завод</v>
      </c>
      <c r="E77" s="1016">
        <v>233</v>
      </c>
      <c r="F77" s="1017">
        <v>-12.7</v>
      </c>
      <c r="G77" s="1017">
        <v>-38</v>
      </c>
      <c r="H77" s="1019">
        <v>2.2999999999999998</v>
      </c>
      <c r="I77" s="1020">
        <f>E77*(списки!$C$56-F77)</f>
        <v>7619.1</v>
      </c>
      <c r="J77" s="1021" t="str">
        <f t="shared" si="12"/>
        <v>7000-8000</v>
      </c>
      <c r="K77" s="1022">
        <v>18.399999999999999</v>
      </c>
      <c r="L77" s="1022"/>
      <c r="M77" s="1023">
        <f t="shared" si="13"/>
        <v>0</v>
      </c>
      <c r="N77" s="1024">
        <f>M77*(списки!$C$56-K77)</f>
        <v>0</v>
      </c>
      <c r="O77" s="1025">
        <v>15.8</v>
      </c>
      <c r="P77" s="1025"/>
      <c r="Q77" s="1025">
        <f t="shared" si="14"/>
        <v>0</v>
      </c>
      <c r="R77" s="1025">
        <f>Q77*(списки!$C$56-O77)</f>
        <v>0</v>
      </c>
      <c r="S77" s="1026">
        <v>8.8000000000000007</v>
      </c>
      <c r="T77" s="1026"/>
      <c r="U77" s="1026">
        <f t="shared" si="21"/>
        <v>10.5</v>
      </c>
      <c r="V77" s="1026">
        <f>U77*(списки!$C$56-S77)</f>
        <v>117.6</v>
      </c>
      <c r="W77" s="1027">
        <v>-0.6</v>
      </c>
      <c r="X77" s="1027"/>
      <c r="Y77" s="1027">
        <f t="shared" si="15"/>
        <v>31</v>
      </c>
      <c r="Z77" s="1027">
        <f>Y77*(списки!$C$56-W77)</f>
        <v>638.6</v>
      </c>
      <c r="AA77" s="1028">
        <v>-14.7</v>
      </c>
      <c r="AB77" s="1028"/>
      <c r="AC77" s="1028">
        <f t="shared" si="16"/>
        <v>30</v>
      </c>
      <c r="AD77" s="1028">
        <f>AC77*(списки!$C$56-AA77)</f>
        <v>1041</v>
      </c>
      <c r="AE77" s="1029">
        <v>-24.7</v>
      </c>
      <c r="AF77" s="1029"/>
      <c r="AG77" s="1029">
        <v>31</v>
      </c>
      <c r="AH77" s="1029">
        <f>AG77*(списки!$C$56-AE77)</f>
        <v>1385.7</v>
      </c>
      <c r="AI77" s="1030">
        <v>-26.9</v>
      </c>
      <c r="AJ77" s="1030"/>
      <c r="AK77" s="1030">
        <v>31</v>
      </c>
      <c r="AL77" s="1030">
        <f>AK77*(списки!$C$56-AI77)</f>
        <v>1453.8999999999999</v>
      </c>
      <c r="AM77" s="1031">
        <v>-22</v>
      </c>
      <c r="AN77" s="1031"/>
      <c r="AO77" s="1031">
        <v>28</v>
      </c>
      <c r="AP77" s="1031">
        <f>AO77*(списки!$C$56-AM77)</f>
        <v>1176</v>
      </c>
      <c r="AQ77" s="1026">
        <v>-11</v>
      </c>
      <c r="AR77" s="1026"/>
      <c r="AS77" s="1026">
        <f t="shared" si="17"/>
        <v>31</v>
      </c>
      <c r="AT77" s="1026">
        <f>AS77*(списки!$C$56-AQ77)</f>
        <v>961</v>
      </c>
      <c r="AU77" s="1032">
        <v>1.3</v>
      </c>
      <c r="AV77" s="1032"/>
      <c r="AW77" s="1032">
        <f t="shared" si="18"/>
        <v>30</v>
      </c>
      <c r="AX77" s="1032">
        <f>AW77*(списки!$C$56-AU77)</f>
        <v>561</v>
      </c>
      <c r="AY77" s="1033">
        <v>9.8000000000000007</v>
      </c>
      <c r="AZ77" s="1033"/>
      <c r="BA77" s="1033">
        <f t="shared" si="19"/>
        <v>10.5</v>
      </c>
      <c r="BB77" s="1033">
        <f>BA77*(списки!$C$56-AY77)</f>
        <v>107.1</v>
      </c>
      <c r="BC77" s="1034">
        <v>16</v>
      </c>
      <c r="BD77" s="1034"/>
      <c r="BE77" s="1034">
        <f t="shared" si="20"/>
        <v>0</v>
      </c>
      <c r="BF77" s="1035">
        <f>BE77*(списки!$C$56-BC77)</f>
        <v>0</v>
      </c>
      <c r="BG77" s="1424">
        <v>7313.4999999999955</v>
      </c>
      <c r="BH77" s="1424">
        <v>6956.6625000000004</v>
      </c>
    </row>
    <row r="78" spans="2:60" ht="15.75" customHeight="1" x14ac:dyDescent="0.25">
      <c r="B78" s="1038" t="s">
        <v>255</v>
      </c>
      <c r="C78" s="1038" t="s">
        <v>439</v>
      </c>
      <c r="D78" s="1015" t="str">
        <f t="shared" si="11"/>
        <v>Забайкальский крайСредний Калар</v>
      </c>
      <c r="E78" s="1016">
        <v>271</v>
      </c>
      <c r="F78" s="1017">
        <v>-16.399999999999999</v>
      </c>
      <c r="G78" s="1017">
        <v>-46</v>
      </c>
      <c r="H78" s="1019">
        <v>3.6</v>
      </c>
      <c r="I78" s="1020">
        <f>E78*(списки!$C$56-F78)</f>
        <v>9864.4</v>
      </c>
      <c r="J78" s="1021" t="str">
        <f t="shared" si="12"/>
        <v>9000-10000</v>
      </c>
      <c r="K78" s="1022">
        <v>15.1</v>
      </c>
      <c r="L78" s="1022"/>
      <c r="M78" s="1023">
        <f t="shared" si="13"/>
        <v>0</v>
      </c>
      <c r="N78" s="1024">
        <f>M78*(списки!$C$56-K78)</f>
        <v>0</v>
      </c>
      <c r="O78" s="1025">
        <v>12.1</v>
      </c>
      <c r="P78" s="1025"/>
      <c r="Q78" s="1025">
        <f t="shared" si="14"/>
        <v>0</v>
      </c>
      <c r="R78" s="1025">
        <f>Q78*(списки!$C$56-O78)</f>
        <v>0</v>
      </c>
      <c r="S78" s="1026">
        <v>4.5</v>
      </c>
      <c r="T78" s="1026"/>
      <c r="U78" s="1026">
        <f t="shared" si="21"/>
        <v>29.5</v>
      </c>
      <c r="V78" s="1026">
        <f>U78*(списки!$C$56-S78)</f>
        <v>457.25</v>
      </c>
      <c r="W78" s="1027">
        <v>-7.5</v>
      </c>
      <c r="X78" s="1027"/>
      <c r="Y78" s="1027">
        <f t="shared" si="15"/>
        <v>31</v>
      </c>
      <c r="Z78" s="1027">
        <f>Y78*(списки!$C$56-W78)</f>
        <v>852.5</v>
      </c>
      <c r="AA78" s="1028">
        <v>-23.7</v>
      </c>
      <c r="AB78" s="1028"/>
      <c r="AC78" s="1028">
        <f t="shared" si="16"/>
        <v>30</v>
      </c>
      <c r="AD78" s="1028">
        <f>AC78*(списки!$C$56-AA78)</f>
        <v>1311</v>
      </c>
      <c r="AE78" s="1029">
        <v>-34.4</v>
      </c>
      <c r="AF78" s="1029"/>
      <c r="AG78" s="1029">
        <v>31</v>
      </c>
      <c r="AH78" s="1029">
        <f>AG78*(списки!$C$56-AE78)</f>
        <v>1686.3999999999999</v>
      </c>
      <c r="AI78" s="1030">
        <v>-36.299999999999997</v>
      </c>
      <c r="AJ78" s="1030"/>
      <c r="AK78" s="1030">
        <v>31</v>
      </c>
      <c r="AL78" s="1030">
        <f>AK78*(списки!$C$56-AI78)</f>
        <v>1745.3</v>
      </c>
      <c r="AM78" s="1031">
        <v>-30.7</v>
      </c>
      <c r="AN78" s="1031"/>
      <c r="AO78" s="1031">
        <v>28</v>
      </c>
      <c r="AP78" s="1031">
        <f>AO78*(списки!$C$56-AM78)</f>
        <v>1419.6000000000001</v>
      </c>
      <c r="AQ78" s="1026">
        <v>-19.100000000000001</v>
      </c>
      <c r="AR78" s="1026"/>
      <c r="AS78" s="1026">
        <f t="shared" si="17"/>
        <v>31</v>
      </c>
      <c r="AT78" s="1026">
        <f>AS78*(списки!$C$56-AQ78)</f>
        <v>1212.1000000000001</v>
      </c>
      <c r="AU78" s="1032">
        <v>-5.7</v>
      </c>
      <c r="AV78" s="1032"/>
      <c r="AW78" s="1032">
        <f t="shared" si="18"/>
        <v>30</v>
      </c>
      <c r="AX78" s="1032">
        <f>AW78*(списки!$C$56-AU78)</f>
        <v>771</v>
      </c>
      <c r="AY78" s="1033">
        <v>4.5</v>
      </c>
      <c r="AZ78" s="1033"/>
      <c r="BA78" s="1033">
        <f t="shared" si="19"/>
        <v>29.5</v>
      </c>
      <c r="BB78" s="1033">
        <f>BA78*(списки!$C$56-AY78)</f>
        <v>457.25</v>
      </c>
      <c r="BC78" s="1034">
        <v>12.1</v>
      </c>
      <c r="BD78" s="1034"/>
      <c r="BE78" s="1034">
        <f t="shared" si="20"/>
        <v>0</v>
      </c>
      <c r="BF78" s="1035">
        <f>BE78*(списки!$C$56-BC78)</f>
        <v>0</v>
      </c>
      <c r="BG78" s="1424" t="e">
        <v>#N/A</v>
      </c>
      <c r="BH78" s="1424" t="e">
        <v>#N/A</v>
      </c>
    </row>
    <row r="79" spans="2:60" ht="15.75" customHeight="1" x14ac:dyDescent="0.25">
      <c r="B79" s="1014" t="s">
        <v>255</v>
      </c>
      <c r="C79" s="1014" t="s">
        <v>440</v>
      </c>
      <c r="D79" s="1015" t="str">
        <f t="shared" si="11"/>
        <v>Забайкальский крайТунгокочен</v>
      </c>
      <c r="E79" s="1016">
        <v>262</v>
      </c>
      <c r="F79" s="1017">
        <v>-13.8</v>
      </c>
      <c r="G79" s="1017">
        <v>-45</v>
      </c>
      <c r="H79" s="1019">
        <f>3.6</f>
        <v>3.6</v>
      </c>
      <c r="I79" s="1020">
        <f>E79*(списки!$C$56-F79)</f>
        <v>8855.5999999999985</v>
      </c>
      <c r="J79" s="1021" t="str">
        <f t="shared" si="12"/>
        <v>8000-9000</v>
      </c>
      <c r="K79" s="1022">
        <v>15.8</v>
      </c>
      <c r="L79" s="1022"/>
      <c r="M79" s="1023">
        <f t="shared" si="13"/>
        <v>0</v>
      </c>
      <c r="N79" s="1024">
        <f>M79*(списки!$C$56-K79)</f>
        <v>0</v>
      </c>
      <c r="O79" s="1025">
        <v>12.8</v>
      </c>
      <c r="P79" s="1025"/>
      <c r="Q79" s="1025">
        <f t="shared" si="14"/>
        <v>0</v>
      </c>
      <c r="R79" s="1025">
        <f>Q79*(списки!$C$56-O79)</f>
        <v>0</v>
      </c>
      <c r="S79" s="1026">
        <v>5.5</v>
      </c>
      <c r="T79" s="1026"/>
      <c r="U79" s="1026">
        <f t="shared" si="21"/>
        <v>25</v>
      </c>
      <c r="V79" s="1026">
        <f>U79*(списки!$C$56-S79)</f>
        <v>362.5</v>
      </c>
      <c r="W79" s="1027">
        <v>-4.5</v>
      </c>
      <c r="X79" s="1027"/>
      <c r="Y79" s="1027">
        <f t="shared" si="15"/>
        <v>31</v>
      </c>
      <c r="Z79" s="1027">
        <f>Y79*(списки!$C$56-W79)</f>
        <v>759.5</v>
      </c>
      <c r="AA79" s="1028">
        <v>-19.2</v>
      </c>
      <c r="AB79" s="1028"/>
      <c r="AC79" s="1028">
        <f t="shared" si="16"/>
        <v>30</v>
      </c>
      <c r="AD79" s="1028">
        <f>AC79*(списки!$C$56-AA79)</f>
        <v>1176</v>
      </c>
      <c r="AE79" s="1029">
        <v>-29.3</v>
      </c>
      <c r="AF79" s="1029"/>
      <c r="AG79" s="1029">
        <v>31</v>
      </c>
      <c r="AH79" s="1029">
        <f>AG79*(списки!$C$56-AE79)</f>
        <v>1528.3</v>
      </c>
      <c r="AI79" s="1030">
        <v>-31</v>
      </c>
      <c r="AJ79" s="1030"/>
      <c r="AK79" s="1030">
        <v>31</v>
      </c>
      <c r="AL79" s="1030">
        <f>AK79*(списки!$C$56-AI79)</f>
        <v>1581</v>
      </c>
      <c r="AM79" s="1031">
        <v>-26.5</v>
      </c>
      <c r="AN79" s="1031"/>
      <c r="AO79" s="1031">
        <v>28</v>
      </c>
      <c r="AP79" s="1031">
        <f>AO79*(списки!$C$56-AM79)</f>
        <v>1302</v>
      </c>
      <c r="AQ79" s="1026">
        <v>-16</v>
      </c>
      <c r="AR79" s="1026"/>
      <c r="AS79" s="1026">
        <f t="shared" si="17"/>
        <v>31</v>
      </c>
      <c r="AT79" s="1026">
        <f>AS79*(списки!$C$56-AQ79)</f>
        <v>1116</v>
      </c>
      <c r="AU79" s="1032">
        <v>-3</v>
      </c>
      <c r="AV79" s="1032"/>
      <c r="AW79" s="1032">
        <f t="shared" si="18"/>
        <v>30</v>
      </c>
      <c r="AX79" s="1032">
        <f>AW79*(списки!$C$56-AU79)</f>
        <v>690</v>
      </c>
      <c r="AY79" s="1033">
        <v>6</v>
      </c>
      <c r="AZ79" s="1033"/>
      <c r="BA79" s="1033">
        <f t="shared" si="19"/>
        <v>25</v>
      </c>
      <c r="BB79" s="1033">
        <f>BA79*(списки!$C$56-AY79)</f>
        <v>350</v>
      </c>
      <c r="BC79" s="1034">
        <v>13.1</v>
      </c>
      <c r="BD79" s="1034"/>
      <c r="BE79" s="1034">
        <f t="shared" si="20"/>
        <v>0</v>
      </c>
      <c r="BF79" s="1035">
        <f>BE79*(списки!$C$56-BC79)</f>
        <v>0</v>
      </c>
      <c r="BG79" s="1424">
        <v>8452.9</v>
      </c>
      <c r="BH79" s="1424">
        <v>8384.3535714285681</v>
      </c>
    </row>
    <row r="80" spans="2:60" ht="15.75" customHeight="1" x14ac:dyDescent="0.25">
      <c r="B80" s="1038" t="s">
        <v>255</v>
      </c>
      <c r="C80" s="1038" t="s">
        <v>441</v>
      </c>
      <c r="D80" s="1015" t="str">
        <f t="shared" si="11"/>
        <v>Забайкальский крайТупик</v>
      </c>
      <c r="E80" s="1016">
        <v>260</v>
      </c>
      <c r="F80" s="1017">
        <v>-14.8</v>
      </c>
      <c r="G80" s="1017">
        <v>-44</v>
      </c>
      <c r="H80" s="1019">
        <v>3.6</v>
      </c>
      <c r="I80" s="1020">
        <f>E80*(списки!$C$56-F80)</f>
        <v>9048</v>
      </c>
      <c r="J80" s="1021" t="str">
        <f t="shared" si="12"/>
        <v>9000-10000</v>
      </c>
      <c r="K80" s="1022">
        <v>16.3</v>
      </c>
      <c r="L80" s="1022"/>
      <c r="M80" s="1023">
        <f t="shared" si="13"/>
        <v>0</v>
      </c>
      <c r="N80" s="1024">
        <f>M80*(списки!$C$56-K80)</f>
        <v>0</v>
      </c>
      <c r="O80" s="1025">
        <v>13.1</v>
      </c>
      <c r="P80" s="1025"/>
      <c r="Q80" s="1025">
        <f t="shared" si="14"/>
        <v>0</v>
      </c>
      <c r="R80" s="1025">
        <f>Q80*(списки!$C$56-O80)</f>
        <v>0</v>
      </c>
      <c r="S80" s="1026">
        <v>5.9</v>
      </c>
      <c r="T80" s="1026"/>
      <c r="U80" s="1026">
        <f t="shared" si="21"/>
        <v>24</v>
      </c>
      <c r="V80" s="1026">
        <f>U80*(списки!$C$56-S80)</f>
        <v>338.4</v>
      </c>
      <c r="W80" s="1027">
        <v>-5.0999999999999996</v>
      </c>
      <c r="X80" s="1027"/>
      <c r="Y80" s="1027">
        <f t="shared" si="15"/>
        <v>31</v>
      </c>
      <c r="Z80" s="1027">
        <f>Y80*(списки!$C$56-W80)</f>
        <v>778.1</v>
      </c>
      <c r="AA80" s="1028">
        <v>-20.5</v>
      </c>
      <c r="AB80" s="1028"/>
      <c r="AC80" s="1028">
        <f t="shared" si="16"/>
        <v>30</v>
      </c>
      <c r="AD80" s="1028">
        <f>AC80*(списки!$C$56-AA80)</f>
        <v>1215</v>
      </c>
      <c r="AE80" s="1029">
        <v>-30.8</v>
      </c>
      <c r="AF80" s="1029"/>
      <c r="AG80" s="1029">
        <v>31</v>
      </c>
      <c r="AH80" s="1029">
        <f>AG80*(списки!$C$56-AE80)</f>
        <v>1574.8</v>
      </c>
      <c r="AI80" s="1030">
        <v>-32.700000000000003</v>
      </c>
      <c r="AJ80" s="1030"/>
      <c r="AK80" s="1030">
        <v>31</v>
      </c>
      <c r="AL80" s="1030">
        <f>AK80*(списки!$C$56-AI80)</f>
        <v>1633.7</v>
      </c>
      <c r="AM80" s="1031">
        <v>-27.8</v>
      </c>
      <c r="AN80" s="1031"/>
      <c r="AO80" s="1031">
        <v>28</v>
      </c>
      <c r="AP80" s="1031">
        <f>AO80*(списки!$C$56-AM80)</f>
        <v>1338.3999999999999</v>
      </c>
      <c r="AQ80" s="1026">
        <v>-16.8</v>
      </c>
      <c r="AR80" s="1026"/>
      <c r="AS80" s="1026">
        <f t="shared" si="17"/>
        <v>31</v>
      </c>
      <c r="AT80" s="1026">
        <f>AS80*(списки!$C$56-AQ80)</f>
        <v>1140.8</v>
      </c>
      <c r="AU80" s="1032">
        <v>-3.6</v>
      </c>
      <c r="AV80" s="1032"/>
      <c r="AW80" s="1032">
        <f t="shared" si="18"/>
        <v>30</v>
      </c>
      <c r="AX80" s="1032">
        <f>AW80*(списки!$C$56-AU80)</f>
        <v>708</v>
      </c>
      <c r="AY80" s="1033">
        <v>6</v>
      </c>
      <c r="AZ80" s="1033"/>
      <c r="BA80" s="1033">
        <f t="shared" si="19"/>
        <v>24</v>
      </c>
      <c r="BB80" s="1033">
        <f>BA80*(списки!$C$56-AY80)</f>
        <v>336</v>
      </c>
      <c r="BC80" s="1034">
        <v>13.4</v>
      </c>
      <c r="BD80" s="1034"/>
      <c r="BE80" s="1034">
        <f t="shared" si="20"/>
        <v>0</v>
      </c>
      <c r="BF80" s="1035">
        <f>BE80*(списки!$C$56-BC80)</f>
        <v>0</v>
      </c>
      <c r="BG80" s="1424" t="e">
        <v>#N/A</v>
      </c>
      <c r="BH80" s="1424" t="e">
        <v>#N/A</v>
      </c>
    </row>
    <row r="81" spans="2:60" ht="15.75" customHeight="1" x14ac:dyDescent="0.25">
      <c r="B81" s="1014" t="s">
        <v>255</v>
      </c>
      <c r="C81" s="1014" t="s">
        <v>432</v>
      </c>
      <c r="D81" s="1015" t="str">
        <f t="shared" si="11"/>
        <v>Забайкальский крайЧара</v>
      </c>
      <c r="E81" s="1016">
        <v>263</v>
      </c>
      <c r="F81" s="1017">
        <v>-15.8</v>
      </c>
      <c r="G81" s="1017">
        <v>-45</v>
      </c>
      <c r="H81" s="1019">
        <v>1.6</v>
      </c>
      <c r="I81" s="1020">
        <f>E81*(списки!$C$56-F81)</f>
        <v>9415.4</v>
      </c>
      <c r="J81" s="1021" t="str">
        <f t="shared" si="12"/>
        <v>9000-10000</v>
      </c>
      <c r="K81" s="1022">
        <v>16.3</v>
      </c>
      <c r="L81" s="1022"/>
      <c r="M81" s="1023">
        <f t="shared" si="13"/>
        <v>0</v>
      </c>
      <c r="N81" s="1024">
        <f>M81*(списки!$C$56-K81)</f>
        <v>0</v>
      </c>
      <c r="O81" s="1025">
        <v>13.2</v>
      </c>
      <c r="P81" s="1025"/>
      <c r="Q81" s="1025">
        <f t="shared" si="14"/>
        <v>0</v>
      </c>
      <c r="R81" s="1025">
        <f>Q81*(списки!$C$56-O81)</f>
        <v>0</v>
      </c>
      <c r="S81" s="1026">
        <v>5.2</v>
      </c>
      <c r="T81" s="1026"/>
      <c r="U81" s="1026">
        <f t="shared" si="21"/>
        <v>25.5</v>
      </c>
      <c r="V81" s="1026">
        <f>U81*(списки!$C$56-S81)</f>
        <v>377.40000000000003</v>
      </c>
      <c r="W81" s="1027">
        <v>-6.1</v>
      </c>
      <c r="X81" s="1027"/>
      <c r="Y81" s="1027">
        <f t="shared" si="15"/>
        <v>31</v>
      </c>
      <c r="Z81" s="1027">
        <f>Y81*(списки!$C$56-W81)</f>
        <v>809.1</v>
      </c>
      <c r="AA81" s="1028">
        <v>-20.9</v>
      </c>
      <c r="AB81" s="1028"/>
      <c r="AC81" s="1028">
        <f t="shared" si="16"/>
        <v>30</v>
      </c>
      <c r="AD81" s="1028">
        <f>AC81*(списки!$C$56-AA81)</f>
        <v>1227</v>
      </c>
      <c r="AE81" s="1029">
        <v>-30.7</v>
      </c>
      <c r="AF81" s="1029"/>
      <c r="AG81" s="1029">
        <v>31</v>
      </c>
      <c r="AH81" s="1029">
        <f>AG81*(списки!$C$56-AE81)</f>
        <v>1571.7</v>
      </c>
      <c r="AI81" s="1030">
        <v>-32.799999999999997</v>
      </c>
      <c r="AJ81" s="1030"/>
      <c r="AK81" s="1030">
        <v>31</v>
      </c>
      <c r="AL81" s="1030">
        <f>AK81*(списки!$C$56-AI81)</f>
        <v>1636.8</v>
      </c>
      <c r="AM81" s="1031">
        <v>-28.3</v>
      </c>
      <c r="AN81" s="1031"/>
      <c r="AO81" s="1031">
        <v>28</v>
      </c>
      <c r="AP81" s="1031">
        <f>AO81*(списки!$C$56-AM81)</f>
        <v>1352.3999999999999</v>
      </c>
      <c r="AQ81" s="1026">
        <v>-17.3</v>
      </c>
      <c r="AR81" s="1026"/>
      <c r="AS81" s="1026">
        <f t="shared" si="17"/>
        <v>31</v>
      </c>
      <c r="AT81" s="1026">
        <f>AS81*(списки!$C$56-AQ81)</f>
        <v>1156.3</v>
      </c>
      <c r="AU81" s="1032">
        <v>-4.0999999999999996</v>
      </c>
      <c r="AV81" s="1032"/>
      <c r="AW81" s="1032">
        <f t="shared" si="18"/>
        <v>30</v>
      </c>
      <c r="AX81" s="1032">
        <f>AW81*(списки!$C$56-AU81)</f>
        <v>723</v>
      </c>
      <c r="AY81" s="1033">
        <v>5.2</v>
      </c>
      <c r="AZ81" s="1033"/>
      <c r="BA81" s="1033">
        <f t="shared" si="19"/>
        <v>25.5</v>
      </c>
      <c r="BB81" s="1033">
        <f>BA81*(списки!$C$56-AY81)</f>
        <v>377.40000000000003</v>
      </c>
      <c r="BC81" s="1034">
        <v>13.3</v>
      </c>
      <c r="BD81" s="1034"/>
      <c r="BE81" s="1034">
        <f t="shared" si="20"/>
        <v>0</v>
      </c>
      <c r="BF81" s="1035">
        <f>BE81*(списки!$C$56-BC81)</f>
        <v>0</v>
      </c>
      <c r="BG81" s="1424">
        <v>8913.4767857142888</v>
      </c>
      <c r="BH81" s="1424">
        <v>9043.0000000000055</v>
      </c>
    </row>
    <row r="82" spans="2:60" ht="15.75" customHeight="1" x14ac:dyDescent="0.25">
      <c r="B82" s="1038" t="s">
        <v>255</v>
      </c>
      <c r="C82" s="1038" t="s">
        <v>433</v>
      </c>
      <c r="D82" s="1015" t="str">
        <f t="shared" si="11"/>
        <v>Забайкальский крайЧита</v>
      </c>
      <c r="E82" s="1016">
        <v>238</v>
      </c>
      <c r="F82" s="1017">
        <v>-11.3</v>
      </c>
      <c r="G82" s="1017">
        <v>-38</v>
      </c>
      <c r="H82" s="1019">
        <v>1.6</v>
      </c>
      <c r="I82" s="1020">
        <f>E82*(списки!$C$56-F82)</f>
        <v>7449.4000000000005</v>
      </c>
      <c r="J82" s="1021" t="str">
        <f t="shared" si="12"/>
        <v>7000-8000</v>
      </c>
      <c r="K82" s="1022">
        <v>18.5</v>
      </c>
      <c r="L82" s="1022"/>
      <c r="M82" s="1023">
        <f t="shared" si="13"/>
        <v>0</v>
      </c>
      <c r="N82" s="1024">
        <f>M82*(списки!$C$56-K82)</f>
        <v>0</v>
      </c>
      <c r="O82" s="1025">
        <v>15.7</v>
      </c>
      <c r="P82" s="1025"/>
      <c r="Q82" s="1025">
        <f t="shared" si="14"/>
        <v>0</v>
      </c>
      <c r="R82" s="1025">
        <f>Q82*(списки!$C$56-O82)</f>
        <v>0</v>
      </c>
      <c r="S82" s="1026">
        <v>8.4</v>
      </c>
      <c r="T82" s="1026"/>
      <c r="U82" s="1026">
        <f t="shared" si="21"/>
        <v>13</v>
      </c>
      <c r="V82" s="1026">
        <f>U82*(списки!$C$56-S82)</f>
        <v>150.79999999999998</v>
      </c>
      <c r="W82" s="1027">
        <v>-0.8</v>
      </c>
      <c r="X82" s="1027"/>
      <c r="Y82" s="1027">
        <f t="shared" si="15"/>
        <v>31</v>
      </c>
      <c r="Z82" s="1027">
        <f>Y82*(списки!$C$56-W82)</f>
        <v>644.80000000000007</v>
      </c>
      <c r="AA82" s="1028">
        <v>-13.1</v>
      </c>
      <c r="AB82" s="1028"/>
      <c r="AC82" s="1028">
        <f t="shared" si="16"/>
        <v>30</v>
      </c>
      <c r="AD82" s="1028">
        <f>AC82*(списки!$C$56-AA82)</f>
        <v>993</v>
      </c>
      <c r="AE82" s="1029">
        <v>-22.6</v>
      </c>
      <c r="AF82" s="1029"/>
      <c r="AG82" s="1029">
        <v>31</v>
      </c>
      <c r="AH82" s="1029">
        <f>AG82*(списки!$C$56-AE82)</f>
        <v>1320.6000000000001</v>
      </c>
      <c r="AI82" s="1030">
        <v>-25.6</v>
      </c>
      <c r="AJ82" s="1030"/>
      <c r="AK82" s="1030">
        <v>31</v>
      </c>
      <c r="AL82" s="1030">
        <f>AK82*(списки!$C$56-AI82)</f>
        <v>1413.6000000000001</v>
      </c>
      <c r="AM82" s="1031">
        <v>-20.2</v>
      </c>
      <c r="AN82" s="1031"/>
      <c r="AO82" s="1031">
        <v>28</v>
      </c>
      <c r="AP82" s="1031">
        <f>AO82*(списки!$C$56-AM82)</f>
        <v>1125.6000000000001</v>
      </c>
      <c r="AQ82" s="1026">
        <v>-9.6</v>
      </c>
      <c r="AR82" s="1026"/>
      <c r="AS82" s="1026">
        <f t="shared" si="17"/>
        <v>31</v>
      </c>
      <c r="AT82" s="1026">
        <f>AS82*(списки!$C$56-AQ82)</f>
        <v>917.6</v>
      </c>
      <c r="AU82" s="1032">
        <v>1</v>
      </c>
      <c r="AV82" s="1032"/>
      <c r="AW82" s="1032">
        <f t="shared" si="18"/>
        <v>30</v>
      </c>
      <c r="AX82" s="1032">
        <f>AW82*(списки!$C$56-AU82)</f>
        <v>570</v>
      </c>
      <c r="AY82" s="1033">
        <v>9.1999999999999993</v>
      </c>
      <c r="AZ82" s="1033"/>
      <c r="BA82" s="1033">
        <f t="shared" si="19"/>
        <v>13</v>
      </c>
      <c r="BB82" s="1033">
        <f>BA82*(списки!$C$56-AY82)</f>
        <v>140.4</v>
      </c>
      <c r="BC82" s="1034">
        <v>16.2</v>
      </c>
      <c r="BD82" s="1034"/>
      <c r="BE82" s="1034">
        <f t="shared" si="20"/>
        <v>0</v>
      </c>
      <c r="BF82" s="1035">
        <f>BE82*(списки!$C$56-BC82)</f>
        <v>0</v>
      </c>
      <c r="BG82" s="1424">
        <v>7001.7214285714308</v>
      </c>
      <c r="BH82" s="1424">
        <v>6545.675000000002</v>
      </c>
    </row>
    <row r="83" spans="2:60" ht="15.75" customHeight="1" x14ac:dyDescent="0.25">
      <c r="B83" s="1014" t="s">
        <v>91</v>
      </c>
      <c r="C83" s="1014" t="s">
        <v>92</v>
      </c>
      <c r="D83" s="1015" t="str">
        <f t="shared" si="11"/>
        <v>Ивановская областьИваново</v>
      </c>
      <c r="E83" s="1016">
        <v>219</v>
      </c>
      <c r="F83" s="1017">
        <v>-3.9</v>
      </c>
      <c r="G83" s="1017">
        <v>-30</v>
      </c>
      <c r="H83" s="1019">
        <v>4.9000000000000004</v>
      </c>
      <c r="I83" s="1020">
        <f>E83*(списки!$C$56-F83)</f>
        <v>5234.0999999999995</v>
      </c>
      <c r="J83" s="1021" t="str">
        <f t="shared" si="12"/>
        <v>5000-6000</v>
      </c>
      <c r="K83" s="1022">
        <v>17.600000000000001</v>
      </c>
      <c r="L83" s="1022"/>
      <c r="M83" s="1023">
        <f t="shared" si="13"/>
        <v>0</v>
      </c>
      <c r="N83" s="1024">
        <f>M83*(списки!$C$56-K83)</f>
        <v>0</v>
      </c>
      <c r="O83" s="1025">
        <v>15.8</v>
      </c>
      <c r="P83" s="1025"/>
      <c r="Q83" s="1025">
        <f t="shared" si="14"/>
        <v>0</v>
      </c>
      <c r="R83" s="1025">
        <f>Q83*(списки!$C$56-O83)</f>
        <v>0</v>
      </c>
      <c r="S83" s="1026">
        <v>10.1</v>
      </c>
      <c r="T83" s="1026"/>
      <c r="U83" s="1026">
        <f t="shared" si="21"/>
        <v>3.5</v>
      </c>
      <c r="V83" s="1026">
        <f>U83*(списки!$C$56-S83)</f>
        <v>34.65</v>
      </c>
      <c r="W83" s="1027">
        <v>3.5</v>
      </c>
      <c r="X83" s="1027"/>
      <c r="Y83" s="1027">
        <f t="shared" si="15"/>
        <v>31</v>
      </c>
      <c r="Z83" s="1027">
        <f>Y83*(списки!$C$56-W83)</f>
        <v>511.5</v>
      </c>
      <c r="AA83" s="1028">
        <v>-3.1</v>
      </c>
      <c r="AB83" s="1028"/>
      <c r="AC83" s="1028">
        <f t="shared" si="16"/>
        <v>30</v>
      </c>
      <c r="AD83" s="1028">
        <f>AC83*(списки!$C$56-AA83)</f>
        <v>693</v>
      </c>
      <c r="AE83" s="1029">
        <v>-8.1</v>
      </c>
      <c r="AF83" s="1029"/>
      <c r="AG83" s="1029">
        <v>31</v>
      </c>
      <c r="AH83" s="1029">
        <f>AG83*(списки!$C$56-AE83)</f>
        <v>871.1</v>
      </c>
      <c r="AI83" s="1030">
        <v>-11.9</v>
      </c>
      <c r="AJ83" s="1030"/>
      <c r="AK83" s="1030">
        <v>31</v>
      </c>
      <c r="AL83" s="1030">
        <f>AK83*(списки!$C$56-AI83)</f>
        <v>988.9</v>
      </c>
      <c r="AM83" s="1031">
        <v>-10.9</v>
      </c>
      <c r="AN83" s="1031"/>
      <c r="AO83" s="1031">
        <v>28</v>
      </c>
      <c r="AP83" s="1031">
        <f>AO83*(списки!$C$56-AM83)</f>
        <v>865.19999999999993</v>
      </c>
      <c r="AQ83" s="1026">
        <v>-5.0999999999999996</v>
      </c>
      <c r="AR83" s="1026"/>
      <c r="AS83" s="1026">
        <f t="shared" si="17"/>
        <v>31</v>
      </c>
      <c r="AT83" s="1026">
        <f>AS83*(списки!$C$56-AQ83)</f>
        <v>778.1</v>
      </c>
      <c r="AU83" s="1032">
        <v>4.0999999999999996</v>
      </c>
      <c r="AV83" s="1032"/>
      <c r="AW83" s="1032">
        <f t="shared" si="18"/>
        <v>30</v>
      </c>
      <c r="AX83" s="1032">
        <f>AW83*(списки!$C$56-AU83)</f>
        <v>477</v>
      </c>
      <c r="AY83" s="1033">
        <v>11.4</v>
      </c>
      <c r="AZ83" s="1033"/>
      <c r="BA83" s="1033">
        <f t="shared" si="19"/>
        <v>3.5</v>
      </c>
      <c r="BB83" s="1033">
        <f>BA83*(списки!$C$56-AY83)</f>
        <v>30.099999999999998</v>
      </c>
      <c r="BC83" s="1034">
        <v>15.8</v>
      </c>
      <c r="BD83" s="1034"/>
      <c r="BE83" s="1034">
        <f t="shared" si="20"/>
        <v>0</v>
      </c>
      <c r="BF83" s="1035">
        <f>BE83*(списки!$C$56-BC83)</f>
        <v>0</v>
      </c>
      <c r="BG83" s="1424">
        <v>4643.5428571428583</v>
      </c>
      <c r="BH83" s="1424">
        <v>4825.3041666666659</v>
      </c>
    </row>
    <row r="84" spans="2:60" ht="15.75" customHeight="1" x14ac:dyDescent="0.25">
      <c r="B84" s="1038" t="s">
        <v>91</v>
      </c>
      <c r="C84" s="1038" t="s">
        <v>93</v>
      </c>
      <c r="D84" s="1015" t="str">
        <f t="shared" si="11"/>
        <v>Ивановская областьКинешма</v>
      </c>
      <c r="E84" s="1016">
        <v>221</v>
      </c>
      <c r="F84" s="1017">
        <v>-4.0999999999999996</v>
      </c>
      <c r="G84" s="1017">
        <v>-31</v>
      </c>
      <c r="H84" s="1019">
        <v>3.8</v>
      </c>
      <c r="I84" s="1020">
        <f>E84*(списки!$C$56-F84)</f>
        <v>5326.1</v>
      </c>
      <c r="J84" s="1021" t="str">
        <f t="shared" si="12"/>
        <v>5000-6000</v>
      </c>
      <c r="K84" s="1022">
        <v>18.2</v>
      </c>
      <c r="L84" s="1022"/>
      <c r="M84" s="1023">
        <f t="shared" si="13"/>
        <v>0</v>
      </c>
      <c r="N84" s="1024">
        <f>M84*(списки!$C$56-K84)</f>
        <v>0</v>
      </c>
      <c r="O84" s="1025">
        <v>15.9</v>
      </c>
      <c r="P84" s="1025"/>
      <c r="Q84" s="1025">
        <f t="shared" si="14"/>
        <v>0</v>
      </c>
      <c r="R84" s="1025">
        <f>Q84*(списки!$C$56-O84)</f>
        <v>0</v>
      </c>
      <c r="S84" s="1026">
        <v>10</v>
      </c>
      <c r="T84" s="1026"/>
      <c r="U84" s="1026">
        <f t="shared" si="21"/>
        <v>4.5</v>
      </c>
      <c r="V84" s="1026">
        <f>U84*(списки!$C$56-S84)</f>
        <v>45</v>
      </c>
      <c r="W84" s="1027">
        <v>3.3</v>
      </c>
      <c r="X84" s="1027"/>
      <c r="Y84" s="1027">
        <f t="shared" si="15"/>
        <v>31</v>
      </c>
      <c r="Z84" s="1027">
        <f>Y84*(списки!$C$56-W84)</f>
        <v>517.69999999999993</v>
      </c>
      <c r="AA84" s="1028">
        <v>-3.5</v>
      </c>
      <c r="AB84" s="1028"/>
      <c r="AC84" s="1028">
        <f t="shared" si="16"/>
        <v>30</v>
      </c>
      <c r="AD84" s="1028">
        <f>AC84*(списки!$C$56-AA84)</f>
        <v>705</v>
      </c>
      <c r="AE84" s="1029">
        <v>-9.1</v>
      </c>
      <c r="AF84" s="1029"/>
      <c r="AG84" s="1029">
        <v>31</v>
      </c>
      <c r="AH84" s="1029">
        <f>AG84*(списки!$C$56-AE84)</f>
        <v>902.1</v>
      </c>
      <c r="AI84" s="1030">
        <v>-11.7</v>
      </c>
      <c r="AJ84" s="1030"/>
      <c r="AK84" s="1030">
        <v>31</v>
      </c>
      <c r="AL84" s="1030">
        <f>AK84*(списки!$C$56-AI84)</f>
        <v>982.69999999999993</v>
      </c>
      <c r="AM84" s="1031">
        <v>-11.3</v>
      </c>
      <c r="AN84" s="1031"/>
      <c r="AO84" s="1031">
        <v>28</v>
      </c>
      <c r="AP84" s="1031">
        <f>AO84*(списки!$C$56-AM84)</f>
        <v>876.4</v>
      </c>
      <c r="AQ84" s="1026">
        <v>-5.6</v>
      </c>
      <c r="AR84" s="1026"/>
      <c r="AS84" s="1026">
        <f t="shared" si="17"/>
        <v>31</v>
      </c>
      <c r="AT84" s="1026">
        <f>AS84*(списки!$C$56-AQ84)</f>
        <v>793.6</v>
      </c>
      <c r="AU84" s="1032">
        <v>3.4</v>
      </c>
      <c r="AV84" s="1032"/>
      <c r="AW84" s="1032">
        <f t="shared" si="18"/>
        <v>30</v>
      </c>
      <c r="AX84" s="1032">
        <f>AW84*(списки!$C$56-AU84)</f>
        <v>498.00000000000006</v>
      </c>
      <c r="AY84" s="1033">
        <v>11.1</v>
      </c>
      <c r="AZ84" s="1033"/>
      <c r="BA84" s="1033">
        <f t="shared" si="19"/>
        <v>4.5</v>
      </c>
      <c r="BB84" s="1033">
        <f>BA84*(списки!$C$56-AY84)</f>
        <v>40.050000000000004</v>
      </c>
      <c r="BC84" s="1034">
        <v>15.9</v>
      </c>
      <c r="BD84" s="1034"/>
      <c r="BE84" s="1034">
        <f t="shared" si="20"/>
        <v>0</v>
      </c>
      <c r="BF84" s="1035">
        <f>BE84*(списки!$C$56-BC84)</f>
        <v>0</v>
      </c>
      <c r="BG84" s="1424" t="e">
        <v>#N/A</v>
      </c>
      <c r="BH84" s="1424" t="e">
        <v>#N/A</v>
      </c>
    </row>
    <row r="85" spans="2:60" ht="15.75" customHeight="1" x14ac:dyDescent="0.25">
      <c r="B85" s="1014" t="s">
        <v>71</v>
      </c>
      <c r="C85" s="1014" t="s">
        <v>72</v>
      </c>
      <c r="D85" s="1015" t="str">
        <f t="shared" si="11"/>
        <v>Иркутская областьАлыгджер</v>
      </c>
      <c r="E85" s="1016">
        <v>264</v>
      </c>
      <c r="F85" s="1017">
        <v>-6.4</v>
      </c>
      <c r="G85" s="1017">
        <v>-36</v>
      </c>
      <c r="H85" s="1019">
        <v>3.8</v>
      </c>
      <c r="I85" s="1020">
        <f>E85*(списки!$C$56-F85)</f>
        <v>6969.5999999999995</v>
      </c>
      <c r="J85" s="1021" t="str">
        <f t="shared" si="12"/>
        <v>6000-7000</v>
      </c>
      <c r="K85" s="1022">
        <v>13.8</v>
      </c>
      <c r="L85" s="1022"/>
      <c r="M85" s="1023">
        <f t="shared" si="13"/>
        <v>0</v>
      </c>
      <c r="N85" s="1024">
        <f>M85*(списки!$C$56-K85)</f>
        <v>0</v>
      </c>
      <c r="O85" s="1025">
        <v>12</v>
      </c>
      <c r="P85" s="1025"/>
      <c r="Q85" s="1025">
        <f t="shared" si="14"/>
        <v>0</v>
      </c>
      <c r="R85" s="1025">
        <f>Q85*(списки!$C$56-O85)</f>
        <v>0</v>
      </c>
      <c r="S85" s="1026">
        <v>6.4</v>
      </c>
      <c r="T85" s="1026"/>
      <c r="U85" s="1026">
        <f t="shared" si="21"/>
        <v>26</v>
      </c>
      <c r="V85" s="1026">
        <f>U85*(списки!$C$56-S85)</f>
        <v>353.59999999999997</v>
      </c>
      <c r="W85" s="1027">
        <v>0.1</v>
      </c>
      <c r="X85" s="1027"/>
      <c r="Y85" s="1027">
        <f t="shared" si="15"/>
        <v>31</v>
      </c>
      <c r="Z85" s="1027">
        <f>Y85*(списки!$C$56-W85)</f>
        <v>616.9</v>
      </c>
      <c r="AA85" s="1028">
        <v>-8.9</v>
      </c>
      <c r="AB85" s="1028"/>
      <c r="AC85" s="1028">
        <f t="shared" si="16"/>
        <v>30</v>
      </c>
      <c r="AD85" s="1028">
        <f>AC85*(списки!$C$56-AA85)</f>
        <v>867</v>
      </c>
      <c r="AE85" s="1029">
        <v>-15.1</v>
      </c>
      <c r="AF85" s="1029"/>
      <c r="AG85" s="1029">
        <v>31</v>
      </c>
      <c r="AH85" s="1029">
        <f>AG85*(списки!$C$56-AE85)</f>
        <v>1088.1000000000001</v>
      </c>
      <c r="AI85" s="1030">
        <v>-16.7</v>
      </c>
      <c r="AJ85" s="1030"/>
      <c r="AK85" s="1030">
        <v>31</v>
      </c>
      <c r="AL85" s="1030">
        <f>AK85*(списки!$C$56-AI85)</f>
        <v>1137.7</v>
      </c>
      <c r="AM85" s="1031">
        <v>-14.6</v>
      </c>
      <c r="AN85" s="1031"/>
      <c r="AO85" s="1031">
        <v>28</v>
      </c>
      <c r="AP85" s="1031">
        <f>AO85*(списки!$C$56-AM85)</f>
        <v>968.80000000000007</v>
      </c>
      <c r="AQ85" s="1026">
        <v>-7.8</v>
      </c>
      <c r="AR85" s="1026"/>
      <c r="AS85" s="1026">
        <f t="shared" si="17"/>
        <v>31</v>
      </c>
      <c r="AT85" s="1026">
        <f>AS85*(списки!$C$56-AQ85)</f>
        <v>861.80000000000007</v>
      </c>
      <c r="AU85" s="1032">
        <v>-0.2</v>
      </c>
      <c r="AV85" s="1032"/>
      <c r="AW85" s="1032">
        <f t="shared" si="18"/>
        <v>30</v>
      </c>
      <c r="AX85" s="1032">
        <f>AW85*(списки!$C$56-AU85)</f>
        <v>606</v>
      </c>
      <c r="AY85" s="1033">
        <v>6.2</v>
      </c>
      <c r="AZ85" s="1033"/>
      <c r="BA85" s="1033">
        <f t="shared" si="19"/>
        <v>26</v>
      </c>
      <c r="BB85" s="1033">
        <f>BA85*(списки!$C$56-AY85)</f>
        <v>358.8</v>
      </c>
      <c r="BC85" s="1034">
        <v>12.2</v>
      </c>
      <c r="BD85" s="1034"/>
      <c r="BE85" s="1034">
        <f t="shared" si="20"/>
        <v>0</v>
      </c>
      <c r="BF85" s="1035">
        <f>BE85*(списки!$C$56-BC85)</f>
        <v>0</v>
      </c>
      <c r="BG85" s="1424" t="e">
        <v>#N/A</v>
      </c>
      <c r="BH85" s="1424" t="e">
        <v>#N/A</v>
      </c>
    </row>
    <row r="86" spans="2:60" ht="15.75" customHeight="1" x14ac:dyDescent="0.25">
      <c r="B86" s="1038" t="s">
        <v>71</v>
      </c>
      <c r="C86" s="1038" t="s">
        <v>73</v>
      </c>
      <c r="D86" s="1015" t="str">
        <f t="shared" si="11"/>
        <v>Иркутская областьБодайбо</v>
      </c>
      <c r="E86" s="1016">
        <v>253</v>
      </c>
      <c r="F86" s="1017">
        <v>-14.1</v>
      </c>
      <c r="G86" s="1017">
        <v>-46</v>
      </c>
      <c r="H86" s="1019">
        <v>2.2999999999999998</v>
      </c>
      <c r="I86" s="1020">
        <f>E86*(списки!$C$56-F86)</f>
        <v>8627.3000000000011</v>
      </c>
      <c r="J86" s="1021" t="str">
        <f t="shared" si="12"/>
        <v>8000-9000</v>
      </c>
      <c r="K86" s="1022">
        <v>18.2</v>
      </c>
      <c r="L86" s="1022"/>
      <c r="M86" s="1023">
        <f t="shared" si="13"/>
        <v>0</v>
      </c>
      <c r="N86" s="1024">
        <f>M86*(списки!$C$56-K86)</f>
        <v>0</v>
      </c>
      <c r="O86" s="1025">
        <v>14.9</v>
      </c>
      <c r="P86" s="1025"/>
      <c r="Q86" s="1025">
        <f t="shared" si="14"/>
        <v>0</v>
      </c>
      <c r="R86" s="1025">
        <f>Q86*(списки!$C$56-O86)</f>
        <v>0</v>
      </c>
      <c r="S86" s="1026">
        <v>6.7</v>
      </c>
      <c r="T86" s="1026"/>
      <c r="U86" s="1026">
        <f t="shared" si="21"/>
        <v>20.5</v>
      </c>
      <c r="V86" s="1026">
        <f>U86*(списки!$C$56-S86)</f>
        <v>272.65000000000003</v>
      </c>
      <c r="W86" s="1027">
        <v>-3.4</v>
      </c>
      <c r="X86" s="1027"/>
      <c r="Y86" s="1027">
        <f t="shared" si="15"/>
        <v>31</v>
      </c>
      <c r="Z86" s="1027">
        <f>Y86*(списки!$C$56-W86)</f>
        <v>725.4</v>
      </c>
      <c r="AA86" s="1028">
        <v>-17.600000000000001</v>
      </c>
      <c r="AB86" s="1028"/>
      <c r="AC86" s="1028">
        <f t="shared" si="16"/>
        <v>30</v>
      </c>
      <c r="AD86" s="1028">
        <f>AC86*(списки!$C$56-AA86)</f>
        <v>1128</v>
      </c>
      <c r="AE86" s="1029">
        <v>-27.6</v>
      </c>
      <c r="AF86" s="1029"/>
      <c r="AG86" s="1029">
        <v>31</v>
      </c>
      <c r="AH86" s="1029">
        <f>AG86*(списки!$C$56-AE86)</f>
        <v>1475.6000000000001</v>
      </c>
      <c r="AI86" s="1030">
        <v>-30.1</v>
      </c>
      <c r="AJ86" s="1030"/>
      <c r="AK86" s="1030">
        <v>31</v>
      </c>
      <c r="AL86" s="1030">
        <f>AK86*(списки!$C$56-AI86)</f>
        <v>1553.1000000000001</v>
      </c>
      <c r="AM86" s="1031">
        <v>-25.5</v>
      </c>
      <c r="AN86" s="1031"/>
      <c r="AO86" s="1031">
        <v>28</v>
      </c>
      <c r="AP86" s="1031">
        <f>AO86*(списки!$C$56-AM86)</f>
        <v>1274</v>
      </c>
      <c r="AQ86" s="1026">
        <v>-13.8</v>
      </c>
      <c r="AR86" s="1026"/>
      <c r="AS86" s="1026">
        <f t="shared" si="17"/>
        <v>31</v>
      </c>
      <c r="AT86" s="1026">
        <f>AS86*(списки!$C$56-AQ86)</f>
        <v>1047.8</v>
      </c>
      <c r="AU86" s="1032">
        <v>-1.9</v>
      </c>
      <c r="AV86" s="1032"/>
      <c r="AW86" s="1032">
        <f t="shared" si="18"/>
        <v>30</v>
      </c>
      <c r="AX86" s="1032">
        <f>AW86*(списки!$C$56-AU86)</f>
        <v>657</v>
      </c>
      <c r="AY86" s="1033">
        <v>6.7</v>
      </c>
      <c r="AZ86" s="1033"/>
      <c r="BA86" s="1033">
        <f t="shared" si="19"/>
        <v>20.5</v>
      </c>
      <c r="BB86" s="1033">
        <f>BA86*(списки!$C$56-AY86)</f>
        <v>272.65000000000003</v>
      </c>
      <c r="BC86" s="1034">
        <v>14.7</v>
      </c>
      <c r="BD86" s="1034"/>
      <c r="BE86" s="1034">
        <f t="shared" si="20"/>
        <v>0</v>
      </c>
      <c r="BF86" s="1035">
        <f>BE86*(списки!$C$56-BC86)</f>
        <v>0</v>
      </c>
      <c r="BG86" s="1424" t="e">
        <v>#N/A</v>
      </c>
      <c r="BH86" s="1424" t="e">
        <v>#N/A</v>
      </c>
    </row>
    <row r="87" spans="2:60" ht="15.75" customHeight="1" x14ac:dyDescent="0.25">
      <c r="B87" s="1014" t="s">
        <v>71</v>
      </c>
      <c r="C87" s="1014" t="s">
        <v>74</v>
      </c>
      <c r="D87" s="1015" t="str">
        <f t="shared" si="11"/>
        <v>Иркутская областьБратск</v>
      </c>
      <c r="E87" s="1016">
        <v>249</v>
      </c>
      <c r="F87" s="1017">
        <v>-8.6</v>
      </c>
      <c r="G87" s="1017">
        <v>-43</v>
      </c>
      <c r="H87" s="1019">
        <v>3.4</v>
      </c>
      <c r="I87" s="1020">
        <f>E87*(списки!$C$56-F87)</f>
        <v>7121.4000000000005</v>
      </c>
      <c r="J87" s="1021" t="str">
        <f t="shared" si="12"/>
        <v>7000-8000</v>
      </c>
      <c r="K87" s="1022">
        <v>17.8</v>
      </c>
      <c r="L87" s="1022"/>
      <c r="M87" s="1023">
        <f t="shared" si="13"/>
        <v>0</v>
      </c>
      <c r="N87" s="1024">
        <f>M87*(списки!$C$56-K87)</f>
        <v>0</v>
      </c>
      <c r="O87" s="1025">
        <v>14.8</v>
      </c>
      <c r="P87" s="1025"/>
      <c r="Q87" s="1025">
        <f t="shared" si="14"/>
        <v>0</v>
      </c>
      <c r="R87" s="1025">
        <f>Q87*(списки!$C$56-O87)</f>
        <v>0</v>
      </c>
      <c r="S87" s="1026">
        <v>8.1</v>
      </c>
      <c r="T87" s="1026"/>
      <c r="U87" s="1026">
        <f t="shared" si="21"/>
        <v>18.5</v>
      </c>
      <c r="V87" s="1026">
        <f>U87*(списки!$C$56-S87)</f>
        <v>220.15</v>
      </c>
      <c r="W87" s="1027">
        <v>-0.5</v>
      </c>
      <c r="X87" s="1027"/>
      <c r="Y87" s="1027">
        <f t="shared" si="15"/>
        <v>31</v>
      </c>
      <c r="Z87" s="1027">
        <f>Y87*(списки!$C$56-W87)</f>
        <v>635.5</v>
      </c>
      <c r="AA87" s="1028">
        <v>-9.8000000000000007</v>
      </c>
      <c r="AB87" s="1028"/>
      <c r="AC87" s="1028">
        <f t="shared" si="16"/>
        <v>30</v>
      </c>
      <c r="AD87" s="1028">
        <f>AC87*(списки!$C$56-AA87)</f>
        <v>894</v>
      </c>
      <c r="AE87" s="1029">
        <v>-18.399999999999999</v>
      </c>
      <c r="AF87" s="1029"/>
      <c r="AG87" s="1029">
        <v>31</v>
      </c>
      <c r="AH87" s="1029">
        <f>AG87*(списки!$C$56-AE87)</f>
        <v>1190.3999999999999</v>
      </c>
      <c r="AI87" s="1030">
        <v>-20.7</v>
      </c>
      <c r="AJ87" s="1030"/>
      <c r="AK87" s="1030">
        <v>31</v>
      </c>
      <c r="AL87" s="1030">
        <f>AK87*(списки!$C$56-AI87)</f>
        <v>1261.7</v>
      </c>
      <c r="AM87" s="1031">
        <v>-19.399999999999999</v>
      </c>
      <c r="AN87" s="1031"/>
      <c r="AO87" s="1031">
        <v>28</v>
      </c>
      <c r="AP87" s="1031">
        <f>AO87*(списки!$C$56-AM87)</f>
        <v>1103.2</v>
      </c>
      <c r="AQ87" s="1026">
        <v>-10.199999999999999</v>
      </c>
      <c r="AR87" s="1026"/>
      <c r="AS87" s="1026">
        <f t="shared" si="17"/>
        <v>31</v>
      </c>
      <c r="AT87" s="1026">
        <f>AS87*(списки!$C$56-AQ87)</f>
        <v>936.19999999999993</v>
      </c>
      <c r="AU87" s="1032">
        <v>-1.2</v>
      </c>
      <c r="AV87" s="1032"/>
      <c r="AW87" s="1032">
        <f t="shared" si="18"/>
        <v>30</v>
      </c>
      <c r="AX87" s="1032">
        <f>AW87*(списки!$C$56-AU87)</f>
        <v>636</v>
      </c>
      <c r="AY87" s="1033">
        <v>6.2</v>
      </c>
      <c r="AZ87" s="1033"/>
      <c r="BA87" s="1033">
        <f t="shared" si="19"/>
        <v>18.5</v>
      </c>
      <c r="BB87" s="1033">
        <f>BA87*(списки!$C$56-AY87)</f>
        <v>255.3</v>
      </c>
      <c r="BC87" s="1034">
        <v>14</v>
      </c>
      <c r="BD87" s="1034"/>
      <c r="BE87" s="1034">
        <f t="shared" si="20"/>
        <v>0</v>
      </c>
      <c r="BF87" s="1035">
        <f>BE87*(списки!$C$56-BC87)</f>
        <v>0</v>
      </c>
      <c r="BG87" s="1424">
        <v>6744.8428571428549</v>
      </c>
      <c r="BH87" s="1424">
        <v>6423.2303571428574</v>
      </c>
    </row>
    <row r="88" spans="2:60" ht="15.75" customHeight="1" x14ac:dyDescent="0.25">
      <c r="B88" s="1038" t="s">
        <v>71</v>
      </c>
      <c r="C88" s="1038" t="s">
        <v>88</v>
      </c>
      <c r="D88" s="1015" t="str">
        <f t="shared" si="11"/>
        <v>Иркутская областьВерхняя Гутара</v>
      </c>
      <c r="E88" s="1016">
        <v>267</v>
      </c>
      <c r="F88" s="1017">
        <v>-7.7</v>
      </c>
      <c r="G88" s="1017">
        <v>-35</v>
      </c>
      <c r="H88" s="1019">
        <v>2.1</v>
      </c>
      <c r="I88" s="1020">
        <f>E88*(списки!$C$56-F88)</f>
        <v>7395.9</v>
      </c>
      <c r="J88" s="1021" t="str">
        <f t="shared" si="12"/>
        <v>7000-8000</v>
      </c>
      <c r="K88" s="1022">
        <v>14.1</v>
      </c>
      <c r="L88" s="1022"/>
      <c r="M88" s="1023">
        <f t="shared" si="13"/>
        <v>0</v>
      </c>
      <c r="N88" s="1024">
        <f>M88*(списки!$C$56-K88)</f>
        <v>0</v>
      </c>
      <c r="O88" s="1025">
        <v>11.4</v>
      </c>
      <c r="P88" s="1025"/>
      <c r="Q88" s="1025">
        <f t="shared" si="14"/>
        <v>0</v>
      </c>
      <c r="R88" s="1025">
        <f>Q88*(списки!$C$56-O88)</f>
        <v>0</v>
      </c>
      <c r="S88" s="1026">
        <v>5.2</v>
      </c>
      <c r="T88" s="1026"/>
      <c r="U88" s="1026">
        <f t="shared" si="21"/>
        <v>27.5</v>
      </c>
      <c r="V88" s="1026">
        <f>U88*(списки!$C$56-S88)</f>
        <v>407</v>
      </c>
      <c r="W88" s="1027">
        <v>-1.8</v>
      </c>
      <c r="X88" s="1027"/>
      <c r="Y88" s="1027">
        <f t="shared" si="15"/>
        <v>31</v>
      </c>
      <c r="Z88" s="1027">
        <f>Y88*(списки!$C$56-W88)</f>
        <v>675.80000000000007</v>
      </c>
      <c r="AA88" s="1028">
        <v>-10</v>
      </c>
      <c r="AB88" s="1028"/>
      <c r="AC88" s="1028">
        <f t="shared" si="16"/>
        <v>30</v>
      </c>
      <c r="AD88" s="1028">
        <f>AC88*(списки!$C$56-AA88)</f>
        <v>900</v>
      </c>
      <c r="AE88" s="1029">
        <v>-16.8</v>
      </c>
      <c r="AF88" s="1029"/>
      <c r="AG88" s="1029">
        <v>31</v>
      </c>
      <c r="AH88" s="1029">
        <f>AG88*(списки!$C$56-AE88)</f>
        <v>1140.8</v>
      </c>
      <c r="AI88" s="1030">
        <v>-19</v>
      </c>
      <c r="AJ88" s="1030"/>
      <c r="AK88" s="1030">
        <v>31</v>
      </c>
      <c r="AL88" s="1030">
        <f>AK88*(списки!$C$56-AI88)</f>
        <v>1209</v>
      </c>
      <c r="AM88" s="1031">
        <v>-16.3</v>
      </c>
      <c r="AN88" s="1031"/>
      <c r="AO88" s="1031">
        <v>28</v>
      </c>
      <c r="AP88" s="1031">
        <f>AO88*(списки!$C$56-AM88)</f>
        <v>1016.3999999999999</v>
      </c>
      <c r="AQ88" s="1026">
        <v>-9.6999999999999993</v>
      </c>
      <c r="AR88" s="1026"/>
      <c r="AS88" s="1026">
        <f t="shared" si="17"/>
        <v>31</v>
      </c>
      <c r="AT88" s="1026">
        <f>AS88*(списки!$C$56-AQ88)</f>
        <v>920.69999999999993</v>
      </c>
      <c r="AU88" s="1032">
        <v>-1.4</v>
      </c>
      <c r="AV88" s="1032"/>
      <c r="AW88" s="1032">
        <f t="shared" si="18"/>
        <v>30</v>
      </c>
      <c r="AX88" s="1032">
        <f>AW88*(списки!$C$56-AU88)</f>
        <v>642</v>
      </c>
      <c r="AY88" s="1033">
        <v>5.7</v>
      </c>
      <c r="AZ88" s="1033"/>
      <c r="BA88" s="1033">
        <f t="shared" si="19"/>
        <v>27.5</v>
      </c>
      <c r="BB88" s="1033">
        <f>BA88*(списки!$C$56-AY88)</f>
        <v>393.25</v>
      </c>
      <c r="BC88" s="1034">
        <v>11.7</v>
      </c>
      <c r="BD88" s="1034"/>
      <c r="BE88" s="1034">
        <f t="shared" si="20"/>
        <v>0</v>
      </c>
      <c r="BF88" s="1035">
        <f>BE88*(списки!$C$56-BC88)</f>
        <v>0</v>
      </c>
      <c r="BG88" s="1424">
        <v>7032.6857142857152</v>
      </c>
      <c r="BH88" s="1424">
        <v>6546</v>
      </c>
    </row>
    <row r="89" spans="2:60" ht="15.75" customHeight="1" x14ac:dyDescent="0.25">
      <c r="B89" s="1014" t="s">
        <v>71</v>
      </c>
      <c r="C89" s="1014" t="s">
        <v>639</v>
      </c>
      <c r="D89" s="1015" t="str">
        <f t="shared" si="11"/>
        <v>Иркутская областьДубровское</v>
      </c>
      <c r="E89" s="1016">
        <v>257</v>
      </c>
      <c r="F89" s="1017">
        <v>-12.3</v>
      </c>
      <c r="G89" s="1017">
        <v>-50</v>
      </c>
      <c r="H89" s="1019">
        <v>3</v>
      </c>
      <c r="I89" s="1020">
        <f>E89*(списки!$C$56-F89)</f>
        <v>8301.0999999999985</v>
      </c>
      <c r="J89" s="1021" t="str">
        <f t="shared" si="12"/>
        <v>8000-9000</v>
      </c>
      <c r="K89" s="1022">
        <v>17.7</v>
      </c>
      <c r="L89" s="1022"/>
      <c r="M89" s="1023">
        <f t="shared" si="13"/>
        <v>0</v>
      </c>
      <c r="N89" s="1024">
        <f>M89*(списки!$C$56-K89)</f>
        <v>0</v>
      </c>
      <c r="O89" s="1025">
        <v>14</v>
      </c>
      <c r="P89" s="1025"/>
      <c r="Q89" s="1025">
        <f t="shared" si="14"/>
        <v>0</v>
      </c>
      <c r="R89" s="1025">
        <f>Q89*(списки!$C$56-O89)</f>
        <v>0</v>
      </c>
      <c r="S89" s="1026">
        <v>6.4</v>
      </c>
      <c r="T89" s="1026"/>
      <c r="U89" s="1026">
        <f t="shared" si="21"/>
        <v>22.5</v>
      </c>
      <c r="V89" s="1026">
        <f>U89*(списки!$C$56-S89)</f>
        <v>306</v>
      </c>
      <c r="W89" s="1027">
        <v>-2.2999999999999998</v>
      </c>
      <c r="X89" s="1027"/>
      <c r="Y89" s="1027">
        <f t="shared" si="15"/>
        <v>31</v>
      </c>
      <c r="Z89" s="1027">
        <f>Y89*(списки!$C$56-W89)</f>
        <v>691.30000000000007</v>
      </c>
      <c r="AA89" s="1028">
        <v>-17.399999999999999</v>
      </c>
      <c r="AB89" s="1028"/>
      <c r="AC89" s="1028">
        <f t="shared" si="16"/>
        <v>30</v>
      </c>
      <c r="AD89" s="1028">
        <f>AC89*(списки!$C$56-AA89)</f>
        <v>1122</v>
      </c>
      <c r="AE89" s="1029">
        <v>-25.8</v>
      </c>
      <c r="AF89" s="1029"/>
      <c r="AG89" s="1029">
        <v>31</v>
      </c>
      <c r="AH89" s="1029">
        <f>AG89*(списки!$C$56-AE89)</f>
        <v>1419.8</v>
      </c>
      <c r="AI89" s="1030">
        <v>-28.6</v>
      </c>
      <c r="AJ89" s="1030"/>
      <c r="AK89" s="1030">
        <v>31</v>
      </c>
      <c r="AL89" s="1030">
        <f>AK89*(списки!$C$56-AI89)</f>
        <v>1506.6000000000001</v>
      </c>
      <c r="AM89" s="1031">
        <v>-23.2</v>
      </c>
      <c r="AN89" s="1031"/>
      <c r="AO89" s="1031">
        <v>28</v>
      </c>
      <c r="AP89" s="1031">
        <f>AO89*(списки!$C$56-AM89)</f>
        <v>1209.6000000000001</v>
      </c>
      <c r="AQ89" s="1026">
        <v>-13.6</v>
      </c>
      <c r="AR89" s="1026"/>
      <c r="AS89" s="1026">
        <f t="shared" si="17"/>
        <v>31</v>
      </c>
      <c r="AT89" s="1026">
        <f>AS89*(списки!$C$56-AQ89)</f>
        <v>1041.6000000000001</v>
      </c>
      <c r="AU89" s="1032">
        <v>-2.9</v>
      </c>
      <c r="AV89" s="1032"/>
      <c r="AW89" s="1032">
        <f t="shared" si="18"/>
        <v>30</v>
      </c>
      <c r="AX89" s="1032">
        <f>AW89*(списки!$C$56-AU89)</f>
        <v>687</v>
      </c>
      <c r="AY89" s="1033">
        <v>5.7</v>
      </c>
      <c r="AZ89" s="1033"/>
      <c r="BA89" s="1033">
        <f t="shared" si="19"/>
        <v>22.5</v>
      </c>
      <c r="BB89" s="1033">
        <f>BA89*(списки!$C$56-AY89)</f>
        <v>321.75</v>
      </c>
      <c r="BC89" s="1034">
        <v>14.3</v>
      </c>
      <c r="BD89" s="1034"/>
      <c r="BE89" s="1034">
        <f t="shared" si="20"/>
        <v>0</v>
      </c>
      <c r="BF89" s="1035">
        <f>BE89*(списки!$C$56-BC89)</f>
        <v>0</v>
      </c>
      <c r="BG89" s="1424" t="e">
        <v>#N/A</v>
      </c>
      <c r="BH89" s="1424" t="e">
        <v>#N/A</v>
      </c>
    </row>
    <row r="90" spans="2:60" ht="15.75" customHeight="1" x14ac:dyDescent="0.25">
      <c r="B90" s="1038" t="s">
        <v>71</v>
      </c>
      <c r="C90" s="1038" t="s">
        <v>89</v>
      </c>
      <c r="D90" s="1015" t="str">
        <f t="shared" si="11"/>
        <v>Иркутская областьЕрбогачен</v>
      </c>
      <c r="E90" s="1016">
        <v>261</v>
      </c>
      <c r="F90" s="1017">
        <v>-15.3</v>
      </c>
      <c r="G90" s="1017">
        <v>-51</v>
      </c>
      <c r="H90" s="1019">
        <v>2</v>
      </c>
      <c r="I90" s="1020">
        <f>E90*(списки!$C$56-F90)</f>
        <v>9213.2999999999993</v>
      </c>
      <c r="J90" s="1021" t="str">
        <f t="shared" si="12"/>
        <v>9000-10000</v>
      </c>
      <c r="K90" s="1022">
        <v>17.399999999999999</v>
      </c>
      <c r="L90" s="1022"/>
      <c r="M90" s="1023">
        <f t="shared" si="13"/>
        <v>0</v>
      </c>
      <c r="N90" s="1024">
        <f>M90*(списки!$C$56-K90)</f>
        <v>0</v>
      </c>
      <c r="O90" s="1025">
        <v>13.4</v>
      </c>
      <c r="P90" s="1025"/>
      <c r="Q90" s="1025">
        <f t="shared" si="14"/>
        <v>0</v>
      </c>
      <c r="R90" s="1025">
        <f>Q90*(списки!$C$56-O90)</f>
        <v>0</v>
      </c>
      <c r="S90" s="1026">
        <v>5.2</v>
      </c>
      <c r="T90" s="1026"/>
      <c r="U90" s="1026">
        <f t="shared" si="21"/>
        <v>24.5</v>
      </c>
      <c r="V90" s="1026">
        <f>U90*(списки!$C$56-S90)</f>
        <v>362.6</v>
      </c>
      <c r="W90" s="1027">
        <v>-5.6</v>
      </c>
      <c r="X90" s="1027"/>
      <c r="Y90" s="1027">
        <f t="shared" si="15"/>
        <v>31</v>
      </c>
      <c r="Z90" s="1027">
        <f>Y90*(списки!$C$56-W90)</f>
        <v>793.6</v>
      </c>
      <c r="AA90" s="1028">
        <v>-20.6</v>
      </c>
      <c r="AB90" s="1028"/>
      <c r="AC90" s="1028">
        <f t="shared" si="16"/>
        <v>30</v>
      </c>
      <c r="AD90" s="1028">
        <f>AC90*(списки!$C$56-AA90)</f>
        <v>1218</v>
      </c>
      <c r="AE90" s="1029">
        <v>-29</v>
      </c>
      <c r="AF90" s="1029"/>
      <c r="AG90" s="1029">
        <v>31</v>
      </c>
      <c r="AH90" s="1029">
        <f>AG90*(списки!$C$56-AE90)</f>
        <v>1519</v>
      </c>
      <c r="AI90" s="1030">
        <v>-30.9</v>
      </c>
      <c r="AJ90" s="1030"/>
      <c r="AK90" s="1030">
        <v>31</v>
      </c>
      <c r="AL90" s="1030">
        <f>AK90*(списки!$C$56-AI90)</f>
        <v>1577.8999999999999</v>
      </c>
      <c r="AM90" s="1031">
        <v>-27.7</v>
      </c>
      <c r="AN90" s="1031"/>
      <c r="AO90" s="1031">
        <v>28</v>
      </c>
      <c r="AP90" s="1031">
        <f>AO90*(списки!$C$56-AM90)</f>
        <v>1335.6000000000001</v>
      </c>
      <c r="AQ90" s="1026">
        <v>-16.399999999999999</v>
      </c>
      <c r="AR90" s="1026"/>
      <c r="AS90" s="1026">
        <f t="shared" si="17"/>
        <v>31</v>
      </c>
      <c r="AT90" s="1026">
        <f>AS90*(списки!$C$56-AQ90)</f>
        <v>1128.3999999999999</v>
      </c>
      <c r="AU90" s="1032">
        <v>-5</v>
      </c>
      <c r="AV90" s="1032"/>
      <c r="AW90" s="1032">
        <f t="shared" si="18"/>
        <v>30</v>
      </c>
      <c r="AX90" s="1032">
        <f>AW90*(списки!$C$56-AU90)</f>
        <v>750</v>
      </c>
      <c r="AY90" s="1033">
        <v>5.3</v>
      </c>
      <c r="AZ90" s="1033"/>
      <c r="BA90" s="1033">
        <f t="shared" si="19"/>
        <v>24.5</v>
      </c>
      <c r="BB90" s="1033">
        <f>BA90*(списки!$C$56-AY90)</f>
        <v>360.15</v>
      </c>
      <c r="BC90" s="1034">
        <v>14.1</v>
      </c>
      <c r="BD90" s="1034"/>
      <c r="BE90" s="1034">
        <f t="shared" si="20"/>
        <v>0</v>
      </c>
      <c r="BF90" s="1035">
        <f>BE90*(списки!$C$56-BC90)</f>
        <v>0</v>
      </c>
      <c r="BG90" s="1424">
        <v>8623.9547619047607</v>
      </c>
      <c r="BH90" s="1424">
        <v>8333.5500000000065</v>
      </c>
    </row>
    <row r="91" spans="2:60" ht="15.75" customHeight="1" x14ac:dyDescent="0.25">
      <c r="B91" s="1014" t="s">
        <v>71</v>
      </c>
      <c r="C91" s="1014" t="s">
        <v>90</v>
      </c>
      <c r="D91" s="1015" t="str">
        <f t="shared" si="11"/>
        <v>Иркутская областьЖигалово</v>
      </c>
      <c r="E91" s="1016">
        <v>249</v>
      </c>
      <c r="F91" s="1017">
        <v>-12.3</v>
      </c>
      <c r="G91" s="1017">
        <v>-44</v>
      </c>
      <c r="H91" s="1019">
        <v>2.4</v>
      </c>
      <c r="I91" s="1020">
        <f>E91*(списки!$C$56-F91)</f>
        <v>8042.6999999999989</v>
      </c>
      <c r="J91" s="1021" t="str">
        <f t="shared" si="12"/>
        <v>8000-9000</v>
      </c>
      <c r="K91" s="1022">
        <v>17.600000000000001</v>
      </c>
      <c r="L91" s="1022"/>
      <c r="M91" s="1023">
        <f t="shared" si="13"/>
        <v>0</v>
      </c>
      <c r="N91" s="1024">
        <f>M91*(списки!$C$56-K91)</f>
        <v>0</v>
      </c>
      <c r="O91" s="1025">
        <v>14.4</v>
      </c>
      <c r="P91" s="1025"/>
      <c r="Q91" s="1025">
        <f t="shared" si="14"/>
        <v>0</v>
      </c>
      <c r="R91" s="1025">
        <f>Q91*(списки!$C$56-O91)</f>
        <v>0</v>
      </c>
      <c r="S91" s="1026">
        <v>6.7</v>
      </c>
      <c r="T91" s="1026"/>
      <c r="U91" s="1026">
        <f t="shared" si="21"/>
        <v>18.5</v>
      </c>
      <c r="V91" s="1026">
        <f>U91*(списки!$C$56-S91)</f>
        <v>246.05</v>
      </c>
      <c r="W91" s="1027">
        <v>-2.2000000000000002</v>
      </c>
      <c r="X91" s="1027"/>
      <c r="Y91" s="1027">
        <f t="shared" si="15"/>
        <v>31</v>
      </c>
      <c r="Z91" s="1027">
        <f>Y91*(списки!$C$56-W91)</f>
        <v>688.19999999999993</v>
      </c>
      <c r="AA91" s="1028">
        <v>-14.3</v>
      </c>
      <c r="AB91" s="1028"/>
      <c r="AC91" s="1028">
        <f t="shared" si="16"/>
        <v>30</v>
      </c>
      <c r="AD91" s="1028">
        <f>AC91*(списки!$C$56-AA91)</f>
        <v>1029</v>
      </c>
      <c r="AE91" s="1029">
        <v>-24.6</v>
      </c>
      <c r="AF91" s="1029"/>
      <c r="AG91" s="1029">
        <v>31</v>
      </c>
      <c r="AH91" s="1029">
        <f>AG91*(списки!$C$56-AE91)</f>
        <v>1382.6000000000001</v>
      </c>
      <c r="AI91" s="1030">
        <v>-27.7</v>
      </c>
      <c r="AJ91" s="1030"/>
      <c r="AK91" s="1030">
        <v>31</v>
      </c>
      <c r="AL91" s="1030">
        <f>AK91*(списки!$C$56-AI91)</f>
        <v>1478.7</v>
      </c>
      <c r="AM91" s="1031">
        <v>-23</v>
      </c>
      <c r="AN91" s="1031"/>
      <c r="AO91" s="1031">
        <v>28</v>
      </c>
      <c r="AP91" s="1031">
        <f>AO91*(списки!$C$56-AM91)</f>
        <v>1204</v>
      </c>
      <c r="AQ91" s="1026">
        <v>-12.2</v>
      </c>
      <c r="AR91" s="1026"/>
      <c r="AS91" s="1026">
        <f t="shared" si="17"/>
        <v>31</v>
      </c>
      <c r="AT91" s="1026">
        <f>AS91*(списки!$C$56-AQ91)</f>
        <v>998.2</v>
      </c>
      <c r="AU91" s="1032">
        <v>-0.5</v>
      </c>
      <c r="AV91" s="1032"/>
      <c r="AW91" s="1032">
        <f t="shared" si="18"/>
        <v>30</v>
      </c>
      <c r="AX91" s="1032">
        <f>AW91*(списки!$C$56-AU91)</f>
        <v>615</v>
      </c>
      <c r="AY91" s="1033">
        <v>8</v>
      </c>
      <c r="AZ91" s="1033"/>
      <c r="BA91" s="1033">
        <f t="shared" si="19"/>
        <v>18.5</v>
      </c>
      <c r="BB91" s="1033">
        <f>BA91*(списки!$C$56-AY91)</f>
        <v>222</v>
      </c>
      <c r="BC91" s="1034">
        <v>14.7</v>
      </c>
      <c r="BD91" s="1034"/>
      <c r="BE91" s="1034">
        <f t="shared" si="20"/>
        <v>0</v>
      </c>
      <c r="BF91" s="1035">
        <f>BE91*(списки!$C$56-BC91)</f>
        <v>0</v>
      </c>
      <c r="BG91" s="1424">
        <v>7668.9232142857172</v>
      </c>
      <c r="BH91" s="1424">
        <v>7331.2660714285703</v>
      </c>
    </row>
    <row r="92" spans="2:60" ht="15.75" customHeight="1" x14ac:dyDescent="0.25">
      <c r="B92" s="1038" t="s">
        <v>71</v>
      </c>
      <c r="C92" s="1038" t="s">
        <v>640</v>
      </c>
      <c r="D92" s="1015" t="str">
        <f t="shared" si="11"/>
        <v>Иркутская областьЗима</v>
      </c>
      <c r="E92" s="1016">
        <v>239</v>
      </c>
      <c r="F92" s="1017">
        <v>-9.6999999999999993</v>
      </c>
      <c r="G92" s="1017">
        <v>-42</v>
      </c>
      <c r="H92" s="1019">
        <v>4.9000000000000004</v>
      </c>
      <c r="I92" s="1020">
        <f>E92*(списки!$C$56-F92)</f>
        <v>7098.3</v>
      </c>
      <c r="J92" s="1021" t="str">
        <f t="shared" si="12"/>
        <v>7000-8000</v>
      </c>
      <c r="K92" s="1022">
        <v>18</v>
      </c>
      <c r="L92" s="1022"/>
      <c r="M92" s="1023">
        <f t="shared" si="13"/>
        <v>0</v>
      </c>
      <c r="N92" s="1024">
        <f>M92*(списки!$C$56-K92)</f>
        <v>0</v>
      </c>
      <c r="O92" s="1025">
        <v>14.9</v>
      </c>
      <c r="P92" s="1025"/>
      <c r="Q92" s="1025">
        <f t="shared" si="14"/>
        <v>0</v>
      </c>
      <c r="R92" s="1025">
        <f>Q92*(списки!$C$56-O92)</f>
        <v>0</v>
      </c>
      <c r="S92" s="1026">
        <v>8.1</v>
      </c>
      <c r="T92" s="1026"/>
      <c r="U92" s="1026">
        <f t="shared" si="21"/>
        <v>13.5</v>
      </c>
      <c r="V92" s="1026">
        <f>U92*(списки!$C$56-S92)</f>
        <v>160.65</v>
      </c>
      <c r="W92" s="1027">
        <v>-0.1</v>
      </c>
      <c r="X92" s="1027"/>
      <c r="Y92" s="1027">
        <f t="shared" si="15"/>
        <v>31</v>
      </c>
      <c r="Z92" s="1027">
        <f>Y92*(списки!$C$56-W92)</f>
        <v>623.1</v>
      </c>
      <c r="AA92" s="1028">
        <v>-12.2</v>
      </c>
      <c r="AB92" s="1028"/>
      <c r="AC92" s="1028">
        <f t="shared" si="16"/>
        <v>30</v>
      </c>
      <c r="AD92" s="1028">
        <f>AC92*(списки!$C$56-AA92)</f>
        <v>966.00000000000011</v>
      </c>
      <c r="AE92" s="1029">
        <v>-20.5</v>
      </c>
      <c r="AF92" s="1029"/>
      <c r="AG92" s="1029">
        <v>31</v>
      </c>
      <c r="AH92" s="1029">
        <f>AG92*(списки!$C$56-AE92)</f>
        <v>1255.5</v>
      </c>
      <c r="AI92" s="1030">
        <v>-23</v>
      </c>
      <c r="AJ92" s="1030"/>
      <c r="AK92" s="1030">
        <v>31</v>
      </c>
      <c r="AL92" s="1030">
        <f>AK92*(списки!$C$56-AI92)</f>
        <v>1333</v>
      </c>
      <c r="AM92" s="1031">
        <v>-20</v>
      </c>
      <c r="AN92" s="1031"/>
      <c r="AO92" s="1031">
        <v>28</v>
      </c>
      <c r="AP92" s="1031">
        <f>AO92*(списки!$C$56-AM92)</f>
        <v>1120</v>
      </c>
      <c r="AQ92" s="1026">
        <v>-10.1</v>
      </c>
      <c r="AR92" s="1026"/>
      <c r="AS92" s="1026">
        <f t="shared" si="17"/>
        <v>31</v>
      </c>
      <c r="AT92" s="1026">
        <f>AS92*(списки!$C$56-AQ92)</f>
        <v>933.1</v>
      </c>
      <c r="AU92" s="1032">
        <v>1.1000000000000001</v>
      </c>
      <c r="AV92" s="1032"/>
      <c r="AW92" s="1032">
        <f t="shared" si="18"/>
        <v>30</v>
      </c>
      <c r="AX92" s="1032">
        <f>AW92*(списки!$C$56-AU92)</f>
        <v>567</v>
      </c>
      <c r="AY92" s="1033">
        <v>8.6999999999999993</v>
      </c>
      <c r="AZ92" s="1033"/>
      <c r="BA92" s="1033">
        <f t="shared" si="19"/>
        <v>13.5</v>
      </c>
      <c r="BB92" s="1033">
        <f>BA92*(списки!$C$56-AY92)</f>
        <v>152.55000000000001</v>
      </c>
      <c r="BC92" s="1034">
        <v>15.8</v>
      </c>
      <c r="BD92" s="1034"/>
      <c r="BE92" s="1034">
        <f t="shared" si="20"/>
        <v>0</v>
      </c>
      <c r="BF92" s="1035">
        <f>BE92*(списки!$C$56-BC92)</f>
        <v>0</v>
      </c>
      <c r="BG92" s="1424">
        <v>6935.35</v>
      </c>
      <c r="BH92" s="1424">
        <v>6227.3946428571417</v>
      </c>
    </row>
    <row r="93" spans="2:60" ht="15.75" customHeight="1" x14ac:dyDescent="0.25">
      <c r="B93" s="1014" t="s">
        <v>71</v>
      </c>
      <c r="C93" s="1014" t="s">
        <v>76</v>
      </c>
      <c r="D93" s="1015" t="str">
        <f t="shared" si="11"/>
        <v>Иркутская областьИка</v>
      </c>
      <c r="E93" s="1016">
        <v>263</v>
      </c>
      <c r="F93" s="1017">
        <v>-13.8</v>
      </c>
      <c r="G93" s="1017">
        <v>-50</v>
      </c>
      <c r="H93" s="1019">
        <v>2.7</v>
      </c>
      <c r="I93" s="1020">
        <f>E93*(списки!$C$56-F93)</f>
        <v>8889.4</v>
      </c>
      <c r="J93" s="1021" t="str">
        <f t="shared" si="12"/>
        <v>8000-9000</v>
      </c>
      <c r="K93" s="1022">
        <v>16.5</v>
      </c>
      <c r="L93" s="1022"/>
      <c r="M93" s="1023">
        <f t="shared" si="13"/>
        <v>0</v>
      </c>
      <c r="N93" s="1024">
        <f>M93*(списки!$C$56-K93)</f>
        <v>0</v>
      </c>
      <c r="O93" s="1025">
        <v>12.8</v>
      </c>
      <c r="P93" s="1025"/>
      <c r="Q93" s="1025">
        <f t="shared" si="14"/>
        <v>0</v>
      </c>
      <c r="R93" s="1025">
        <f>Q93*(списки!$C$56-O93)</f>
        <v>0</v>
      </c>
      <c r="S93" s="1026">
        <v>5</v>
      </c>
      <c r="T93" s="1026"/>
      <c r="U93" s="1026">
        <f t="shared" si="21"/>
        <v>25.5</v>
      </c>
      <c r="V93" s="1026">
        <f>U93*(списки!$C$56-S93)</f>
        <v>382.5</v>
      </c>
      <c r="W93" s="1027">
        <v>-4.4000000000000004</v>
      </c>
      <c r="X93" s="1027"/>
      <c r="Y93" s="1027">
        <f t="shared" si="15"/>
        <v>31</v>
      </c>
      <c r="Z93" s="1027">
        <f>Y93*(списки!$C$56-W93)</f>
        <v>756.4</v>
      </c>
      <c r="AA93" s="1028">
        <v>-18</v>
      </c>
      <c r="AB93" s="1028"/>
      <c r="AC93" s="1028">
        <f t="shared" si="16"/>
        <v>30</v>
      </c>
      <c r="AD93" s="1028">
        <f>AC93*(списки!$C$56-AA93)</f>
        <v>1140</v>
      </c>
      <c r="AE93" s="1029">
        <v>-26.9</v>
      </c>
      <c r="AF93" s="1029"/>
      <c r="AG93" s="1029">
        <v>31</v>
      </c>
      <c r="AH93" s="1029">
        <f>AG93*(списки!$C$56-AE93)</f>
        <v>1453.8999999999999</v>
      </c>
      <c r="AI93" s="1030">
        <v>-29.2</v>
      </c>
      <c r="AJ93" s="1030"/>
      <c r="AK93" s="1030">
        <v>31</v>
      </c>
      <c r="AL93" s="1030">
        <f>AK93*(списки!$C$56-AI93)</f>
        <v>1525.2</v>
      </c>
      <c r="AM93" s="1031">
        <v>-25.9</v>
      </c>
      <c r="AN93" s="1031"/>
      <c r="AO93" s="1031">
        <v>28</v>
      </c>
      <c r="AP93" s="1031">
        <f>AO93*(списки!$C$56-AM93)</f>
        <v>1285.2</v>
      </c>
      <c r="AQ93" s="1026">
        <v>-15.4</v>
      </c>
      <c r="AR93" s="1026"/>
      <c r="AS93" s="1026">
        <f t="shared" si="17"/>
        <v>31</v>
      </c>
      <c r="AT93" s="1026">
        <f>AS93*(списки!$C$56-AQ93)</f>
        <v>1097.3999999999999</v>
      </c>
      <c r="AU93" s="1032">
        <v>-4.2</v>
      </c>
      <c r="AV93" s="1032"/>
      <c r="AW93" s="1032">
        <f t="shared" si="18"/>
        <v>30</v>
      </c>
      <c r="AX93" s="1032">
        <f>AW93*(списки!$C$56-AU93)</f>
        <v>726</v>
      </c>
      <c r="AY93" s="1033">
        <v>5.5</v>
      </c>
      <c r="AZ93" s="1033"/>
      <c r="BA93" s="1033">
        <f t="shared" si="19"/>
        <v>25.5</v>
      </c>
      <c r="BB93" s="1033">
        <f>BA93*(списки!$C$56-AY93)</f>
        <v>369.75</v>
      </c>
      <c r="BC93" s="1034">
        <v>13.6</v>
      </c>
      <c r="BD93" s="1034"/>
      <c r="BE93" s="1034">
        <f t="shared" si="20"/>
        <v>0</v>
      </c>
      <c r="BF93" s="1035">
        <f>BE93*(списки!$C$56-BC93)</f>
        <v>0</v>
      </c>
      <c r="BG93" s="1424">
        <v>8613.2071428571435</v>
      </c>
      <c r="BH93" s="1424">
        <v>8081.9732142857174</v>
      </c>
    </row>
    <row r="94" spans="2:60" ht="15.75" customHeight="1" x14ac:dyDescent="0.25">
      <c r="B94" s="1038" t="s">
        <v>71</v>
      </c>
      <c r="C94" s="1038" t="s">
        <v>641</v>
      </c>
      <c r="D94" s="1015" t="str">
        <f t="shared" si="11"/>
        <v>Иркутская областьИлимск</v>
      </c>
      <c r="E94" s="1016">
        <v>255</v>
      </c>
      <c r="F94" s="1017">
        <v>-11</v>
      </c>
      <c r="G94" s="1017">
        <v>-45</v>
      </c>
      <c r="H94" s="1019">
        <v>3</v>
      </c>
      <c r="I94" s="1020">
        <f>E94*(списки!$C$56-F94)</f>
        <v>7905</v>
      </c>
      <c r="J94" s="1021" t="str">
        <f t="shared" si="12"/>
        <v>7000-8000</v>
      </c>
      <c r="K94" s="1022">
        <v>17.600000000000001</v>
      </c>
      <c r="L94" s="1022"/>
      <c r="M94" s="1023">
        <f t="shared" si="13"/>
        <v>0</v>
      </c>
      <c r="N94" s="1024">
        <f>M94*(списки!$C$56-K94)</f>
        <v>0</v>
      </c>
      <c r="O94" s="1025">
        <v>14.2</v>
      </c>
      <c r="P94" s="1025"/>
      <c r="Q94" s="1025">
        <f t="shared" si="14"/>
        <v>0</v>
      </c>
      <c r="R94" s="1025">
        <f>Q94*(списки!$C$56-O94)</f>
        <v>0</v>
      </c>
      <c r="S94" s="1026">
        <v>6.6</v>
      </c>
      <c r="T94" s="1026"/>
      <c r="U94" s="1026">
        <f t="shared" si="21"/>
        <v>21.5</v>
      </c>
      <c r="V94" s="1026">
        <f>U94*(списки!$C$56-S94)</f>
        <v>288.10000000000002</v>
      </c>
      <c r="W94" s="1027">
        <v>-2</v>
      </c>
      <c r="X94" s="1027"/>
      <c r="Y94" s="1027">
        <f t="shared" si="15"/>
        <v>31</v>
      </c>
      <c r="Z94" s="1027">
        <f>Y94*(списки!$C$56-W94)</f>
        <v>682</v>
      </c>
      <c r="AA94" s="1028">
        <v>-14.8</v>
      </c>
      <c r="AB94" s="1028"/>
      <c r="AC94" s="1028">
        <f t="shared" si="16"/>
        <v>30</v>
      </c>
      <c r="AD94" s="1028">
        <f>AC94*(списки!$C$56-AA94)</f>
        <v>1044</v>
      </c>
      <c r="AE94" s="1029">
        <v>-23.8</v>
      </c>
      <c r="AF94" s="1029"/>
      <c r="AG94" s="1029">
        <v>31</v>
      </c>
      <c r="AH94" s="1029">
        <f>AG94*(списки!$C$56-AE94)</f>
        <v>1357.8</v>
      </c>
      <c r="AI94" s="1030">
        <v>-25.4</v>
      </c>
      <c r="AJ94" s="1030"/>
      <c r="AK94" s="1030">
        <v>31</v>
      </c>
      <c r="AL94" s="1030">
        <f>AK94*(списки!$C$56-AI94)</f>
        <v>1407.3999999999999</v>
      </c>
      <c r="AM94" s="1031">
        <v>-22</v>
      </c>
      <c r="AN94" s="1031"/>
      <c r="AO94" s="1031">
        <v>28</v>
      </c>
      <c r="AP94" s="1031">
        <f>AO94*(списки!$C$56-AM94)</f>
        <v>1176</v>
      </c>
      <c r="AQ94" s="1026">
        <v>-12.6</v>
      </c>
      <c r="AR94" s="1026"/>
      <c r="AS94" s="1026">
        <f t="shared" si="17"/>
        <v>31</v>
      </c>
      <c r="AT94" s="1026">
        <f>AS94*(списки!$C$56-AQ94)</f>
        <v>1010.6</v>
      </c>
      <c r="AU94" s="1032">
        <v>-1.6</v>
      </c>
      <c r="AV94" s="1032"/>
      <c r="AW94" s="1032">
        <f t="shared" si="18"/>
        <v>30</v>
      </c>
      <c r="AX94" s="1032">
        <f>AW94*(списки!$C$56-AU94)</f>
        <v>648</v>
      </c>
      <c r="AY94" s="1033">
        <v>6.3</v>
      </c>
      <c r="AZ94" s="1033"/>
      <c r="BA94" s="1033">
        <f t="shared" si="19"/>
        <v>21.5</v>
      </c>
      <c r="BB94" s="1033">
        <f>BA94*(списки!$C$56-AY94)</f>
        <v>294.55</v>
      </c>
      <c r="BC94" s="1034">
        <v>14.2</v>
      </c>
      <c r="BD94" s="1034"/>
      <c r="BE94" s="1034">
        <f t="shared" si="20"/>
        <v>0</v>
      </c>
      <c r="BF94" s="1035">
        <f>BE94*(списки!$C$56-BC94)</f>
        <v>0</v>
      </c>
      <c r="BG94" s="1424" t="e">
        <v>#N/A</v>
      </c>
      <c r="BH94" s="1424" t="e">
        <v>#N/A</v>
      </c>
    </row>
    <row r="95" spans="2:60" ht="15.75" customHeight="1" x14ac:dyDescent="0.25">
      <c r="B95" s="1014" t="s">
        <v>71</v>
      </c>
      <c r="C95" s="1014" t="s">
        <v>77</v>
      </c>
      <c r="D95" s="1015" t="str">
        <f t="shared" si="11"/>
        <v>Иркутская областьИркутск</v>
      </c>
      <c r="E95" s="1016">
        <v>232</v>
      </c>
      <c r="F95" s="1017">
        <v>-7.7</v>
      </c>
      <c r="G95" s="1017">
        <v>-33</v>
      </c>
      <c r="H95" s="1019">
        <v>3</v>
      </c>
      <c r="I95" s="1020">
        <f>E95*(списки!$C$56-F95)</f>
        <v>6426.4</v>
      </c>
      <c r="J95" s="1021" t="str">
        <f t="shared" si="12"/>
        <v>6000-7000</v>
      </c>
      <c r="K95" s="1022">
        <v>18.100000000000001</v>
      </c>
      <c r="L95" s="1022"/>
      <c r="M95" s="1023">
        <f t="shared" si="13"/>
        <v>0</v>
      </c>
      <c r="N95" s="1024">
        <f>M95*(списки!$C$56-K95)</f>
        <v>0</v>
      </c>
      <c r="O95" s="1025">
        <v>15.5</v>
      </c>
      <c r="P95" s="1025"/>
      <c r="Q95" s="1025">
        <f t="shared" si="14"/>
        <v>0</v>
      </c>
      <c r="R95" s="1025">
        <f>Q95*(списки!$C$56-O95)</f>
        <v>0</v>
      </c>
      <c r="S95" s="1026">
        <v>9</v>
      </c>
      <c r="T95" s="1026"/>
      <c r="U95" s="1026">
        <f t="shared" si="21"/>
        <v>10</v>
      </c>
      <c r="V95" s="1026">
        <f>U95*(списки!$C$56-S95)</f>
        <v>110</v>
      </c>
      <c r="W95" s="1027">
        <v>1.5</v>
      </c>
      <c r="X95" s="1027"/>
      <c r="Y95" s="1027">
        <f t="shared" si="15"/>
        <v>31</v>
      </c>
      <c r="Z95" s="1027">
        <f>Y95*(списки!$C$56-W95)</f>
        <v>573.5</v>
      </c>
      <c r="AA95" s="1028">
        <v>-7.9</v>
      </c>
      <c r="AB95" s="1028"/>
      <c r="AC95" s="1028">
        <f t="shared" si="16"/>
        <v>30</v>
      </c>
      <c r="AD95" s="1028">
        <f>AC95*(списки!$C$56-AA95)</f>
        <v>837</v>
      </c>
      <c r="AE95" s="1029">
        <v>-15.9</v>
      </c>
      <c r="AF95" s="1029"/>
      <c r="AG95" s="1029">
        <v>31</v>
      </c>
      <c r="AH95" s="1029">
        <f>AG95*(списки!$C$56-AE95)</f>
        <v>1112.8999999999999</v>
      </c>
      <c r="AI95" s="1030">
        <v>-18.5</v>
      </c>
      <c r="AJ95" s="1030"/>
      <c r="AK95" s="1030">
        <v>31</v>
      </c>
      <c r="AL95" s="1030">
        <f>AK95*(списки!$C$56-AI95)</f>
        <v>1193.5</v>
      </c>
      <c r="AM95" s="1031">
        <v>-15.5</v>
      </c>
      <c r="AN95" s="1031"/>
      <c r="AO95" s="1031">
        <v>28</v>
      </c>
      <c r="AP95" s="1031">
        <f>AO95*(списки!$C$56-AM95)</f>
        <v>994</v>
      </c>
      <c r="AQ95" s="1026">
        <v>-7</v>
      </c>
      <c r="AR95" s="1026"/>
      <c r="AS95" s="1026">
        <f t="shared" si="17"/>
        <v>31</v>
      </c>
      <c r="AT95" s="1026">
        <f>AS95*(списки!$C$56-AQ95)</f>
        <v>837</v>
      </c>
      <c r="AU95" s="1032">
        <v>2.1</v>
      </c>
      <c r="AV95" s="1032"/>
      <c r="AW95" s="1032">
        <f t="shared" si="18"/>
        <v>30</v>
      </c>
      <c r="AX95" s="1032">
        <f>AW95*(списки!$C$56-AU95)</f>
        <v>537</v>
      </c>
      <c r="AY95" s="1033">
        <v>9.8000000000000007</v>
      </c>
      <c r="AZ95" s="1033"/>
      <c r="BA95" s="1033">
        <f t="shared" si="19"/>
        <v>10</v>
      </c>
      <c r="BB95" s="1033">
        <f>BA95*(списки!$C$56-AY95)</f>
        <v>102</v>
      </c>
      <c r="BC95" s="1034">
        <v>15.5</v>
      </c>
      <c r="BD95" s="1034"/>
      <c r="BE95" s="1034">
        <f t="shared" si="20"/>
        <v>0</v>
      </c>
      <c r="BF95" s="1035">
        <f>BE95*(списки!$C$56-BC95)</f>
        <v>0</v>
      </c>
      <c r="BG95" s="1424">
        <v>6208.8303571428587</v>
      </c>
      <c r="BH95" s="1424">
        <v>5784.824999999998</v>
      </c>
    </row>
    <row r="96" spans="2:60" ht="15.75" customHeight="1" x14ac:dyDescent="0.25">
      <c r="B96" s="1038" t="s">
        <v>71</v>
      </c>
      <c r="C96" s="1038" t="s">
        <v>75</v>
      </c>
      <c r="D96" s="1015" t="str">
        <f t="shared" si="11"/>
        <v>Иркутская областьИчера</v>
      </c>
      <c r="E96" s="1016">
        <v>254</v>
      </c>
      <c r="F96" s="1017">
        <v>-12.9</v>
      </c>
      <c r="G96" s="1017">
        <v>-50</v>
      </c>
      <c r="H96" s="1019">
        <v>3</v>
      </c>
      <c r="I96" s="1020">
        <f>E96*(списки!$C$56-F96)</f>
        <v>8356.6</v>
      </c>
      <c r="J96" s="1021" t="str">
        <f t="shared" si="12"/>
        <v>8000-9000</v>
      </c>
      <c r="K96" s="1022">
        <v>17.600000000000001</v>
      </c>
      <c r="L96" s="1022"/>
      <c r="M96" s="1023">
        <f t="shared" si="13"/>
        <v>0</v>
      </c>
      <c r="N96" s="1024">
        <f>M96*(списки!$C$56-K96)</f>
        <v>0</v>
      </c>
      <c r="O96" s="1025">
        <v>14</v>
      </c>
      <c r="P96" s="1025"/>
      <c r="Q96" s="1025">
        <f t="shared" si="14"/>
        <v>0</v>
      </c>
      <c r="R96" s="1025">
        <f>Q96*(списки!$C$56-O96)</f>
        <v>0</v>
      </c>
      <c r="S96" s="1026">
        <v>6.6</v>
      </c>
      <c r="T96" s="1026"/>
      <c r="U96" s="1026">
        <f t="shared" si="21"/>
        <v>21</v>
      </c>
      <c r="V96" s="1026">
        <f>U96*(списки!$C$56-S96)</f>
        <v>281.40000000000003</v>
      </c>
      <c r="W96" s="1027">
        <v>-3</v>
      </c>
      <c r="X96" s="1027"/>
      <c r="Y96" s="1027">
        <f t="shared" si="15"/>
        <v>31</v>
      </c>
      <c r="Z96" s="1027">
        <f>Y96*(списки!$C$56-W96)</f>
        <v>713</v>
      </c>
      <c r="AA96" s="1028">
        <v>-17.600000000000001</v>
      </c>
      <c r="AB96" s="1028"/>
      <c r="AC96" s="1028">
        <f t="shared" si="16"/>
        <v>30</v>
      </c>
      <c r="AD96" s="1028">
        <f>AC96*(списки!$C$56-AA96)</f>
        <v>1128</v>
      </c>
      <c r="AE96" s="1029">
        <v>-26.7</v>
      </c>
      <c r="AF96" s="1029"/>
      <c r="AG96" s="1029">
        <v>31</v>
      </c>
      <c r="AH96" s="1029">
        <f>AG96*(списки!$C$56-AE96)</f>
        <v>1447.7</v>
      </c>
      <c r="AI96" s="1030">
        <v>-28.2</v>
      </c>
      <c r="AJ96" s="1030"/>
      <c r="AK96" s="1030">
        <v>31</v>
      </c>
      <c r="AL96" s="1030">
        <f>AK96*(списки!$C$56-AI96)</f>
        <v>1494.2</v>
      </c>
      <c r="AM96" s="1031">
        <v>-25.4</v>
      </c>
      <c r="AN96" s="1031"/>
      <c r="AO96" s="1031">
        <v>28</v>
      </c>
      <c r="AP96" s="1031">
        <f>AO96*(списки!$C$56-AM96)</f>
        <v>1271.2</v>
      </c>
      <c r="AQ96" s="1026">
        <v>-14.6</v>
      </c>
      <c r="AR96" s="1026"/>
      <c r="AS96" s="1026">
        <f t="shared" si="17"/>
        <v>31</v>
      </c>
      <c r="AT96" s="1026">
        <f>AS96*(списки!$C$56-AQ96)</f>
        <v>1072.6000000000001</v>
      </c>
      <c r="AU96" s="1032">
        <v>-2.7</v>
      </c>
      <c r="AV96" s="1032"/>
      <c r="AW96" s="1032">
        <f t="shared" si="18"/>
        <v>30</v>
      </c>
      <c r="AX96" s="1032">
        <f>AW96*(списки!$C$56-AU96)</f>
        <v>681</v>
      </c>
      <c r="AY96" s="1033">
        <v>6.4</v>
      </c>
      <c r="AZ96" s="1033"/>
      <c r="BA96" s="1033">
        <f t="shared" si="19"/>
        <v>21</v>
      </c>
      <c r="BB96" s="1033">
        <f>BA96*(списки!$C$56-AY96)</f>
        <v>285.59999999999997</v>
      </c>
      <c r="BC96" s="1034">
        <v>14.6</v>
      </c>
      <c r="BD96" s="1034"/>
      <c r="BE96" s="1034">
        <f t="shared" si="20"/>
        <v>0</v>
      </c>
      <c r="BF96" s="1035">
        <f>BE96*(списки!$C$56-BC96)</f>
        <v>0</v>
      </c>
      <c r="BG96" s="1424" t="e">
        <v>#N/A</v>
      </c>
      <c r="BH96" s="1424" t="e">
        <v>#N/A</v>
      </c>
    </row>
    <row r="97" spans="2:60" ht="15.75" customHeight="1" x14ac:dyDescent="0.25">
      <c r="B97" s="1014" t="s">
        <v>71</v>
      </c>
      <c r="C97" s="1014" t="s">
        <v>78</v>
      </c>
      <c r="D97" s="1015" t="str">
        <f t="shared" si="11"/>
        <v>Иркутская областьКиренск</v>
      </c>
      <c r="E97" s="1016">
        <v>251</v>
      </c>
      <c r="F97" s="1017">
        <v>-12.8</v>
      </c>
      <c r="G97" s="1017">
        <v>-49</v>
      </c>
      <c r="H97" s="1019">
        <v>3.6</v>
      </c>
      <c r="I97" s="1020">
        <f>E97*(списки!$C$56-F97)</f>
        <v>8232.7999999999993</v>
      </c>
      <c r="J97" s="1021" t="str">
        <f t="shared" si="12"/>
        <v>8000-9000</v>
      </c>
      <c r="K97" s="1022">
        <v>18.100000000000001</v>
      </c>
      <c r="L97" s="1022"/>
      <c r="M97" s="1023">
        <f t="shared" si="13"/>
        <v>0</v>
      </c>
      <c r="N97" s="1024">
        <f>M97*(списки!$C$56-K97)</f>
        <v>0</v>
      </c>
      <c r="O97" s="1025">
        <v>14.8</v>
      </c>
      <c r="P97" s="1025"/>
      <c r="Q97" s="1025">
        <f t="shared" si="14"/>
        <v>0</v>
      </c>
      <c r="R97" s="1025">
        <f>Q97*(списки!$C$56-O97)</f>
        <v>0</v>
      </c>
      <c r="S97" s="1026">
        <v>6.8</v>
      </c>
      <c r="T97" s="1026"/>
      <c r="U97" s="1026">
        <f t="shared" si="21"/>
        <v>19.5</v>
      </c>
      <c r="V97" s="1026">
        <f>U97*(списки!$C$56-S97)</f>
        <v>257.39999999999998</v>
      </c>
      <c r="W97" s="1027">
        <v>-2.6</v>
      </c>
      <c r="X97" s="1027"/>
      <c r="Y97" s="1027">
        <f t="shared" si="15"/>
        <v>31</v>
      </c>
      <c r="Z97" s="1027">
        <f>Y97*(списки!$C$56-W97)</f>
        <v>700.6</v>
      </c>
      <c r="AA97" s="1028">
        <v>-15.5</v>
      </c>
      <c r="AB97" s="1028"/>
      <c r="AC97" s="1028">
        <f t="shared" si="16"/>
        <v>30</v>
      </c>
      <c r="AD97" s="1028">
        <f>AC97*(списки!$C$56-AA97)</f>
        <v>1065</v>
      </c>
      <c r="AE97" s="1029">
        <v>-24.9</v>
      </c>
      <c r="AF97" s="1029"/>
      <c r="AG97" s="1029">
        <v>31</v>
      </c>
      <c r="AH97" s="1029">
        <f>AG97*(списки!$C$56-AE97)</f>
        <v>1391.8999999999999</v>
      </c>
      <c r="AI97" s="1030">
        <v>-27.2</v>
      </c>
      <c r="AJ97" s="1030"/>
      <c r="AK97" s="1030">
        <v>31</v>
      </c>
      <c r="AL97" s="1030">
        <f>AK97*(списки!$C$56-AI97)</f>
        <v>1463.2</v>
      </c>
      <c r="AM97" s="1031">
        <v>-24</v>
      </c>
      <c r="AN97" s="1031"/>
      <c r="AO97" s="1031">
        <v>28</v>
      </c>
      <c r="AP97" s="1031">
        <f>AO97*(списки!$C$56-AM97)</f>
        <v>1232</v>
      </c>
      <c r="AQ97" s="1026">
        <v>-13.3</v>
      </c>
      <c r="AR97" s="1026"/>
      <c r="AS97" s="1026">
        <f t="shared" si="17"/>
        <v>31</v>
      </c>
      <c r="AT97" s="1026">
        <f>AS97*(списки!$C$56-AQ97)</f>
        <v>1032.3</v>
      </c>
      <c r="AU97" s="1032">
        <v>-1.8</v>
      </c>
      <c r="AV97" s="1032"/>
      <c r="AW97" s="1032">
        <f t="shared" si="18"/>
        <v>30</v>
      </c>
      <c r="AX97" s="1032">
        <f>AW97*(списки!$C$56-AU97)</f>
        <v>654</v>
      </c>
      <c r="AY97" s="1033">
        <v>7.3</v>
      </c>
      <c r="AZ97" s="1033"/>
      <c r="BA97" s="1033">
        <f t="shared" si="19"/>
        <v>19.5</v>
      </c>
      <c r="BB97" s="1033">
        <f>BA97*(списки!$C$56-AY97)</f>
        <v>247.64999999999998</v>
      </c>
      <c r="BC97" s="1034">
        <v>15.2</v>
      </c>
      <c r="BD97" s="1034"/>
      <c r="BE97" s="1034">
        <f t="shared" si="20"/>
        <v>0</v>
      </c>
      <c r="BF97" s="1035">
        <f>BE97*(списки!$C$56-BC97)</f>
        <v>0</v>
      </c>
      <c r="BG97" s="1424">
        <v>7852.2660714285676</v>
      </c>
      <c r="BH97" s="1424">
        <v>7561.8625000000038</v>
      </c>
    </row>
    <row r="98" spans="2:60" ht="15.75" customHeight="1" x14ac:dyDescent="0.25">
      <c r="B98" s="1038" t="s">
        <v>71</v>
      </c>
      <c r="C98" s="1038" t="s">
        <v>79</v>
      </c>
      <c r="D98" s="1015" t="str">
        <f t="shared" si="11"/>
        <v>Иркутская областьМама</v>
      </c>
      <c r="E98" s="1016">
        <v>255</v>
      </c>
      <c r="F98" s="1017">
        <v>-12.6</v>
      </c>
      <c r="G98" s="1017">
        <v>-46</v>
      </c>
      <c r="H98" s="1019">
        <v>3</v>
      </c>
      <c r="I98" s="1020">
        <f>E98*(списки!$C$56-F98)</f>
        <v>8313</v>
      </c>
      <c r="J98" s="1021" t="str">
        <f t="shared" si="12"/>
        <v>8000-9000</v>
      </c>
      <c r="K98" s="1022">
        <v>17.899999999999999</v>
      </c>
      <c r="L98" s="1022"/>
      <c r="M98" s="1023">
        <f t="shared" si="13"/>
        <v>0</v>
      </c>
      <c r="N98" s="1024">
        <f>M98*(списки!$C$56-K98)</f>
        <v>0</v>
      </c>
      <c r="O98" s="1025">
        <v>14.4</v>
      </c>
      <c r="P98" s="1025"/>
      <c r="Q98" s="1025">
        <f t="shared" si="14"/>
        <v>0</v>
      </c>
      <c r="R98" s="1025">
        <f>Q98*(списки!$C$56-O98)</f>
        <v>0</v>
      </c>
      <c r="S98" s="1026">
        <v>6.8</v>
      </c>
      <c r="T98" s="1026"/>
      <c r="U98" s="1026">
        <f t="shared" si="21"/>
        <v>21.5</v>
      </c>
      <c r="V98" s="1026">
        <f>U98*(списки!$C$56-S98)</f>
        <v>283.8</v>
      </c>
      <c r="W98" s="1027">
        <v>-2.1</v>
      </c>
      <c r="X98" s="1027"/>
      <c r="Y98" s="1027">
        <f t="shared" si="15"/>
        <v>31</v>
      </c>
      <c r="Z98" s="1027">
        <f>Y98*(списки!$C$56-W98)</f>
        <v>685.1</v>
      </c>
      <c r="AA98" s="1028">
        <v>-17.399999999999999</v>
      </c>
      <c r="AB98" s="1028"/>
      <c r="AC98" s="1028">
        <f t="shared" si="16"/>
        <v>30</v>
      </c>
      <c r="AD98" s="1028">
        <f>AC98*(списки!$C$56-AA98)</f>
        <v>1122</v>
      </c>
      <c r="AE98" s="1029">
        <v>-26.1</v>
      </c>
      <c r="AF98" s="1029"/>
      <c r="AG98" s="1029">
        <v>31</v>
      </c>
      <c r="AH98" s="1029">
        <f>AG98*(списки!$C$56-AE98)</f>
        <v>1429.1000000000001</v>
      </c>
      <c r="AI98" s="1030">
        <v>-28.9</v>
      </c>
      <c r="AJ98" s="1030"/>
      <c r="AK98" s="1030">
        <v>31</v>
      </c>
      <c r="AL98" s="1030">
        <f>AK98*(списки!$C$56-AI98)</f>
        <v>1515.8999999999999</v>
      </c>
      <c r="AM98" s="1031">
        <v>-23.9</v>
      </c>
      <c r="AN98" s="1031"/>
      <c r="AO98" s="1031">
        <v>28</v>
      </c>
      <c r="AP98" s="1031">
        <f>AO98*(списки!$C$56-AM98)</f>
        <v>1229.2</v>
      </c>
      <c r="AQ98" s="1026">
        <v>-14.3</v>
      </c>
      <c r="AR98" s="1026"/>
      <c r="AS98" s="1026">
        <f t="shared" si="17"/>
        <v>31</v>
      </c>
      <c r="AT98" s="1026">
        <f>AS98*(списки!$C$56-AQ98)</f>
        <v>1063.3</v>
      </c>
      <c r="AU98" s="1032">
        <v>-2.8</v>
      </c>
      <c r="AV98" s="1032"/>
      <c r="AW98" s="1032">
        <f t="shared" si="18"/>
        <v>30</v>
      </c>
      <c r="AX98" s="1032">
        <f>AW98*(списки!$C$56-AU98)</f>
        <v>684</v>
      </c>
      <c r="AY98" s="1033">
        <v>5.9</v>
      </c>
      <c r="AZ98" s="1033"/>
      <c r="BA98" s="1033">
        <f t="shared" si="19"/>
        <v>21.5</v>
      </c>
      <c r="BB98" s="1033">
        <f>BA98*(списки!$C$56-AY98)</f>
        <v>303.14999999999998</v>
      </c>
      <c r="BC98" s="1034">
        <v>14.1</v>
      </c>
      <c r="BD98" s="1034"/>
      <c r="BE98" s="1034">
        <f t="shared" si="20"/>
        <v>0</v>
      </c>
      <c r="BF98" s="1035">
        <f>BE98*(списки!$C$56-BC98)</f>
        <v>0</v>
      </c>
      <c r="BG98" s="1424">
        <v>7903.0999999999976</v>
      </c>
      <c r="BH98" s="1424">
        <v>8009.6714285714306</v>
      </c>
    </row>
    <row r="99" spans="2:60" ht="15.75" customHeight="1" x14ac:dyDescent="0.25">
      <c r="B99" s="1014" t="s">
        <v>71</v>
      </c>
      <c r="C99" s="1014" t="s">
        <v>62</v>
      </c>
      <c r="D99" s="1015" t="str">
        <f t="shared" si="11"/>
        <v>Иркутская областьМарково</v>
      </c>
      <c r="E99" s="1016">
        <v>250</v>
      </c>
      <c r="F99" s="1017">
        <v>-12.3</v>
      </c>
      <c r="G99" s="1017">
        <v>-49</v>
      </c>
      <c r="H99" s="1019">
        <v>4.2</v>
      </c>
      <c r="I99" s="1020">
        <f>E99*(списки!$C$56-F99)</f>
        <v>8074.9999999999991</v>
      </c>
      <c r="J99" s="1021" t="str">
        <f t="shared" si="12"/>
        <v>8000-9000</v>
      </c>
      <c r="K99" s="1022">
        <v>18</v>
      </c>
      <c r="L99" s="1022"/>
      <c r="M99" s="1023">
        <f t="shared" si="13"/>
        <v>0</v>
      </c>
      <c r="N99" s="1024">
        <f>M99*(списки!$C$56-K99)</f>
        <v>0</v>
      </c>
      <c r="O99" s="1025">
        <v>14.7</v>
      </c>
      <c r="P99" s="1025"/>
      <c r="Q99" s="1025">
        <f t="shared" si="14"/>
        <v>0</v>
      </c>
      <c r="R99" s="1025">
        <f>Q99*(списки!$C$56-O99)</f>
        <v>0</v>
      </c>
      <c r="S99" s="1026">
        <v>7.1</v>
      </c>
      <c r="T99" s="1026"/>
      <c r="U99" s="1026">
        <f t="shared" si="21"/>
        <v>19</v>
      </c>
      <c r="V99" s="1026">
        <f>U99*(списки!$C$56-S99)</f>
        <v>245.1</v>
      </c>
      <c r="W99" s="1027">
        <v>-2</v>
      </c>
      <c r="X99" s="1027"/>
      <c r="Y99" s="1027">
        <f t="shared" si="15"/>
        <v>31</v>
      </c>
      <c r="Z99" s="1027">
        <f>Y99*(списки!$C$56-W99)</f>
        <v>682</v>
      </c>
      <c r="AA99" s="1028">
        <v>-15.8</v>
      </c>
      <c r="AB99" s="1028"/>
      <c r="AC99" s="1028">
        <f t="shared" si="16"/>
        <v>30</v>
      </c>
      <c r="AD99" s="1028">
        <f>AC99*(списки!$C$56-AA99)</f>
        <v>1074</v>
      </c>
      <c r="AE99" s="1029">
        <v>-26</v>
      </c>
      <c r="AF99" s="1029"/>
      <c r="AG99" s="1029">
        <v>31</v>
      </c>
      <c r="AH99" s="1029">
        <f>AG99*(списки!$C$56-AE99)</f>
        <v>1426</v>
      </c>
      <c r="AI99" s="1030">
        <v>-27.8</v>
      </c>
      <c r="AJ99" s="1030"/>
      <c r="AK99" s="1030">
        <v>31</v>
      </c>
      <c r="AL99" s="1030">
        <f>AK99*(списки!$C$56-AI99)</f>
        <v>1481.8</v>
      </c>
      <c r="AM99" s="1031">
        <v>-23.3</v>
      </c>
      <c r="AN99" s="1031"/>
      <c r="AO99" s="1031">
        <v>28</v>
      </c>
      <c r="AP99" s="1031">
        <f>AO99*(списки!$C$56-AM99)</f>
        <v>1212.3999999999999</v>
      </c>
      <c r="AQ99" s="1026">
        <v>-13.7</v>
      </c>
      <c r="AR99" s="1026"/>
      <c r="AS99" s="1026">
        <f t="shared" si="17"/>
        <v>31</v>
      </c>
      <c r="AT99" s="1026">
        <f>AS99*(списки!$C$56-AQ99)</f>
        <v>1044.7</v>
      </c>
      <c r="AU99" s="1032">
        <v>-1.8</v>
      </c>
      <c r="AV99" s="1032"/>
      <c r="AW99" s="1032">
        <f t="shared" si="18"/>
        <v>30</v>
      </c>
      <c r="AX99" s="1032">
        <f>AW99*(списки!$C$56-AU99)</f>
        <v>654</v>
      </c>
      <c r="AY99" s="1033">
        <v>7.1</v>
      </c>
      <c r="AZ99" s="1033"/>
      <c r="BA99" s="1033">
        <f t="shared" si="19"/>
        <v>19</v>
      </c>
      <c r="BB99" s="1033">
        <f>BA99*(списки!$C$56-AY99)</f>
        <v>245.1</v>
      </c>
      <c r="BC99" s="1034">
        <v>15.2</v>
      </c>
      <c r="BD99" s="1034"/>
      <c r="BE99" s="1034">
        <f t="shared" si="20"/>
        <v>0</v>
      </c>
      <c r="BF99" s="1035">
        <f>BE99*(списки!$C$56-BC99)</f>
        <v>0</v>
      </c>
      <c r="BG99" s="1424" t="e">
        <v>#N/A</v>
      </c>
      <c r="BH99" s="1424" t="e">
        <v>#N/A</v>
      </c>
    </row>
    <row r="100" spans="2:60" ht="15.75" customHeight="1" x14ac:dyDescent="0.25">
      <c r="B100" s="1038" t="s">
        <v>71</v>
      </c>
      <c r="C100" s="1038" t="s">
        <v>642</v>
      </c>
      <c r="D100" s="1015" t="str">
        <f t="shared" si="11"/>
        <v>Иркутская областьНаканно</v>
      </c>
      <c r="E100" s="1016">
        <v>266</v>
      </c>
      <c r="F100" s="1017">
        <v>-16.899999999999999</v>
      </c>
      <c r="G100" s="1017">
        <v>-54</v>
      </c>
      <c r="H100" s="1019">
        <v>3</v>
      </c>
      <c r="I100" s="1020">
        <f>E100*(списки!$C$56-F100)</f>
        <v>9815.4</v>
      </c>
      <c r="J100" s="1021" t="str">
        <f t="shared" si="12"/>
        <v>9000-10000</v>
      </c>
      <c r="K100" s="1022">
        <v>17</v>
      </c>
      <c r="L100" s="1022"/>
      <c r="M100" s="1023">
        <f t="shared" si="13"/>
        <v>0</v>
      </c>
      <c r="N100" s="1024">
        <f>M100*(списки!$C$56-K100)</f>
        <v>0</v>
      </c>
      <c r="O100" s="1025">
        <v>13</v>
      </c>
      <c r="P100" s="1025"/>
      <c r="Q100" s="1025">
        <f t="shared" si="14"/>
        <v>0</v>
      </c>
      <c r="R100" s="1025">
        <f>Q100*(списки!$C$56-O100)</f>
        <v>0</v>
      </c>
      <c r="S100" s="1026">
        <v>4.9000000000000004</v>
      </c>
      <c r="T100" s="1026"/>
      <c r="U100" s="1026">
        <f t="shared" si="21"/>
        <v>27</v>
      </c>
      <c r="V100" s="1026">
        <f>U100*(списки!$C$56-S100)</f>
        <v>407.7</v>
      </c>
      <c r="W100" s="1027">
        <v>-6.8</v>
      </c>
      <c r="X100" s="1027"/>
      <c r="Y100" s="1027">
        <f t="shared" si="15"/>
        <v>31</v>
      </c>
      <c r="Z100" s="1027">
        <f>Y100*(списки!$C$56-W100)</f>
        <v>830.80000000000007</v>
      </c>
      <c r="AA100" s="1028">
        <v>-23.5</v>
      </c>
      <c r="AB100" s="1028"/>
      <c r="AC100" s="1028">
        <f t="shared" si="16"/>
        <v>30</v>
      </c>
      <c r="AD100" s="1028">
        <f>AC100*(списки!$C$56-AA100)</f>
        <v>1305</v>
      </c>
      <c r="AE100" s="1029">
        <v>-32.200000000000003</v>
      </c>
      <c r="AF100" s="1029"/>
      <c r="AG100" s="1029">
        <v>31</v>
      </c>
      <c r="AH100" s="1029">
        <f>AG100*(списки!$C$56-AE100)</f>
        <v>1618.2</v>
      </c>
      <c r="AI100" s="1030">
        <v>-34.6</v>
      </c>
      <c r="AJ100" s="1030"/>
      <c r="AK100" s="1030">
        <v>31</v>
      </c>
      <c r="AL100" s="1030">
        <f>AK100*(списки!$C$56-AI100)</f>
        <v>1692.6000000000001</v>
      </c>
      <c r="AM100" s="1031">
        <v>-30.3</v>
      </c>
      <c r="AN100" s="1031"/>
      <c r="AO100" s="1031">
        <v>28</v>
      </c>
      <c r="AP100" s="1031">
        <f>AO100*(списки!$C$56-AM100)</f>
        <v>1408.3999999999999</v>
      </c>
      <c r="AQ100" s="1026">
        <v>-17.7</v>
      </c>
      <c r="AR100" s="1026"/>
      <c r="AS100" s="1026">
        <f t="shared" si="17"/>
        <v>31</v>
      </c>
      <c r="AT100" s="1026">
        <f>AS100*(списки!$C$56-AQ100)</f>
        <v>1168.7</v>
      </c>
      <c r="AU100" s="1032">
        <v>-6.1</v>
      </c>
      <c r="AV100" s="1032"/>
      <c r="AW100" s="1032">
        <f t="shared" si="18"/>
        <v>30</v>
      </c>
      <c r="AX100" s="1032">
        <f>AW100*(списки!$C$56-AU100)</f>
        <v>783</v>
      </c>
      <c r="AY100" s="1033">
        <v>4.4000000000000004</v>
      </c>
      <c r="AZ100" s="1033"/>
      <c r="BA100" s="1033">
        <f t="shared" si="19"/>
        <v>27</v>
      </c>
      <c r="BB100" s="1033">
        <f>BA100*(списки!$C$56-AY100)</f>
        <v>421.2</v>
      </c>
      <c r="BC100" s="1034">
        <v>13.7</v>
      </c>
      <c r="BD100" s="1034"/>
      <c r="BE100" s="1034">
        <f t="shared" si="20"/>
        <v>0</v>
      </c>
      <c r="BF100" s="1035">
        <f>BE100*(списки!$C$56-BC100)</f>
        <v>0</v>
      </c>
      <c r="BG100" s="1424">
        <v>8691.0672619047655</v>
      </c>
      <c r="BH100" s="1424">
        <v>8615.0535714285706</v>
      </c>
    </row>
    <row r="101" spans="2:60" ht="15.75" customHeight="1" x14ac:dyDescent="0.25">
      <c r="B101" s="1014" t="s">
        <v>71</v>
      </c>
      <c r="C101" s="1014" t="s">
        <v>81</v>
      </c>
      <c r="D101" s="1015" t="str">
        <f t="shared" si="11"/>
        <v>Иркутская областьНевон</v>
      </c>
      <c r="E101" s="1016">
        <v>253</v>
      </c>
      <c r="F101" s="1017">
        <v>-11.1</v>
      </c>
      <c r="G101" s="1017">
        <v>-48</v>
      </c>
      <c r="H101" s="1019">
        <v>3</v>
      </c>
      <c r="I101" s="1020">
        <f>E101*(списки!$C$56-F101)</f>
        <v>7868.3</v>
      </c>
      <c r="J101" s="1021" t="str">
        <f t="shared" si="12"/>
        <v>7000-8000</v>
      </c>
      <c r="K101" s="1022">
        <v>17.600000000000001</v>
      </c>
      <c r="L101" s="1022"/>
      <c r="M101" s="1023">
        <f t="shared" si="13"/>
        <v>0</v>
      </c>
      <c r="N101" s="1024">
        <f>M101*(списки!$C$56-K101)</f>
        <v>0</v>
      </c>
      <c r="O101" s="1025">
        <v>14.1</v>
      </c>
      <c r="P101" s="1025"/>
      <c r="Q101" s="1025">
        <f t="shared" si="14"/>
        <v>0</v>
      </c>
      <c r="R101" s="1025">
        <f>Q101*(списки!$C$56-O101)</f>
        <v>0</v>
      </c>
      <c r="S101" s="1026">
        <v>6.9</v>
      </c>
      <c r="T101" s="1026"/>
      <c r="U101" s="1026">
        <f t="shared" si="21"/>
        <v>20.5</v>
      </c>
      <c r="V101" s="1026">
        <f>U101*(списки!$C$56-S101)</f>
        <v>268.55</v>
      </c>
      <c r="W101" s="1027">
        <v>-1.4</v>
      </c>
      <c r="X101" s="1027"/>
      <c r="Y101" s="1027">
        <f t="shared" si="15"/>
        <v>31</v>
      </c>
      <c r="Z101" s="1027">
        <f>Y101*(списки!$C$56-W101)</f>
        <v>663.4</v>
      </c>
      <c r="AA101" s="1028">
        <v>-14.4</v>
      </c>
      <c r="AB101" s="1028"/>
      <c r="AC101" s="1028">
        <f t="shared" si="16"/>
        <v>30</v>
      </c>
      <c r="AD101" s="1028">
        <f>AC101*(списки!$C$56-AA101)</f>
        <v>1032</v>
      </c>
      <c r="AE101" s="1029">
        <v>-23.4</v>
      </c>
      <c r="AF101" s="1029"/>
      <c r="AG101" s="1029">
        <v>31</v>
      </c>
      <c r="AH101" s="1029">
        <f>AG101*(списки!$C$56-AE101)</f>
        <v>1345.3999999999999</v>
      </c>
      <c r="AI101" s="1030">
        <v>-24.9</v>
      </c>
      <c r="AJ101" s="1030"/>
      <c r="AK101" s="1030">
        <v>31</v>
      </c>
      <c r="AL101" s="1030">
        <f>AK101*(списки!$C$56-AI101)</f>
        <v>1391.8999999999999</v>
      </c>
      <c r="AM101" s="1031">
        <v>-23.2</v>
      </c>
      <c r="AN101" s="1031"/>
      <c r="AO101" s="1031">
        <v>28</v>
      </c>
      <c r="AP101" s="1031">
        <f>AO101*(списки!$C$56-AM101)</f>
        <v>1209.6000000000001</v>
      </c>
      <c r="AQ101" s="1026">
        <v>-13.3</v>
      </c>
      <c r="AR101" s="1026"/>
      <c r="AS101" s="1026">
        <f t="shared" si="17"/>
        <v>31</v>
      </c>
      <c r="AT101" s="1026">
        <f>AS101*(списки!$C$56-AQ101)</f>
        <v>1032.3</v>
      </c>
      <c r="AU101" s="1032">
        <v>-1.8</v>
      </c>
      <c r="AV101" s="1032"/>
      <c r="AW101" s="1032">
        <f t="shared" si="18"/>
        <v>30</v>
      </c>
      <c r="AX101" s="1032">
        <f>AW101*(списки!$C$56-AU101)</f>
        <v>654</v>
      </c>
      <c r="AY101" s="1033">
        <v>6.5</v>
      </c>
      <c r="AZ101" s="1033"/>
      <c r="BA101" s="1033">
        <f t="shared" si="19"/>
        <v>20.5</v>
      </c>
      <c r="BB101" s="1033">
        <f>BA101*(списки!$C$56-AY101)</f>
        <v>276.75</v>
      </c>
      <c r="BC101" s="1034">
        <v>14.6</v>
      </c>
      <c r="BD101" s="1034"/>
      <c r="BE101" s="1034">
        <f t="shared" si="20"/>
        <v>0</v>
      </c>
      <c r="BF101" s="1035">
        <f>BE101*(списки!$C$56-BC101)</f>
        <v>0</v>
      </c>
      <c r="BG101" s="1424" t="e">
        <v>#N/A</v>
      </c>
      <c r="BH101" s="1424" t="e">
        <v>#N/A</v>
      </c>
    </row>
    <row r="102" spans="2:60" ht="15.75" customHeight="1" x14ac:dyDescent="0.25">
      <c r="B102" s="1038" t="s">
        <v>71</v>
      </c>
      <c r="C102" s="1038" t="s">
        <v>80</v>
      </c>
      <c r="D102" s="1015" t="str">
        <f t="shared" si="11"/>
        <v>Иркутская областьНепа</v>
      </c>
      <c r="E102" s="1016">
        <v>261</v>
      </c>
      <c r="F102" s="1017">
        <v>-12.9</v>
      </c>
      <c r="G102" s="1017">
        <v>-50</v>
      </c>
      <c r="H102" s="1019">
        <v>3</v>
      </c>
      <c r="I102" s="1020">
        <f>E102*(списки!$C$56-F102)</f>
        <v>8586.9</v>
      </c>
      <c r="J102" s="1021" t="str">
        <f t="shared" si="12"/>
        <v>8000-9000</v>
      </c>
      <c r="K102" s="1022">
        <v>16.8</v>
      </c>
      <c r="L102" s="1022"/>
      <c r="M102" s="1023">
        <f t="shared" si="13"/>
        <v>0</v>
      </c>
      <c r="N102" s="1024">
        <f>M102*(списки!$C$56-K102)</f>
        <v>0</v>
      </c>
      <c r="O102" s="1025">
        <v>12.9</v>
      </c>
      <c r="P102" s="1025"/>
      <c r="Q102" s="1025">
        <f t="shared" si="14"/>
        <v>0</v>
      </c>
      <c r="R102" s="1025">
        <f>Q102*(списки!$C$56-O102)</f>
        <v>0</v>
      </c>
      <c r="S102" s="1026">
        <v>5.7</v>
      </c>
      <c r="T102" s="1026"/>
      <c r="U102" s="1026">
        <f t="shared" si="21"/>
        <v>24.5</v>
      </c>
      <c r="V102" s="1026">
        <f>U102*(списки!$C$56-S102)</f>
        <v>350.35</v>
      </c>
      <c r="W102" s="1027">
        <v>-4</v>
      </c>
      <c r="X102" s="1027"/>
      <c r="Y102" s="1027">
        <f t="shared" si="15"/>
        <v>31</v>
      </c>
      <c r="Z102" s="1027">
        <f>Y102*(списки!$C$56-W102)</f>
        <v>744</v>
      </c>
      <c r="AA102" s="1028">
        <v>-18.5</v>
      </c>
      <c r="AB102" s="1028"/>
      <c r="AC102" s="1028">
        <f t="shared" si="16"/>
        <v>30</v>
      </c>
      <c r="AD102" s="1028">
        <f>AC102*(списки!$C$56-AA102)</f>
        <v>1155</v>
      </c>
      <c r="AE102" s="1029">
        <v>-27.2</v>
      </c>
      <c r="AF102" s="1029"/>
      <c r="AG102" s="1029">
        <v>31</v>
      </c>
      <c r="AH102" s="1029">
        <f>AG102*(списки!$C$56-AE102)</f>
        <v>1463.2</v>
      </c>
      <c r="AI102" s="1030">
        <v>-27.9</v>
      </c>
      <c r="AJ102" s="1030"/>
      <c r="AK102" s="1030">
        <v>31</v>
      </c>
      <c r="AL102" s="1030">
        <f>AK102*(списки!$C$56-AI102)</f>
        <v>1484.8999999999999</v>
      </c>
      <c r="AM102" s="1031">
        <v>-25.4</v>
      </c>
      <c r="AN102" s="1031"/>
      <c r="AO102" s="1031">
        <v>28</v>
      </c>
      <c r="AP102" s="1031">
        <f>AO102*(списки!$C$56-AM102)</f>
        <v>1271.2</v>
      </c>
      <c r="AQ102" s="1026">
        <v>-14.6</v>
      </c>
      <c r="AR102" s="1026"/>
      <c r="AS102" s="1026">
        <f t="shared" si="17"/>
        <v>31</v>
      </c>
      <c r="AT102" s="1026">
        <f>AS102*(списки!$C$56-AQ102)</f>
        <v>1072.6000000000001</v>
      </c>
      <c r="AU102" s="1032">
        <v>-3.5</v>
      </c>
      <c r="AV102" s="1032"/>
      <c r="AW102" s="1032">
        <f t="shared" si="18"/>
        <v>30</v>
      </c>
      <c r="AX102" s="1032">
        <f>AW102*(списки!$C$56-AU102)</f>
        <v>705</v>
      </c>
      <c r="AY102" s="1033">
        <v>5.6</v>
      </c>
      <c r="AZ102" s="1033"/>
      <c r="BA102" s="1033">
        <f t="shared" si="19"/>
        <v>24.5</v>
      </c>
      <c r="BB102" s="1033">
        <f>BA102*(списки!$C$56-AY102)</f>
        <v>352.8</v>
      </c>
      <c r="BC102" s="1034">
        <v>13.9</v>
      </c>
      <c r="BD102" s="1034"/>
      <c r="BE102" s="1034">
        <f t="shared" si="20"/>
        <v>0</v>
      </c>
      <c r="BF102" s="1035">
        <f>BE102*(списки!$C$56-BC102)</f>
        <v>0</v>
      </c>
      <c r="BG102" s="1424" t="e">
        <v>#N/A</v>
      </c>
      <c r="BH102" s="1424" t="e">
        <v>#N/A</v>
      </c>
    </row>
    <row r="103" spans="2:60" ht="15.75" customHeight="1" x14ac:dyDescent="0.25">
      <c r="B103" s="1014" t="s">
        <v>71</v>
      </c>
      <c r="C103" s="1014" t="s">
        <v>82</v>
      </c>
      <c r="D103" s="1015" t="str">
        <f t="shared" si="11"/>
        <v>Иркутская областьОрлинга</v>
      </c>
      <c r="E103" s="1016">
        <v>252</v>
      </c>
      <c r="F103" s="1017">
        <v>-12</v>
      </c>
      <c r="G103" s="1017">
        <v>-45</v>
      </c>
      <c r="H103" s="1019">
        <v>2.6</v>
      </c>
      <c r="I103" s="1020">
        <f>E103*(списки!$C$56-F103)</f>
        <v>8064</v>
      </c>
      <c r="J103" s="1021" t="str">
        <f t="shared" si="12"/>
        <v>8000-9000</v>
      </c>
      <c r="K103" s="1022">
        <v>17.3</v>
      </c>
      <c r="L103" s="1022"/>
      <c r="M103" s="1023">
        <f t="shared" si="13"/>
        <v>0</v>
      </c>
      <c r="N103" s="1024">
        <f>M103*(списки!$C$56-K103)</f>
        <v>0</v>
      </c>
      <c r="O103" s="1025">
        <v>14.1</v>
      </c>
      <c r="P103" s="1025"/>
      <c r="Q103" s="1025">
        <f t="shared" si="14"/>
        <v>0</v>
      </c>
      <c r="R103" s="1025">
        <f>Q103*(списки!$C$56-O103)</f>
        <v>0</v>
      </c>
      <c r="S103" s="1026">
        <v>6.7</v>
      </c>
      <c r="T103" s="1026"/>
      <c r="U103" s="1026">
        <f t="shared" si="21"/>
        <v>20</v>
      </c>
      <c r="V103" s="1026">
        <f>U103*(списки!$C$56-S103)</f>
        <v>266</v>
      </c>
      <c r="W103" s="1027">
        <v>-2.2000000000000002</v>
      </c>
      <c r="X103" s="1027"/>
      <c r="Y103" s="1027">
        <f t="shared" si="15"/>
        <v>31</v>
      </c>
      <c r="Z103" s="1027">
        <f>Y103*(списки!$C$56-W103)</f>
        <v>688.19999999999993</v>
      </c>
      <c r="AA103" s="1028">
        <v>-14</v>
      </c>
      <c r="AB103" s="1028"/>
      <c r="AC103" s="1028">
        <f t="shared" si="16"/>
        <v>30</v>
      </c>
      <c r="AD103" s="1028">
        <f>AC103*(списки!$C$56-AA103)</f>
        <v>1020</v>
      </c>
      <c r="AE103" s="1029">
        <v>-23.9</v>
      </c>
      <c r="AF103" s="1029"/>
      <c r="AG103" s="1029">
        <v>31</v>
      </c>
      <c r="AH103" s="1029">
        <f>AG103*(списки!$C$56-AE103)</f>
        <v>1360.8999999999999</v>
      </c>
      <c r="AI103" s="1030">
        <v>-26.9</v>
      </c>
      <c r="AJ103" s="1030"/>
      <c r="AK103" s="1030">
        <v>31</v>
      </c>
      <c r="AL103" s="1030">
        <f>AK103*(списки!$C$56-AI103)</f>
        <v>1453.8999999999999</v>
      </c>
      <c r="AM103" s="1031">
        <v>-22.7</v>
      </c>
      <c r="AN103" s="1031"/>
      <c r="AO103" s="1031">
        <v>28</v>
      </c>
      <c r="AP103" s="1031">
        <f>AO103*(списки!$C$56-AM103)</f>
        <v>1195.6000000000001</v>
      </c>
      <c r="AQ103" s="1026">
        <v>-12.4</v>
      </c>
      <c r="AR103" s="1026"/>
      <c r="AS103" s="1026">
        <f t="shared" si="17"/>
        <v>31</v>
      </c>
      <c r="AT103" s="1026">
        <f>AS103*(списки!$C$56-AQ103)</f>
        <v>1004.4</v>
      </c>
      <c r="AU103" s="1032">
        <v>-1.5</v>
      </c>
      <c r="AV103" s="1032"/>
      <c r="AW103" s="1032">
        <f t="shared" si="18"/>
        <v>30</v>
      </c>
      <c r="AX103" s="1032">
        <f>AW103*(списки!$C$56-AU103)</f>
        <v>645</v>
      </c>
      <c r="AY103" s="1033">
        <v>7.2</v>
      </c>
      <c r="AZ103" s="1033"/>
      <c r="BA103" s="1033">
        <f t="shared" si="19"/>
        <v>20</v>
      </c>
      <c r="BB103" s="1033">
        <f>BA103*(списки!$C$56-AY103)</f>
        <v>256</v>
      </c>
      <c r="BC103" s="1034">
        <v>14.6</v>
      </c>
      <c r="BD103" s="1034"/>
      <c r="BE103" s="1034">
        <f t="shared" si="20"/>
        <v>0</v>
      </c>
      <c r="BF103" s="1035">
        <f>BE103*(списки!$C$56-BC103)</f>
        <v>0</v>
      </c>
      <c r="BG103" s="1424">
        <v>7876.208333333333</v>
      </c>
      <c r="BH103" s="1424">
        <v>7416.3633333333346</v>
      </c>
    </row>
    <row r="104" spans="2:60" ht="15.75" customHeight="1" x14ac:dyDescent="0.25">
      <c r="B104" s="1038" t="s">
        <v>71</v>
      </c>
      <c r="C104" s="1038" t="s">
        <v>83</v>
      </c>
      <c r="D104" s="1015" t="str">
        <f t="shared" si="11"/>
        <v>Иркутская областьПеревоз</v>
      </c>
      <c r="E104" s="1016">
        <v>258</v>
      </c>
      <c r="F104" s="1017">
        <v>-12.6</v>
      </c>
      <c r="G104" s="1017">
        <v>-46</v>
      </c>
      <c r="H104" s="1019">
        <v>3.1</v>
      </c>
      <c r="I104" s="1020">
        <f>E104*(списки!$C$56-F104)</f>
        <v>8410.8000000000011</v>
      </c>
      <c r="J104" s="1021" t="str">
        <f t="shared" si="12"/>
        <v>8000-9000</v>
      </c>
      <c r="K104" s="1022">
        <v>17</v>
      </c>
      <c r="L104" s="1022"/>
      <c r="M104" s="1023">
        <f t="shared" si="13"/>
        <v>0</v>
      </c>
      <c r="N104" s="1024">
        <f>M104*(списки!$C$56-K104)</f>
        <v>0</v>
      </c>
      <c r="O104" s="1025">
        <v>13.6</v>
      </c>
      <c r="P104" s="1025"/>
      <c r="Q104" s="1025">
        <f t="shared" si="14"/>
        <v>0</v>
      </c>
      <c r="R104" s="1025">
        <f>Q104*(списки!$C$56-O104)</f>
        <v>0</v>
      </c>
      <c r="S104" s="1026">
        <v>5.8</v>
      </c>
      <c r="T104" s="1026"/>
      <c r="U104" s="1026">
        <f t="shared" si="21"/>
        <v>23</v>
      </c>
      <c r="V104" s="1026">
        <f>U104*(списки!$C$56-S104)</f>
        <v>326.59999999999997</v>
      </c>
      <c r="W104" s="1027">
        <v>-3.9</v>
      </c>
      <c r="X104" s="1027"/>
      <c r="Y104" s="1027">
        <f t="shared" si="15"/>
        <v>31</v>
      </c>
      <c r="Z104" s="1027">
        <f>Y104*(списки!$C$56-W104)</f>
        <v>740.9</v>
      </c>
      <c r="AA104" s="1028">
        <v>-16.7</v>
      </c>
      <c r="AB104" s="1028"/>
      <c r="AC104" s="1028">
        <f t="shared" si="16"/>
        <v>30</v>
      </c>
      <c r="AD104" s="1028">
        <f>AC104*(списки!$C$56-AA104)</f>
        <v>1101</v>
      </c>
      <c r="AE104" s="1029">
        <v>-24.6</v>
      </c>
      <c r="AF104" s="1029"/>
      <c r="AG104" s="1029">
        <v>31</v>
      </c>
      <c r="AH104" s="1029">
        <f>AG104*(списки!$C$56-AE104)</f>
        <v>1382.6000000000001</v>
      </c>
      <c r="AI104" s="1030">
        <v>-26.3</v>
      </c>
      <c r="AJ104" s="1030"/>
      <c r="AK104" s="1030">
        <v>31</v>
      </c>
      <c r="AL104" s="1030">
        <f>AK104*(списки!$C$56-AI104)</f>
        <v>1435.3</v>
      </c>
      <c r="AM104" s="1031">
        <v>-23.5</v>
      </c>
      <c r="AN104" s="1031"/>
      <c r="AO104" s="1031">
        <v>28</v>
      </c>
      <c r="AP104" s="1031">
        <f>AO104*(списки!$C$56-AM104)</f>
        <v>1218</v>
      </c>
      <c r="AQ104" s="1026">
        <v>-14.2</v>
      </c>
      <c r="AR104" s="1026"/>
      <c r="AS104" s="1026">
        <f t="shared" si="17"/>
        <v>31</v>
      </c>
      <c r="AT104" s="1026">
        <f>AS104*(списки!$C$56-AQ104)</f>
        <v>1060.2</v>
      </c>
      <c r="AU104" s="1032">
        <v>-2.8</v>
      </c>
      <c r="AV104" s="1032"/>
      <c r="AW104" s="1032">
        <f t="shared" si="18"/>
        <v>30</v>
      </c>
      <c r="AX104" s="1032">
        <f>AW104*(списки!$C$56-AU104)</f>
        <v>684</v>
      </c>
      <c r="AY104" s="1033">
        <v>6.3</v>
      </c>
      <c r="AZ104" s="1033"/>
      <c r="BA104" s="1033">
        <f t="shared" si="19"/>
        <v>23</v>
      </c>
      <c r="BB104" s="1033">
        <f>BA104*(списки!$C$56-AY104)</f>
        <v>315.09999999999997</v>
      </c>
      <c r="BC104" s="1034">
        <v>14.1</v>
      </c>
      <c r="BD104" s="1034"/>
      <c r="BE104" s="1034">
        <f t="shared" si="20"/>
        <v>0</v>
      </c>
      <c r="BF104" s="1035">
        <f>BE104*(списки!$C$56-BC104)</f>
        <v>0</v>
      </c>
      <c r="BG104" s="1424" t="e">
        <v>#N/A</v>
      </c>
      <c r="BH104" s="1424" t="e">
        <v>#N/A</v>
      </c>
    </row>
    <row r="105" spans="2:60" ht="15.75" customHeight="1" x14ac:dyDescent="0.25">
      <c r="B105" s="1014" t="s">
        <v>71</v>
      </c>
      <c r="C105" s="1014" t="s">
        <v>84</v>
      </c>
      <c r="D105" s="1015" t="str">
        <f t="shared" si="11"/>
        <v>Иркутская областьПреображенка</v>
      </c>
      <c r="E105" s="1016">
        <v>259</v>
      </c>
      <c r="F105" s="1017">
        <v>-13.3</v>
      </c>
      <c r="G105" s="1017">
        <v>-50</v>
      </c>
      <c r="H105" s="1019">
        <v>3</v>
      </c>
      <c r="I105" s="1020">
        <f>E105*(списки!$C$56-F105)</f>
        <v>8624.6999999999989</v>
      </c>
      <c r="J105" s="1021" t="str">
        <f t="shared" si="12"/>
        <v>8000-9000</v>
      </c>
      <c r="K105" s="1022">
        <v>17.7</v>
      </c>
      <c r="L105" s="1022"/>
      <c r="M105" s="1023">
        <f t="shared" si="13"/>
        <v>0</v>
      </c>
      <c r="N105" s="1024">
        <f>M105*(списки!$C$56-K105)</f>
        <v>0</v>
      </c>
      <c r="O105" s="1025">
        <v>13.5</v>
      </c>
      <c r="P105" s="1025"/>
      <c r="Q105" s="1025">
        <f t="shared" si="14"/>
        <v>0</v>
      </c>
      <c r="R105" s="1025">
        <f>Q105*(списки!$C$56-O105)</f>
        <v>0</v>
      </c>
      <c r="S105" s="1026">
        <v>5.8</v>
      </c>
      <c r="T105" s="1026"/>
      <c r="U105" s="1026">
        <f t="shared" si="21"/>
        <v>23.5</v>
      </c>
      <c r="V105" s="1026">
        <f>U105*(списки!$C$56-S105)</f>
        <v>333.7</v>
      </c>
      <c r="W105" s="1027">
        <v>-4.0999999999999996</v>
      </c>
      <c r="X105" s="1027"/>
      <c r="Y105" s="1027">
        <f t="shared" si="15"/>
        <v>31</v>
      </c>
      <c r="Z105" s="1027">
        <f>Y105*(списки!$C$56-W105)</f>
        <v>747.1</v>
      </c>
      <c r="AA105" s="1028">
        <v>-18.600000000000001</v>
      </c>
      <c r="AB105" s="1028"/>
      <c r="AC105" s="1028">
        <f t="shared" si="16"/>
        <v>30</v>
      </c>
      <c r="AD105" s="1028">
        <f>AC105*(списки!$C$56-AA105)</f>
        <v>1158</v>
      </c>
      <c r="AE105" s="1029">
        <v>-28.4</v>
      </c>
      <c r="AF105" s="1029"/>
      <c r="AG105" s="1029">
        <v>31</v>
      </c>
      <c r="AH105" s="1029">
        <f>AG105*(списки!$C$56-AE105)</f>
        <v>1500.3999999999999</v>
      </c>
      <c r="AI105" s="1030">
        <v>-29.2</v>
      </c>
      <c r="AJ105" s="1030"/>
      <c r="AK105" s="1030">
        <v>31</v>
      </c>
      <c r="AL105" s="1030">
        <f>AK105*(списки!$C$56-AI105)</f>
        <v>1525.2</v>
      </c>
      <c r="AM105" s="1031">
        <v>-24.2</v>
      </c>
      <c r="AN105" s="1031"/>
      <c r="AO105" s="1031">
        <v>28</v>
      </c>
      <c r="AP105" s="1031">
        <f>AO105*(списки!$C$56-AM105)</f>
        <v>1237.6000000000001</v>
      </c>
      <c r="AQ105" s="1026">
        <v>-15.4</v>
      </c>
      <c r="AR105" s="1026"/>
      <c r="AS105" s="1026">
        <f t="shared" si="17"/>
        <v>31</v>
      </c>
      <c r="AT105" s="1026">
        <f>AS105*(списки!$C$56-AQ105)</f>
        <v>1097.3999999999999</v>
      </c>
      <c r="AU105" s="1032">
        <v>-3.9</v>
      </c>
      <c r="AV105" s="1032"/>
      <c r="AW105" s="1032">
        <f t="shared" si="18"/>
        <v>30</v>
      </c>
      <c r="AX105" s="1032">
        <f>AW105*(списки!$C$56-AU105)</f>
        <v>717</v>
      </c>
      <c r="AY105" s="1033">
        <v>5.6</v>
      </c>
      <c r="AZ105" s="1033"/>
      <c r="BA105" s="1033">
        <f t="shared" si="19"/>
        <v>23.5</v>
      </c>
      <c r="BB105" s="1033">
        <f>BA105*(списки!$C$56-AY105)</f>
        <v>338.40000000000003</v>
      </c>
      <c r="BC105" s="1034">
        <v>14.7</v>
      </c>
      <c r="BD105" s="1034"/>
      <c r="BE105" s="1034">
        <f t="shared" si="20"/>
        <v>0</v>
      </c>
      <c r="BF105" s="1035">
        <f>BE105*(списки!$C$56-BC105)</f>
        <v>0</v>
      </c>
      <c r="BG105" s="1424">
        <v>8369.5874999999996</v>
      </c>
      <c r="BH105" s="1424">
        <v>7976.0642857142875</v>
      </c>
    </row>
    <row r="106" spans="2:60" ht="15.75" customHeight="1" x14ac:dyDescent="0.25">
      <c r="B106" s="1038" t="s">
        <v>71</v>
      </c>
      <c r="C106" s="1038" t="s">
        <v>643</v>
      </c>
      <c r="D106" s="1015" t="str">
        <f t="shared" si="11"/>
        <v>Иркутская областьСаянск</v>
      </c>
      <c r="E106" s="1016">
        <v>234</v>
      </c>
      <c r="F106" s="1017">
        <v>-9.1</v>
      </c>
      <c r="G106" s="1017">
        <v>-39</v>
      </c>
      <c r="H106" s="1019">
        <v>4.4000000000000004</v>
      </c>
      <c r="I106" s="1020">
        <f>E106*(списки!$C$56-F106)</f>
        <v>6809.4000000000005</v>
      </c>
      <c r="J106" s="1021" t="str">
        <f t="shared" si="12"/>
        <v>6000-7000</v>
      </c>
      <c r="K106" s="1022">
        <v>18.7</v>
      </c>
      <c r="L106" s="1022"/>
      <c r="M106" s="1023">
        <f t="shared" si="13"/>
        <v>0</v>
      </c>
      <c r="N106" s="1024">
        <f>M106*(списки!$C$56-K106)</f>
        <v>0</v>
      </c>
      <c r="O106" s="1025">
        <v>15.8</v>
      </c>
      <c r="P106" s="1025"/>
      <c r="Q106" s="1025">
        <f t="shared" si="14"/>
        <v>0</v>
      </c>
      <c r="R106" s="1025">
        <f>Q106*(списки!$C$56-O106)</f>
        <v>0</v>
      </c>
      <c r="S106" s="1026">
        <v>8.5</v>
      </c>
      <c r="T106" s="1026"/>
      <c r="U106" s="1026">
        <f t="shared" si="21"/>
        <v>11</v>
      </c>
      <c r="V106" s="1026">
        <f>U106*(списки!$C$56-S106)</f>
        <v>126.5</v>
      </c>
      <c r="W106" s="1027">
        <v>0.8</v>
      </c>
      <c r="X106" s="1027"/>
      <c r="Y106" s="1027">
        <f t="shared" si="15"/>
        <v>31</v>
      </c>
      <c r="Z106" s="1027">
        <f>Y106*(списки!$C$56-W106)</f>
        <v>595.19999999999993</v>
      </c>
      <c r="AA106" s="1028">
        <v>-9.4</v>
      </c>
      <c r="AB106" s="1028"/>
      <c r="AC106" s="1028">
        <f t="shared" si="16"/>
        <v>30</v>
      </c>
      <c r="AD106" s="1028">
        <f>AC106*(списки!$C$56-AA106)</f>
        <v>882</v>
      </c>
      <c r="AE106" s="1029">
        <v>-16.3</v>
      </c>
      <c r="AF106" s="1029"/>
      <c r="AG106" s="1029">
        <v>31</v>
      </c>
      <c r="AH106" s="1029">
        <f>AG106*(списки!$C$56-AE106)</f>
        <v>1125.3</v>
      </c>
      <c r="AI106" s="1030">
        <v>-18.3</v>
      </c>
      <c r="AJ106" s="1030"/>
      <c r="AK106" s="1030">
        <v>31</v>
      </c>
      <c r="AL106" s="1030">
        <f>AK106*(списки!$C$56-AI106)</f>
        <v>1187.3</v>
      </c>
      <c r="AM106" s="1031">
        <v>-14</v>
      </c>
      <c r="AN106" s="1031"/>
      <c r="AO106" s="1031">
        <v>28</v>
      </c>
      <c r="AP106" s="1031">
        <f>AO106*(списки!$C$56-AM106)</f>
        <v>952</v>
      </c>
      <c r="AQ106" s="1026">
        <v>-6.8</v>
      </c>
      <c r="AR106" s="1026"/>
      <c r="AS106" s="1026">
        <f t="shared" si="17"/>
        <v>31</v>
      </c>
      <c r="AT106" s="1026">
        <f>AS106*(списки!$C$56-AQ106)</f>
        <v>830.80000000000007</v>
      </c>
      <c r="AU106" s="1032">
        <v>1.7</v>
      </c>
      <c r="AV106" s="1032"/>
      <c r="AW106" s="1032">
        <f t="shared" si="18"/>
        <v>30</v>
      </c>
      <c r="AX106" s="1032">
        <f>AW106*(списки!$C$56-AU106)</f>
        <v>549</v>
      </c>
      <c r="AY106" s="1033">
        <v>10.1</v>
      </c>
      <c r="AZ106" s="1033"/>
      <c r="BA106" s="1033">
        <f t="shared" si="19"/>
        <v>11</v>
      </c>
      <c r="BB106" s="1033">
        <f>BA106*(списки!$C$56-AY106)</f>
        <v>108.9</v>
      </c>
      <c r="BC106" s="1034">
        <v>15.5</v>
      </c>
      <c r="BD106" s="1034"/>
      <c r="BE106" s="1034">
        <f t="shared" si="20"/>
        <v>0</v>
      </c>
      <c r="BF106" s="1035">
        <f>BE106*(списки!$C$56-BC106)</f>
        <v>0</v>
      </c>
      <c r="BG106" s="1424" t="e">
        <v>#N/A</v>
      </c>
      <c r="BH106" s="1424" t="e">
        <v>#N/A</v>
      </c>
    </row>
    <row r="107" spans="2:60" ht="15.75" customHeight="1" x14ac:dyDescent="0.25">
      <c r="B107" s="1014" t="s">
        <v>71</v>
      </c>
      <c r="C107" s="1014" t="s">
        <v>85</v>
      </c>
      <c r="D107" s="1015" t="str">
        <f t="shared" si="11"/>
        <v>Иркутская областьСлюдянка</v>
      </c>
      <c r="E107" s="1016">
        <v>254</v>
      </c>
      <c r="F107" s="1017">
        <v>-6.4</v>
      </c>
      <c r="G107" s="1017">
        <v>-28</v>
      </c>
      <c r="H107" s="1019">
        <v>1.5</v>
      </c>
      <c r="I107" s="1020">
        <f>E107*(списки!$C$56-F107)</f>
        <v>6705.5999999999995</v>
      </c>
      <c r="J107" s="1021" t="str">
        <f t="shared" si="12"/>
        <v>6000-7000</v>
      </c>
      <c r="K107" s="1022">
        <v>15.3</v>
      </c>
      <c r="L107" s="1022"/>
      <c r="M107" s="1023">
        <f t="shared" si="13"/>
        <v>0</v>
      </c>
      <c r="N107" s="1024">
        <f>M107*(списки!$C$56-K107)</f>
        <v>0</v>
      </c>
      <c r="O107" s="1025">
        <v>14.2</v>
      </c>
      <c r="P107" s="1025"/>
      <c r="Q107" s="1025">
        <f t="shared" si="14"/>
        <v>0</v>
      </c>
      <c r="R107" s="1025">
        <f>Q107*(списки!$C$56-O107)</f>
        <v>0</v>
      </c>
      <c r="S107" s="1026">
        <v>7.8</v>
      </c>
      <c r="T107" s="1026"/>
      <c r="U107" s="1026">
        <f t="shared" si="21"/>
        <v>21</v>
      </c>
      <c r="V107" s="1026">
        <f>U107*(списки!$C$56-S107)</f>
        <v>256.2</v>
      </c>
      <c r="W107" s="1027">
        <v>-1.7</v>
      </c>
      <c r="X107" s="1027"/>
      <c r="Y107" s="1027">
        <f t="shared" si="15"/>
        <v>31</v>
      </c>
      <c r="Z107" s="1027">
        <f>Y107*(списки!$C$56-W107)</f>
        <v>672.69999999999993</v>
      </c>
      <c r="AA107" s="1028">
        <v>-7.3</v>
      </c>
      <c r="AB107" s="1028"/>
      <c r="AC107" s="1028">
        <f t="shared" si="16"/>
        <v>30</v>
      </c>
      <c r="AD107" s="1028">
        <f>AC107*(списки!$C$56-AA107)</f>
        <v>819</v>
      </c>
      <c r="AE107" s="1029">
        <v>-13.5</v>
      </c>
      <c r="AF107" s="1029"/>
      <c r="AG107" s="1029">
        <v>31</v>
      </c>
      <c r="AH107" s="1029">
        <f>AG107*(списки!$C$56-AE107)</f>
        <v>1038.5</v>
      </c>
      <c r="AI107" s="1030">
        <v>-17.399999999999999</v>
      </c>
      <c r="AJ107" s="1030"/>
      <c r="AK107" s="1030">
        <v>31</v>
      </c>
      <c r="AL107" s="1030">
        <f>AK107*(списки!$C$56-AI107)</f>
        <v>1159.3999999999999</v>
      </c>
      <c r="AM107" s="1031">
        <v>-17</v>
      </c>
      <c r="AN107" s="1031"/>
      <c r="AO107" s="1031">
        <v>28</v>
      </c>
      <c r="AP107" s="1031">
        <f>AO107*(списки!$C$56-AM107)</f>
        <v>1036</v>
      </c>
      <c r="AQ107" s="1026">
        <v>-9.9</v>
      </c>
      <c r="AR107" s="1026"/>
      <c r="AS107" s="1026">
        <f t="shared" si="17"/>
        <v>31</v>
      </c>
      <c r="AT107" s="1026">
        <f>AS107*(списки!$C$56-AQ107)</f>
        <v>926.9</v>
      </c>
      <c r="AU107" s="1032">
        <v>-0.3</v>
      </c>
      <c r="AV107" s="1032"/>
      <c r="AW107" s="1032">
        <f t="shared" si="18"/>
        <v>30</v>
      </c>
      <c r="AX107" s="1032">
        <f>AW107*(списки!$C$56-AU107)</f>
        <v>609</v>
      </c>
      <c r="AY107" s="1033">
        <v>6</v>
      </c>
      <c r="AZ107" s="1033"/>
      <c r="BA107" s="1033">
        <f t="shared" si="19"/>
        <v>21</v>
      </c>
      <c r="BB107" s="1033">
        <f>BA107*(списки!$C$56-AY107)</f>
        <v>294</v>
      </c>
      <c r="BC107" s="1034">
        <v>11.8</v>
      </c>
      <c r="BD107" s="1034"/>
      <c r="BE107" s="1034">
        <f t="shared" si="20"/>
        <v>0</v>
      </c>
      <c r="BF107" s="1035">
        <f>BE107*(списки!$C$56-BC107)</f>
        <v>0</v>
      </c>
      <c r="BG107" s="1424" t="e">
        <v>#N/A</v>
      </c>
      <c r="BH107" s="1424" t="e">
        <v>#N/A</v>
      </c>
    </row>
    <row r="108" spans="2:60" ht="15.75" customHeight="1" x14ac:dyDescent="0.25">
      <c r="B108" s="1038" t="s">
        <v>71</v>
      </c>
      <c r="C108" s="1038" t="s">
        <v>86</v>
      </c>
      <c r="D108" s="1015" t="str">
        <f t="shared" si="11"/>
        <v>Иркутская областьТайшет</v>
      </c>
      <c r="E108" s="1016">
        <v>237</v>
      </c>
      <c r="F108" s="1017">
        <v>-8.1</v>
      </c>
      <c r="G108" s="1017">
        <v>-39</v>
      </c>
      <c r="H108" s="1019">
        <v>3.4</v>
      </c>
      <c r="I108" s="1020">
        <f>E108*(списки!$C$56-F108)</f>
        <v>6659.7000000000007</v>
      </c>
      <c r="J108" s="1021" t="str">
        <f t="shared" si="12"/>
        <v>6000-7000</v>
      </c>
      <c r="K108" s="1022">
        <v>18.399999999999999</v>
      </c>
      <c r="L108" s="1022"/>
      <c r="M108" s="1023">
        <f t="shared" si="13"/>
        <v>0</v>
      </c>
      <c r="N108" s="1024">
        <f>M108*(списки!$C$56-K108)</f>
        <v>0</v>
      </c>
      <c r="O108" s="1025">
        <v>15.2</v>
      </c>
      <c r="P108" s="1025"/>
      <c r="Q108" s="1025">
        <f t="shared" si="14"/>
        <v>0</v>
      </c>
      <c r="R108" s="1025">
        <f>Q108*(списки!$C$56-O108)</f>
        <v>0</v>
      </c>
      <c r="S108" s="1026">
        <v>8.4</v>
      </c>
      <c r="T108" s="1026"/>
      <c r="U108" s="1026">
        <f t="shared" si="21"/>
        <v>12.5</v>
      </c>
      <c r="V108" s="1026">
        <f>U108*(списки!$C$56-S108)</f>
        <v>145</v>
      </c>
      <c r="W108" s="1027">
        <v>0.5</v>
      </c>
      <c r="X108" s="1027"/>
      <c r="Y108" s="1027">
        <f t="shared" si="15"/>
        <v>31</v>
      </c>
      <c r="Z108" s="1027">
        <f>Y108*(списки!$C$56-W108)</f>
        <v>604.5</v>
      </c>
      <c r="AA108" s="1028">
        <v>-9.1</v>
      </c>
      <c r="AB108" s="1028"/>
      <c r="AC108" s="1028">
        <f t="shared" si="16"/>
        <v>30</v>
      </c>
      <c r="AD108" s="1028">
        <f>AC108*(списки!$C$56-AA108)</f>
        <v>873</v>
      </c>
      <c r="AE108" s="1029">
        <v>-16.7</v>
      </c>
      <c r="AF108" s="1029"/>
      <c r="AG108" s="1029">
        <v>31</v>
      </c>
      <c r="AH108" s="1029">
        <f>AG108*(списки!$C$56-AE108)</f>
        <v>1137.7</v>
      </c>
      <c r="AI108" s="1030">
        <v>-18.899999999999999</v>
      </c>
      <c r="AJ108" s="1030"/>
      <c r="AK108" s="1030">
        <v>31</v>
      </c>
      <c r="AL108" s="1030">
        <f>AK108*(списки!$C$56-AI108)</f>
        <v>1205.8999999999999</v>
      </c>
      <c r="AM108" s="1031">
        <v>-16.100000000000001</v>
      </c>
      <c r="AN108" s="1031"/>
      <c r="AO108" s="1031">
        <v>28</v>
      </c>
      <c r="AP108" s="1031">
        <f>AO108*(списки!$C$56-AM108)</f>
        <v>1010.8000000000001</v>
      </c>
      <c r="AQ108" s="1026">
        <v>-7.7</v>
      </c>
      <c r="AR108" s="1026"/>
      <c r="AS108" s="1026">
        <f t="shared" si="17"/>
        <v>31</v>
      </c>
      <c r="AT108" s="1026">
        <f>AS108*(списки!$C$56-AQ108)</f>
        <v>858.69999999999993</v>
      </c>
      <c r="AU108" s="1032">
        <v>1.3</v>
      </c>
      <c r="AV108" s="1032"/>
      <c r="AW108" s="1032">
        <f t="shared" si="18"/>
        <v>30</v>
      </c>
      <c r="AX108" s="1032">
        <f>AW108*(списки!$C$56-AU108)</f>
        <v>561</v>
      </c>
      <c r="AY108" s="1033">
        <v>9.3000000000000007</v>
      </c>
      <c r="AZ108" s="1033"/>
      <c r="BA108" s="1033">
        <f t="shared" si="19"/>
        <v>12.5</v>
      </c>
      <c r="BB108" s="1033">
        <f>BA108*(списки!$C$56-AY108)</f>
        <v>133.75</v>
      </c>
      <c r="BC108" s="1034">
        <v>15.9</v>
      </c>
      <c r="BD108" s="1034"/>
      <c r="BE108" s="1034">
        <f t="shared" si="20"/>
        <v>0</v>
      </c>
      <c r="BF108" s="1035">
        <f>BE108*(списки!$C$56-BC108)</f>
        <v>0</v>
      </c>
      <c r="BG108" s="1424">
        <v>6704.6696428571404</v>
      </c>
      <c r="BH108" s="1424">
        <v>5738.8428571428576</v>
      </c>
    </row>
    <row r="109" spans="2:60" ht="15.75" customHeight="1" x14ac:dyDescent="0.25">
      <c r="B109" s="1014" t="s">
        <v>71</v>
      </c>
      <c r="C109" s="1014" t="s">
        <v>87</v>
      </c>
      <c r="D109" s="1015" t="str">
        <f t="shared" si="11"/>
        <v>Иркутская областьТулун</v>
      </c>
      <c r="E109" s="1016">
        <v>241</v>
      </c>
      <c r="F109" s="1017">
        <v>-8.6</v>
      </c>
      <c r="G109" s="1017">
        <v>-39</v>
      </c>
      <c r="H109" s="1019">
        <v>2.4</v>
      </c>
      <c r="I109" s="1020">
        <f>E109*(списки!$C$56-F109)</f>
        <v>6892.6</v>
      </c>
      <c r="J109" s="1021" t="str">
        <f t="shared" si="12"/>
        <v>6000-7000</v>
      </c>
      <c r="K109" s="1022">
        <v>17.5</v>
      </c>
      <c r="L109" s="1022"/>
      <c r="M109" s="1023">
        <f t="shared" si="13"/>
        <v>0</v>
      </c>
      <c r="N109" s="1024">
        <f>M109*(списки!$C$56-K109)</f>
        <v>0</v>
      </c>
      <c r="O109" s="1025">
        <v>14.6</v>
      </c>
      <c r="P109" s="1025"/>
      <c r="Q109" s="1025">
        <f t="shared" si="14"/>
        <v>0</v>
      </c>
      <c r="R109" s="1025">
        <f>Q109*(списки!$C$56-O109)</f>
        <v>0</v>
      </c>
      <c r="S109" s="1026">
        <v>7.9</v>
      </c>
      <c r="T109" s="1026"/>
      <c r="U109" s="1026">
        <f t="shared" si="21"/>
        <v>14.5</v>
      </c>
      <c r="V109" s="1026">
        <f>U109*(списки!$C$56-S109)</f>
        <v>175.45</v>
      </c>
      <c r="W109" s="1027">
        <v>-0.2</v>
      </c>
      <c r="X109" s="1027"/>
      <c r="Y109" s="1027">
        <f t="shared" si="15"/>
        <v>31</v>
      </c>
      <c r="Z109" s="1027">
        <f>Y109*(списки!$C$56-W109)</f>
        <v>626.19999999999993</v>
      </c>
      <c r="AA109" s="1028">
        <v>-10.1</v>
      </c>
      <c r="AB109" s="1028"/>
      <c r="AC109" s="1028">
        <f t="shared" si="16"/>
        <v>30</v>
      </c>
      <c r="AD109" s="1028">
        <f>AC109*(списки!$C$56-AA109)</f>
        <v>903</v>
      </c>
      <c r="AE109" s="1029">
        <v>-17.8</v>
      </c>
      <c r="AF109" s="1029"/>
      <c r="AG109" s="1029">
        <v>31</v>
      </c>
      <c r="AH109" s="1029">
        <f>AG109*(списки!$C$56-AE109)</f>
        <v>1171.8</v>
      </c>
      <c r="AI109" s="1030">
        <v>-20.100000000000001</v>
      </c>
      <c r="AJ109" s="1030"/>
      <c r="AK109" s="1030">
        <v>31</v>
      </c>
      <c r="AL109" s="1030">
        <f>AK109*(списки!$C$56-AI109)</f>
        <v>1243.1000000000001</v>
      </c>
      <c r="AM109" s="1031">
        <v>-16.5</v>
      </c>
      <c r="AN109" s="1031"/>
      <c r="AO109" s="1031">
        <v>28</v>
      </c>
      <c r="AP109" s="1031">
        <f>AO109*(списки!$C$56-AM109)</f>
        <v>1022</v>
      </c>
      <c r="AQ109" s="1026">
        <v>-8.1999999999999993</v>
      </c>
      <c r="AR109" s="1026"/>
      <c r="AS109" s="1026">
        <f t="shared" si="17"/>
        <v>31</v>
      </c>
      <c r="AT109" s="1026">
        <f>AS109*(списки!$C$56-AQ109)</f>
        <v>874.19999999999993</v>
      </c>
      <c r="AU109" s="1032">
        <v>0.8</v>
      </c>
      <c r="AV109" s="1032"/>
      <c r="AW109" s="1032">
        <f t="shared" si="18"/>
        <v>30</v>
      </c>
      <c r="AX109" s="1032">
        <f>AW109*(списки!$C$56-AU109)</f>
        <v>576</v>
      </c>
      <c r="AY109" s="1033">
        <v>8.9</v>
      </c>
      <c r="AZ109" s="1033"/>
      <c r="BA109" s="1033">
        <f t="shared" si="19"/>
        <v>14.5</v>
      </c>
      <c r="BB109" s="1033">
        <f>BA109*(списки!$C$56-AY109)</f>
        <v>160.94999999999999</v>
      </c>
      <c r="BC109" s="1034">
        <v>15.1</v>
      </c>
      <c r="BD109" s="1034"/>
      <c r="BE109" s="1034">
        <f t="shared" si="20"/>
        <v>0</v>
      </c>
      <c r="BF109" s="1035">
        <f>BE109*(списки!$C$56-BC109)</f>
        <v>0</v>
      </c>
      <c r="BG109" s="1424">
        <v>6845.496428571435</v>
      </c>
      <c r="BH109" s="1424">
        <v>6074.7642857142855</v>
      </c>
    </row>
    <row r="110" spans="2:60" ht="15.75" customHeight="1" x14ac:dyDescent="0.25">
      <c r="B110" s="1038" t="s">
        <v>71</v>
      </c>
      <c r="C110" s="1038" t="s">
        <v>644</v>
      </c>
      <c r="D110" s="1015" t="str">
        <f t="shared" si="11"/>
        <v>Иркутская областьУсть-Ордынский</v>
      </c>
      <c r="E110" s="1016">
        <v>243</v>
      </c>
      <c r="F110" s="1017">
        <v>-10.9</v>
      </c>
      <c r="G110" s="1017">
        <v>-41</v>
      </c>
      <c r="H110" s="1019">
        <v>2.25</v>
      </c>
      <c r="I110" s="1020">
        <f>E110*(списки!$C$56-F110)</f>
        <v>7508.7</v>
      </c>
      <c r="J110" s="1021" t="str">
        <f t="shared" si="12"/>
        <v>7000-8000</v>
      </c>
      <c r="K110" s="1022">
        <v>18</v>
      </c>
      <c r="L110" s="1022"/>
      <c r="M110" s="1023">
        <f t="shared" si="13"/>
        <v>0</v>
      </c>
      <c r="N110" s="1024">
        <f>M110*(списки!$C$56-K110)</f>
        <v>0</v>
      </c>
      <c r="O110" s="1025">
        <v>15.1</v>
      </c>
      <c r="P110" s="1025"/>
      <c r="Q110" s="1025">
        <f t="shared" si="14"/>
        <v>0</v>
      </c>
      <c r="R110" s="1025">
        <f>Q110*(списки!$C$56-O110)</f>
        <v>0</v>
      </c>
      <c r="S110" s="1026">
        <v>7.7</v>
      </c>
      <c r="T110" s="1026"/>
      <c r="U110" s="1026">
        <f t="shared" si="21"/>
        <v>15.5</v>
      </c>
      <c r="V110" s="1026">
        <f>U110*(списки!$C$56-S110)</f>
        <v>190.65</v>
      </c>
      <c r="W110" s="1027">
        <v>-0.8</v>
      </c>
      <c r="X110" s="1027"/>
      <c r="Y110" s="1027">
        <f t="shared" si="15"/>
        <v>31</v>
      </c>
      <c r="Z110" s="1027">
        <f>Y110*(списки!$C$56-W110)</f>
        <v>644.80000000000007</v>
      </c>
      <c r="AA110" s="1028">
        <v>-14.2</v>
      </c>
      <c r="AB110" s="1028"/>
      <c r="AC110" s="1028">
        <f t="shared" si="16"/>
        <v>30</v>
      </c>
      <c r="AD110" s="1028">
        <f>AC110*(списки!$C$56-AA110)</f>
        <v>1026</v>
      </c>
      <c r="AE110" s="1029">
        <v>-21.9</v>
      </c>
      <c r="AF110" s="1029"/>
      <c r="AG110" s="1029">
        <v>31</v>
      </c>
      <c r="AH110" s="1029">
        <f>AG110*(списки!$C$56-AE110)</f>
        <v>1298.8999999999999</v>
      </c>
      <c r="AI110" s="1030">
        <v>-24.8</v>
      </c>
      <c r="AJ110" s="1030"/>
      <c r="AK110" s="1030">
        <v>31</v>
      </c>
      <c r="AL110" s="1030">
        <f>AK110*(списки!$C$56-AI110)</f>
        <v>1388.8</v>
      </c>
      <c r="AM110" s="1031">
        <v>-22.3</v>
      </c>
      <c r="AN110" s="1031"/>
      <c r="AO110" s="1031">
        <v>28</v>
      </c>
      <c r="AP110" s="1031">
        <f>AO110*(списки!$C$56-AM110)</f>
        <v>1184.3999999999999</v>
      </c>
      <c r="AQ110" s="1026">
        <v>-12.5</v>
      </c>
      <c r="AR110" s="1026"/>
      <c r="AS110" s="1026">
        <f t="shared" si="17"/>
        <v>31</v>
      </c>
      <c r="AT110" s="1026">
        <f>AS110*(списки!$C$56-AQ110)</f>
        <v>1007.5</v>
      </c>
      <c r="AU110" s="1032">
        <v>0.6</v>
      </c>
      <c r="AV110" s="1032"/>
      <c r="AW110" s="1032">
        <f t="shared" si="18"/>
        <v>30</v>
      </c>
      <c r="AX110" s="1032">
        <f>AW110*(списки!$C$56-AU110)</f>
        <v>582</v>
      </c>
      <c r="AY110" s="1033">
        <v>8.1999999999999993</v>
      </c>
      <c r="AZ110" s="1033"/>
      <c r="BA110" s="1033">
        <f t="shared" si="19"/>
        <v>15.5</v>
      </c>
      <c r="BB110" s="1033">
        <f>BA110*(списки!$C$56-AY110)</f>
        <v>182.9</v>
      </c>
      <c r="BC110" s="1034">
        <v>15.6</v>
      </c>
      <c r="BD110" s="1034"/>
      <c r="BE110" s="1034">
        <f t="shared" si="20"/>
        <v>0</v>
      </c>
      <c r="BF110" s="1035">
        <f>BE110*(списки!$C$56-BC110)</f>
        <v>0</v>
      </c>
      <c r="BG110" s="1424" t="e">
        <v>#N/A</v>
      </c>
      <c r="BH110" s="1424" t="e">
        <v>#N/A</v>
      </c>
    </row>
    <row r="111" spans="2:60" ht="15.75" customHeight="1" x14ac:dyDescent="0.25">
      <c r="B111" s="1014" t="s">
        <v>614</v>
      </c>
      <c r="C111" s="1014" t="s">
        <v>99</v>
      </c>
      <c r="D111" s="1015" t="str">
        <f>CONCATENATE(B111,C111)</f>
        <v>Кабардино-Балкарская РеспубликаНальчик</v>
      </c>
      <c r="E111" s="1016">
        <v>168</v>
      </c>
      <c r="F111" s="1017">
        <v>0.6</v>
      </c>
      <c r="G111" s="1017">
        <v>-18</v>
      </c>
      <c r="H111" s="1019">
        <v>2.5</v>
      </c>
      <c r="I111" s="1020">
        <f>E111*(списки!$C$56-F111)</f>
        <v>3259.2</v>
      </c>
      <c r="J111" s="1021" t="str">
        <f t="shared" si="12"/>
        <v>3000-4000</v>
      </c>
      <c r="K111" s="1022">
        <v>21.6</v>
      </c>
      <c r="L111" s="1022"/>
      <c r="M111" s="1023">
        <f t="shared" si="13"/>
        <v>0</v>
      </c>
      <c r="N111" s="1024">
        <f>M111*(списки!$C$56-K111)</f>
        <v>0</v>
      </c>
      <c r="O111" s="1025">
        <v>21</v>
      </c>
      <c r="P111" s="1025"/>
      <c r="Q111" s="1025">
        <f t="shared" si="14"/>
        <v>0</v>
      </c>
      <c r="R111" s="1025">
        <f>Q111*(списки!$C$56-O111)</f>
        <v>0</v>
      </c>
      <c r="S111" s="1026">
        <v>16</v>
      </c>
      <c r="T111" s="1026"/>
      <c r="U111" s="1026">
        <f t="shared" si="21"/>
        <v>0</v>
      </c>
      <c r="V111" s="1026">
        <f>U111*(списки!$C$56-S111)</f>
        <v>0</v>
      </c>
      <c r="W111" s="1027">
        <v>9.4</v>
      </c>
      <c r="X111" s="1027"/>
      <c r="Y111" s="1027">
        <f t="shared" si="15"/>
        <v>8.5</v>
      </c>
      <c r="Z111" s="1027">
        <f>Y111*(списки!$C$56-W111)</f>
        <v>90.1</v>
      </c>
      <c r="AA111" s="1028">
        <v>3.8</v>
      </c>
      <c r="AB111" s="1028"/>
      <c r="AC111" s="1028">
        <f t="shared" si="16"/>
        <v>30</v>
      </c>
      <c r="AD111" s="1028">
        <f>AC111*(списки!$C$56-AA111)</f>
        <v>486</v>
      </c>
      <c r="AE111" s="1029">
        <v>-1.3</v>
      </c>
      <c r="AF111" s="1029"/>
      <c r="AG111" s="1029">
        <v>31</v>
      </c>
      <c r="AH111" s="1029">
        <f>AG111*(списки!$C$56-AE111)</f>
        <v>660.30000000000007</v>
      </c>
      <c r="AI111" s="1030">
        <v>-4</v>
      </c>
      <c r="AJ111" s="1030"/>
      <c r="AK111" s="1030">
        <v>31</v>
      </c>
      <c r="AL111" s="1030">
        <f>AK111*(списки!$C$56-AI111)</f>
        <v>744</v>
      </c>
      <c r="AM111" s="1031">
        <v>-2.8</v>
      </c>
      <c r="AN111" s="1031"/>
      <c r="AO111" s="1031">
        <v>28</v>
      </c>
      <c r="AP111" s="1031">
        <f>AO111*(списки!$C$56-AM111)</f>
        <v>638.4</v>
      </c>
      <c r="AQ111" s="1026">
        <v>1.8</v>
      </c>
      <c r="AR111" s="1026"/>
      <c r="AS111" s="1026">
        <f t="shared" si="17"/>
        <v>31</v>
      </c>
      <c r="AT111" s="1026">
        <f>AS111*(списки!$C$56-AQ111)</f>
        <v>564.19999999999993</v>
      </c>
      <c r="AU111" s="1032">
        <v>9.5</v>
      </c>
      <c r="AV111" s="1032"/>
      <c r="AW111" s="1032">
        <f t="shared" si="18"/>
        <v>8.5</v>
      </c>
      <c r="AX111" s="1032">
        <f>AW111*(списки!$C$56-AU111)</f>
        <v>89.25</v>
      </c>
      <c r="AY111" s="1033">
        <v>15.4</v>
      </c>
      <c r="AZ111" s="1033"/>
      <c r="BA111" s="1033">
        <f t="shared" si="19"/>
        <v>0</v>
      </c>
      <c r="BB111" s="1033">
        <f>BA111*(списки!$C$56-AY111)</f>
        <v>0</v>
      </c>
      <c r="BC111" s="1034">
        <v>19.100000000000001</v>
      </c>
      <c r="BD111" s="1034"/>
      <c r="BE111" s="1034">
        <f t="shared" si="20"/>
        <v>0</v>
      </c>
      <c r="BF111" s="1035">
        <f>BE111*(списки!$C$56-BC111)</f>
        <v>0</v>
      </c>
      <c r="BG111" s="1424">
        <v>3091.285714285716</v>
      </c>
      <c r="BH111" s="1424">
        <v>2950.7125000000005</v>
      </c>
    </row>
    <row r="112" spans="2:60" ht="15.75" customHeight="1" x14ac:dyDescent="0.25">
      <c r="B112" s="1038" t="s">
        <v>100</v>
      </c>
      <c r="C112" s="1038" t="s">
        <v>101</v>
      </c>
      <c r="D112" s="1015" t="str">
        <f>CONCATENATE(B112,C112)</f>
        <v>Калининградская областьКалининград</v>
      </c>
      <c r="E112" s="1016">
        <v>188</v>
      </c>
      <c r="F112" s="1017">
        <v>1.2</v>
      </c>
      <c r="G112" s="1017">
        <v>-19</v>
      </c>
      <c r="H112" s="1019">
        <v>3.6</v>
      </c>
      <c r="I112" s="1020">
        <f>E112*(списки!$C$56-F112)</f>
        <v>3534.4</v>
      </c>
      <c r="J112" s="1021" t="str">
        <f t="shared" si="12"/>
        <v>3000-4000</v>
      </c>
      <c r="K112" s="1022">
        <v>17.7</v>
      </c>
      <c r="L112" s="1022"/>
      <c r="M112" s="1023">
        <f t="shared" si="13"/>
        <v>0</v>
      </c>
      <c r="N112" s="1024">
        <f>M112*(списки!$C$56-K112)</f>
        <v>0</v>
      </c>
      <c r="O112" s="1025">
        <v>17.3</v>
      </c>
      <c r="P112" s="1025"/>
      <c r="Q112" s="1025">
        <f t="shared" si="14"/>
        <v>0</v>
      </c>
      <c r="R112" s="1025">
        <f>Q112*(списки!$C$56-O112)</f>
        <v>0</v>
      </c>
      <c r="S112" s="1026">
        <v>12.9</v>
      </c>
      <c r="T112" s="1026"/>
      <c r="U112" s="1026">
        <f t="shared" si="21"/>
        <v>0</v>
      </c>
      <c r="V112" s="1026">
        <f>U112*(списки!$C$56-S112)</f>
        <v>0</v>
      </c>
      <c r="W112" s="1027">
        <v>8.3000000000000007</v>
      </c>
      <c r="X112" s="1027"/>
      <c r="Y112" s="1027">
        <f t="shared" si="15"/>
        <v>18.5</v>
      </c>
      <c r="Z112" s="1027">
        <f>Y112*(списки!$C$56-W112)</f>
        <v>216.45</v>
      </c>
      <c r="AA112" s="1028">
        <v>3.4</v>
      </c>
      <c r="AB112" s="1028"/>
      <c r="AC112" s="1028">
        <f t="shared" si="16"/>
        <v>30</v>
      </c>
      <c r="AD112" s="1028">
        <f>AC112*(списки!$C$56-AA112)</f>
        <v>498.00000000000006</v>
      </c>
      <c r="AE112" s="1029">
        <v>-0.4</v>
      </c>
      <c r="AF112" s="1029"/>
      <c r="AG112" s="1029">
        <v>31</v>
      </c>
      <c r="AH112" s="1029">
        <f>AG112*(списки!$C$56-AE112)</f>
        <v>632.4</v>
      </c>
      <c r="AI112" s="1030">
        <v>-2.2000000000000002</v>
      </c>
      <c r="AJ112" s="1030"/>
      <c r="AK112" s="1030">
        <v>31</v>
      </c>
      <c r="AL112" s="1030">
        <f>AK112*(списки!$C$56-AI112)</f>
        <v>688.19999999999993</v>
      </c>
      <c r="AM112" s="1031">
        <v>-1.7</v>
      </c>
      <c r="AN112" s="1031"/>
      <c r="AO112" s="1031">
        <v>28</v>
      </c>
      <c r="AP112" s="1031">
        <f>AO112*(списки!$C$56-AM112)</f>
        <v>607.6</v>
      </c>
      <c r="AQ112" s="1026">
        <v>1.7</v>
      </c>
      <c r="AR112" s="1026"/>
      <c r="AS112" s="1026">
        <f t="shared" si="17"/>
        <v>31</v>
      </c>
      <c r="AT112" s="1026">
        <f>AS112*(списки!$C$56-AQ112)</f>
        <v>567.30000000000007</v>
      </c>
      <c r="AU112" s="1032">
        <v>6.7</v>
      </c>
      <c r="AV112" s="1032"/>
      <c r="AW112" s="1032">
        <f t="shared" si="18"/>
        <v>18.5</v>
      </c>
      <c r="AX112" s="1032">
        <f>AW112*(списки!$C$56-AU112)</f>
        <v>246.05</v>
      </c>
      <c r="AY112" s="1033">
        <v>12.2</v>
      </c>
      <c r="AZ112" s="1033"/>
      <c r="BA112" s="1033">
        <f t="shared" si="19"/>
        <v>0</v>
      </c>
      <c r="BB112" s="1033">
        <f>BA112*(списки!$C$56-AY112)</f>
        <v>0</v>
      </c>
      <c r="BC112" s="1034">
        <v>15.6</v>
      </c>
      <c r="BD112" s="1034"/>
      <c r="BE112" s="1034">
        <f t="shared" si="20"/>
        <v>0</v>
      </c>
      <c r="BF112" s="1035">
        <f>BE112*(списки!$C$56-BC112)</f>
        <v>0</v>
      </c>
      <c r="BG112" s="1424">
        <v>3235.5785714285739</v>
      </c>
      <c r="BH112" s="1424">
        <v>3180.18392857143</v>
      </c>
    </row>
    <row r="113" spans="2:60" ht="15.75" customHeight="1" x14ac:dyDescent="0.25">
      <c r="B113" s="1014" t="s">
        <v>102</v>
      </c>
      <c r="C113" s="1014" t="s">
        <v>103</v>
      </c>
      <c r="D113" s="1015" t="str">
        <f>CONCATENATE(B113,C113)</f>
        <v>Калужская областьКалуга</v>
      </c>
      <c r="E113" s="1016">
        <v>210</v>
      </c>
      <c r="F113" s="1017">
        <v>-2.9</v>
      </c>
      <c r="G113" s="1017">
        <v>-27</v>
      </c>
      <c r="H113" s="1019">
        <v>4.9000000000000004</v>
      </c>
      <c r="I113" s="1020">
        <f>E113*(списки!$C$56-F113)</f>
        <v>4809</v>
      </c>
      <c r="J113" s="1021" t="str">
        <f t="shared" si="12"/>
        <v>4000-5000</v>
      </c>
      <c r="K113" s="1022">
        <v>18</v>
      </c>
      <c r="L113" s="1022"/>
      <c r="M113" s="1023">
        <f t="shared" si="13"/>
        <v>0</v>
      </c>
      <c r="N113" s="1024">
        <f>M113*(списки!$C$56-K113)</f>
        <v>0</v>
      </c>
      <c r="O113" s="1025">
        <v>16.5</v>
      </c>
      <c r="P113" s="1025"/>
      <c r="Q113" s="1025">
        <f t="shared" si="14"/>
        <v>0</v>
      </c>
      <c r="R113" s="1025">
        <f>Q113*(списки!$C$56-O113)</f>
        <v>0</v>
      </c>
      <c r="S113" s="1026">
        <v>11</v>
      </c>
      <c r="T113" s="1026"/>
      <c r="U113" s="1026">
        <f t="shared" si="21"/>
        <v>0</v>
      </c>
      <c r="V113" s="1026">
        <f>U113*(списки!$C$56-S113)</f>
        <v>0</v>
      </c>
      <c r="W113" s="1027">
        <v>4.7</v>
      </c>
      <c r="X113" s="1027"/>
      <c r="Y113" s="1027">
        <f t="shared" si="15"/>
        <v>29.5</v>
      </c>
      <c r="Z113" s="1027">
        <f>Y113*(списки!$C$56-W113)</f>
        <v>451.35</v>
      </c>
      <c r="AA113" s="1028">
        <v>-1.5</v>
      </c>
      <c r="AB113" s="1028"/>
      <c r="AC113" s="1028">
        <f t="shared" si="16"/>
        <v>30</v>
      </c>
      <c r="AD113" s="1028">
        <f>AC113*(списки!$C$56-AA113)</f>
        <v>645</v>
      </c>
      <c r="AE113" s="1029">
        <v>-6.5</v>
      </c>
      <c r="AF113" s="1029"/>
      <c r="AG113" s="1029">
        <v>31</v>
      </c>
      <c r="AH113" s="1029">
        <f>AG113*(списки!$C$56-AE113)</f>
        <v>821.5</v>
      </c>
      <c r="AI113" s="1030">
        <v>-10.1</v>
      </c>
      <c r="AJ113" s="1030"/>
      <c r="AK113" s="1030">
        <v>31</v>
      </c>
      <c r="AL113" s="1030">
        <f>AK113*(списки!$C$56-AI113)</f>
        <v>933.1</v>
      </c>
      <c r="AM113" s="1031">
        <v>-8.9</v>
      </c>
      <c r="AN113" s="1031"/>
      <c r="AO113" s="1031">
        <v>28</v>
      </c>
      <c r="AP113" s="1031">
        <f>AO113*(списки!$C$56-AM113)</f>
        <v>809.19999999999993</v>
      </c>
      <c r="AQ113" s="1026">
        <v>-3.9</v>
      </c>
      <c r="AR113" s="1026"/>
      <c r="AS113" s="1026">
        <f t="shared" si="17"/>
        <v>31</v>
      </c>
      <c r="AT113" s="1026">
        <f>AS113*(списки!$C$56-AQ113)</f>
        <v>740.9</v>
      </c>
      <c r="AU113" s="1032">
        <v>4.8</v>
      </c>
      <c r="AV113" s="1032"/>
      <c r="AW113" s="1032">
        <f t="shared" si="18"/>
        <v>29.5</v>
      </c>
      <c r="AX113" s="1032">
        <f>AW113*(списки!$C$56-AU113)</f>
        <v>448.4</v>
      </c>
      <c r="AY113" s="1033">
        <v>12.3</v>
      </c>
      <c r="AZ113" s="1033"/>
      <c r="BA113" s="1033">
        <f t="shared" si="19"/>
        <v>0</v>
      </c>
      <c r="BB113" s="1033">
        <f>BA113*(списки!$C$56-AY113)</f>
        <v>0</v>
      </c>
      <c r="BC113" s="1034">
        <v>16.2</v>
      </c>
      <c r="BD113" s="1034"/>
      <c r="BE113" s="1034">
        <f t="shared" si="20"/>
        <v>0</v>
      </c>
      <c r="BF113" s="1035">
        <f>BE113*(списки!$C$56-BC113)</f>
        <v>0</v>
      </c>
      <c r="BG113" s="1424">
        <v>4061.9950284349638</v>
      </c>
      <c r="BH113" s="1424">
        <v>4134.7181137328689</v>
      </c>
    </row>
    <row r="114" spans="2:60" ht="15.75" customHeight="1" x14ac:dyDescent="0.25">
      <c r="B114" s="1038" t="s">
        <v>615</v>
      </c>
      <c r="C114" s="1038" t="s">
        <v>645</v>
      </c>
      <c r="D114" s="1015" t="str">
        <f>CONCATENATE(B114,C114)</f>
        <v>Камчатская областьАпука</v>
      </c>
      <c r="E114" s="1016">
        <v>286</v>
      </c>
      <c r="F114" s="1017">
        <v>-5.8</v>
      </c>
      <c r="G114" s="1017">
        <v>-28</v>
      </c>
      <c r="H114" s="1019">
        <v>8.5</v>
      </c>
      <c r="I114" s="1020">
        <f>E114*(списки!$C$56-F114)</f>
        <v>7378.8</v>
      </c>
      <c r="J114" s="1021" t="str">
        <f t="shared" si="12"/>
        <v>7000-8000</v>
      </c>
      <c r="K114" s="1022">
        <v>10.199999999999999</v>
      </c>
      <c r="L114" s="1022"/>
      <c r="M114" s="1023">
        <f t="shared" si="13"/>
        <v>0</v>
      </c>
      <c r="N114" s="1024">
        <f>M114*(списки!$C$56-K114)</f>
        <v>0</v>
      </c>
      <c r="O114" s="1025">
        <v>10.7</v>
      </c>
      <c r="P114" s="1025"/>
      <c r="Q114" s="1025">
        <f t="shared" si="14"/>
        <v>6.5</v>
      </c>
      <c r="R114" s="1025">
        <f>Q114*(списки!$C$56-O114)</f>
        <v>60.45</v>
      </c>
      <c r="S114" s="1026">
        <v>7</v>
      </c>
      <c r="T114" s="1026"/>
      <c r="U114" s="1026">
        <f t="shared" si="21"/>
        <v>30</v>
      </c>
      <c r="V114" s="1026">
        <f>U114*(списки!$C$56-S114)</f>
        <v>390</v>
      </c>
      <c r="W114" s="1027">
        <v>-0.6</v>
      </c>
      <c r="X114" s="1027"/>
      <c r="Y114" s="1027">
        <f t="shared" si="15"/>
        <v>31</v>
      </c>
      <c r="Z114" s="1027">
        <f>Y114*(списки!$C$56-W114)</f>
        <v>638.6</v>
      </c>
      <c r="AA114" s="1028">
        <v>-7.6</v>
      </c>
      <c r="AB114" s="1028"/>
      <c r="AC114" s="1028">
        <f t="shared" si="16"/>
        <v>30</v>
      </c>
      <c r="AD114" s="1028">
        <f>AC114*(списки!$C$56-AA114)</f>
        <v>828</v>
      </c>
      <c r="AE114" s="1029">
        <v>-12</v>
      </c>
      <c r="AF114" s="1029"/>
      <c r="AG114" s="1029">
        <v>31</v>
      </c>
      <c r="AH114" s="1029">
        <f>AG114*(списки!$C$56-AE114)</f>
        <v>992</v>
      </c>
      <c r="AI114" s="1030">
        <v>-12.4</v>
      </c>
      <c r="AJ114" s="1030"/>
      <c r="AK114" s="1030">
        <v>31</v>
      </c>
      <c r="AL114" s="1030">
        <f>AK114*(списки!$C$56-AI114)</f>
        <v>1004.4</v>
      </c>
      <c r="AM114" s="1031">
        <v>-12.7</v>
      </c>
      <c r="AN114" s="1031"/>
      <c r="AO114" s="1031">
        <v>28</v>
      </c>
      <c r="AP114" s="1031">
        <f>AO114*(списки!$C$56-AM114)</f>
        <v>915.60000000000014</v>
      </c>
      <c r="AQ114" s="1026">
        <v>-11</v>
      </c>
      <c r="AR114" s="1026"/>
      <c r="AS114" s="1026">
        <f t="shared" si="17"/>
        <v>31</v>
      </c>
      <c r="AT114" s="1026">
        <f>AS114*(списки!$C$56-AQ114)</f>
        <v>961</v>
      </c>
      <c r="AU114" s="1032">
        <v>-6.4</v>
      </c>
      <c r="AV114" s="1032"/>
      <c r="AW114" s="1032">
        <f t="shared" si="18"/>
        <v>30</v>
      </c>
      <c r="AX114" s="1032">
        <f>AW114*(списки!$C$56-AU114)</f>
        <v>792</v>
      </c>
      <c r="AY114" s="1033">
        <v>1</v>
      </c>
      <c r="AZ114" s="1033"/>
      <c r="BA114" s="1033">
        <f t="shared" si="19"/>
        <v>31</v>
      </c>
      <c r="BB114" s="1033">
        <f>BA114*(списки!$C$56-AY114)</f>
        <v>589</v>
      </c>
      <c r="BC114" s="1034">
        <v>6.7</v>
      </c>
      <c r="BD114" s="1034"/>
      <c r="BE114" s="1034">
        <f t="shared" si="20"/>
        <v>6.5</v>
      </c>
      <c r="BF114" s="1035">
        <f>BE114*(списки!$C$56-BC114)</f>
        <v>86.45</v>
      </c>
      <c r="BG114" s="1424">
        <v>6714.2065476190483</v>
      </c>
      <c r="BH114" s="1424">
        <v>6594.6547619047624</v>
      </c>
    </row>
    <row r="115" spans="2:60" ht="15.75" customHeight="1" x14ac:dyDescent="0.25">
      <c r="B115" s="1014" t="s">
        <v>615</v>
      </c>
      <c r="C115" s="1014" t="s">
        <v>646</v>
      </c>
      <c r="D115" s="1015" t="str">
        <f>CONCATENATE(B115,C115)</f>
        <v>Камчатская областьИча</v>
      </c>
      <c r="E115" s="1016">
        <v>276</v>
      </c>
      <c r="F115" s="1017">
        <v>-4.0999999999999996</v>
      </c>
      <c r="G115" s="1017">
        <v>-26</v>
      </c>
      <c r="H115" s="1019">
        <v>4.2</v>
      </c>
      <c r="I115" s="1020">
        <f>E115*(списки!$C$56-F115)</f>
        <v>6651.6</v>
      </c>
      <c r="J115" s="1021" t="str">
        <f t="shared" si="12"/>
        <v>6000-7000</v>
      </c>
      <c r="K115" s="1022">
        <v>10.7</v>
      </c>
      <c r="L115" s="1022"/>
      <c r="M115" s="1023">
        <f t="shared" si="13"/>
        <v>0</v>
      </c>
      <c r="N115" s="1024">
        <f>M115*(списки!$C$56-K115)</f>
        <v>0</v>
      </c>
      <c r="O115" s="1025">
        <v>11.6</v>
      </c>
      <c r="P115" s="1025"/>
      <c r="Q115" s="1025">
        <f t="shared" si="14"/>
        <v>1.5</v>
      </c>
      <c r="R115" s="1025">
        <f>Q115*(списки!$C$56-O115)</f>
        <v>12.600000000000001</v>
      </c>
      <c r="S115" s="1026">
        <v>8.8000000000000007</v>
      </c>
      <c r="T115" s="1026"/>
      <c r="U115" s="1026">
        <f t="shared" si="21"/>
        <v>30</v>
      </c>
      <c r="V115" s="1026">
        <f>U115*(списки!$C$56-S115)</f>
        <v>336</v>
      </c>
      <c r="W115" s="1027">
        <v>3.7</v>
      </c>
      <c r="X115" s="1027"/>
      <c r="Y115" s="1027">
        <f t="shared" si="15"/>
        <v>31</v>
      </c>
      <c r="Z115" s="1027">
        <f>Y115*(списки!$C$56-W115)</f>
        <v>505.3</v>
      </c>
      <c r="AA115" s="1028">
        <v>-3.5</v>
      </c>
      <c r="AB115" s="1028"/>
      <c r="AC115" s="1028">
        <f t="shared" si="16"/>
        <v>30</v>
      </c>
      <c r="AD115" s="1028">
        <f>AC115*(списки!$C$56-AA115)</f>
        <v>705</v>
      </c>
      <c r="AE115" s="1029">
        <v>-9.3000000000000007</v>
      </c>
      <c r="AF115" s="1029"/>
      <c r="AG115" s="1029">
        <v>31</v>
      </c>
      <c r="AH115" s="1029">
        <f>AG115*(списки!$C$56-AE115)</f>
        <v>908.30000000000007</v>
      </c>
      <c r="AI115" s="1030">
        <v>-12.3</v>
      </c>
      <c r="AJ115" s="1030"/>
      <c r="AK115" s="1030">
        <v>31</v>
      </c>
      <c r="AL115" s="1030">
        <f>AK115*(списки!$C$56-AI115)</f>
        <v>1001.3</v>
      </c>
      <c r="AM115" s="1031">
        <v>-12.3</v>
      </c>
      <c r="AN115" s="1031"/>
      <c r="AO115" s="1031">
        <v>28</v>
      </c>
      <c r="AP115" s="1031">
        <f>AO115*(списки!$C$56-AM115)</f>
        <v>904.39999999999986</v>
      </c>
      <c r="AQ115" s="1026">
        <v>-8.6</v>
      </c>
      <c r="AR115" s="1026"/>
      <c r="AS115" s="1026">
        <f t="shared" si="17"/>
        <v>31</v>
      </c>
      <c r="AT115" s="1026">
        <f>AS115*(списки!$C$56-AQ115)</f>
        <v>886.6</v>
      </c>
      <c r="AU115" s="1032">
        <v>-2.8</v>
      </c>
      <c r="AV115" s="1032"/>
      <c r="AW115" s="1032">
        <f t="shared" si="18"/>
        <v>30</v>
      </c>
      <c r="AX115" s="1032">
        <f>AW115*(списки!$C$56-AU115)</f>
        <v>684</v>
      </c>
      <c r="AY115" s="1033">
        <v>2.2999999999999998</v>
      </c>
      <c r="AZ115" s="1033"/>
      <c r="BA115" s="1033">
        <f t="shared" si="19"/>
        <v>31</v>
      </c>
      <c r="BB115" s="1033">
        <f>BA115*(списки!$C$56-AY115)</f>
        <v>548.69999999999993</v>
      </c>
      <c r="BC115" s="1034">
        <v>6.7</v>
      </c>
      <c r="BD115" s="1034"/>
      <c r="BE115" s="1034">
        <f t="shared" si="20"/>
        <v>1.5</v>
      </c>
      <c r="BF115" s="1035">
        <f>BE115*(списки!$C$56-BC115)</f>
        <v>19.950000000000003</v>
      </c>
      <c r="BG115" s="1424">
        <v>6575.7045238095234</v>
      </c>
      <c r="BH115" s="1424">
        <v>5962.6446428571371</v>
      </c>
    </row>
    <row r="116" spans="2:60" ht="15.75" customHeight="1" x14ac:dyDescent="0.25">
      <c r="B116" s="1038" t="s">
        <v>615</v>
      </c>
      <c r="C116" s="1038" t="s">
        <v>104</v>
      </c>
      <c r="D116" s="1015" t="str">
        <f t="shared" si="11"/>
        <v>Камчатская областьКлючи</v>
      </c>
      <c r="E116" s="1016">
        <v>251</v>
      </c>
      <c r="F116" s="1017">
        <v>-6.6</v>
      </c>
      <c r="G116" s="1017">
        <v>-33</v>
      </c>
      <c r="H116" s="1019">
        <v>3.9</v>
      </c>
      <c r="I116" s="1020">
        <f>E116*(списки!$C$56-F116)</f>
        <v>6676.6</v>
      </c>
      <c r="J116" s="1021" t="str">
        <f t="shared" si="12"/>
        <v>6000-7000</v>
      </c>
      <c r="K116" s="1022">
        <v>15.1</v>
      </c>
      <c r="L116" s="1022"/>
      <c r="M116" s="1023">
        <f t="shared" si="13"/>
        <v>0</v>
      </c>
      <c r="N116" s="1024">
        <f>M116*(списки!$C$56-K116)</f>
        <v>0</v>
      </c>
      <c r="O116" s="1025">
        <v>13.8</v>
      </c>
      <c r="P116" s="1025"/>
      <c r="Q116" s="1025">
        <f t="shared" si="14"/>
        <v>0</v>
      </c>
      <c r="R116" s="1025">
        <f>Q116*(списки!$C$56-O116)</f>
        <v>0</v>
      </c>
      <c r="S116" s="1026">
        <v>9</v>
      </c>
      <c r="T116" s="1026"/>
      <c r="U116" s="1026">
        <f t="shared" si="21"/>
        <v>19.5</v>
      </c>
      <c r="V116" s="1026">
        <f>U116*(списки!$C$56-S116)</f>
        <v>214.5</v>
      </c>
      <c r="W116" s="1027">
        <v>2.4</v>
      </c>
      <c r="X116" s="1027"/>
      <c r="Y116" s="1027">
        <f t="shared" si="15"/>
        <v>31</v>
      </c>
      <c r="Z116" s="1027">
        <f>Y116*(списки!$C$56-W116)</f>
        <v>545.6</v>
      </c>
      <c r="AA116" s="1028">
        <v>-6.6</v>
      </c>
      <c r="AB116" s="1028"/>
      <c r="AC116" s="1028">
        <f t="shared" si="16"/>
        <v>30</v>
      </c>
      <c r="AD116" s="1028">
        <f>AC116*(списки!$C$56-AA116)</f>
        <v>798</v>
      </c>
      <c r="AE116" s="1029">
        <v>-14.2</v>
      </c>
      <c r="AF116" s="1029"/>
      <c r="AG116" s="1029">
        <v>31</v>
      </c>
      <c r="AH116" s="1029">
        <f>AG116*(списки!$C$56-AE116)</f>
        <v>1060.2</v>
      </c>
      <c r="AI116" s="1030">
        <v>-16.2</v>
      </c>
      <c r="AJ116" s="1030"/>
      <c r="AK116" s="1030">
        <v>31</v>
      </c>
      <c r="AL116" s="1030">
        <f>AK116*(списки!$C$56-AI116)</f>
        <v>1122.2</v>
      </c>
      <c r="AM116" s="1031">
        <v>-13.6</v>
      </c>
      <c r="AN116" s="1031"/>
      <c r="AO116" s="1031">
        <v>28</v>
      </c>
      <c r="AP116" s="1031">
        <f>AO116*(списки!$C$56-AM116)</f>
        <v>940.80000000000007</v>
      </c>
      <c r="AQ116" s="1026">
        <v>-8.6999999999999993</v>
      </c>
      <c r="AR116" s="1026"/>
      <c r="AS116" s="1026">
        <f t="shared" si="17"/>
        <v>31</v>
      </c>
      <c r="AT116" s="1026">
        <f>AS116*(списки!$C$56-AQ116)</f>
        <v>889.69999999999993</v>
      </c>
      <c r="AU116" s="1032">
        <v>-2.1</v>
      </c>
      <c r="AV116" s="1032"/>
      <c r="AW116" s="1032">
        <f t="shared" si="18"/>
        <v>30</v>
      </c>
      <c r="AX116" s="1032">
        <f>AW116*(списки!$C$56-AU116)</f>
        <v>663</v>
      </c>
      <c r="AY116" s="1033">
        <v>4.8</v>
      </c>
      <c r="AZ116" s="1033"/>
      <c r="BA116" s="1033">
        <f t="shared" si="19"/>
        <v>19.5</v>
      </c>
      <c r="BB116" s="1033">
        <f>BA116*(списки!$C$56-AY116)</f>
        <v>296.39999999999998</v>
      </c>
      <c r="BC116" s="1034">
        <v>11.8</v>
      </c>
      <c r="BD116" s="1034"/>
      <c r="BE116" s="1034">
        <f t="shared" si="20"/>
        <v>0</v>
      </c>
      <c r="BF116" s="1035">
        <f>BE116*(списки!$C$56-BC116)</f>
        <v>0</v>
      </c>
      <c r="BG116" s="1424">
        <v>6526.1285714285705</v>
      </c>
      <c r="BH116" s="1424">
        <v>6198.8553571428547</v>
      </c>
    </row>
    <row r="117" spans="2:60" ht="15.75" customHeight="1" x14ac:dyDescent="0.25">
      <c r="B117" s="1014" t="s">
        <v>615</v>
      </c>
      <c r="C117" s="1014" t="s">
        <v>105</v>
      </c>
      <c r="D117" s="1015" t="str">
        <f t="shared" si="11"/>
        <v>Камчатская областьКозыревск</v>
      </c>
      <c r="E117" s="1016">
        <v>256</v>
      </c>
      <c r="F117" s="1017">
        <v>-7.3</v>
      </c>
      <c r="G117" s="1017">
        <v>-37</v>
      </c>
      <c r="H117" s="1019">
        <f>H116</f>
        <v>3.9</v>
      </c>
      <c r="I117" s="1020">
        <f>E117*(списки!$C$56-F117)</f>
        <v>6988.8</v>
      </c>
      <c r="J117" s="1021" t="str">
        <f t="shared" si="12"/>
        <v>6000-7000</v>
      </c>
      <c r="K117" s="1022">
        <v>14.9</v>
      </c>
      <c r="L117" s="1022"/>
      <c r="M117" s="1023">
        <f t="shared" si="13"/>
        <v>0</v>
      </c>
      <c r="N117" s="1024">
        <f>M117*(списки!$C$56-K117)</f>
        <v>0</v>
      </c>
      <c r="O117" s="1025">
        <v>13.6</v>
      </c>
      <c r="P117" s="1025"/>
      <c r="Q117" s="1025">
        <f t="shared" si="14"/>
        <v>0</v>
      </c>
      <c r="R117" s="1025">
        <f>Q117*(списки!$C$56-O117)</f>
        <v>0</v>
      </c>
      <c r="S117" s="1026">
        <v>8.1</v>
      </c>
      <c r="T117" s="1026"/>
      <c r="U117" s="1026">
        <f t="shared" si="21"/>
        <v>22</v>
      </c>
      <c r="V117" s="1026">
        <f>U117*(списки!$C$56-S117)</f>
        <v>261.8</v>
      </c>
      <c r="W117" s="1027">
        <v>0.4</v>
      </c>
      <c r="X117" s="1027"/>
      <c r="Y117" s="1027">
        <f t="shared" si="15"/>
        <v>31</v>
      </c>
      <c r="Z117" s="1027">
        <f>Y117*(списки!$C$56-W117)</f>
        <v>607.6</v>
      </c>
      <c r="AA117" s="1028">
        <v>-9.8000000000000007</v>
      </c>
      <c r="AB117" s="1028"/>
      <c r="AC117" s="1028">
        <f t="shared" si="16"/>
        <v>30</v>
      </c>
      <c r="AD117" s="1028">
        <f>AC117*(списки!$C$56-AA117)</f>
        <v>894</v>
      </c>
      <c r="AE117" s="1029">
        <v>-16.7</v>
      </c>
      <c r="AF117" s="1029"/>
      <c r="AG117" s="1029">
        <v>31</v>
      </c>
      <c r="AH117" s="1029">
        <f>AG117*(списки!$C$56-AE117)</f>
        <v>1137.7</v>
      </c>
      <c r="AI117" s="1030">
        <v>-17.899999999999999</v>
      </c>
      <c r="AJ117" s="1030"/>
      <c r="AK117" s="1030">
        <v>31</v>
      </c>
      <c r="AL117" s="1030">
        <f>AK117*(списки!$C$56-AI117)</f>
        <v>1174.8999999999999</v>
      </c>
      <c r="AM117" s="1031">
        <v>-15.1</v>
      </c>
      <c r="AN117" s="1031"/>
      <c r="AO117" s="1031">
        <v>28</v>
      </c>
      <c r="AP117" s="1031">
        <f>AO117*(списки!$C$56-AM117)</f>
        <v>982.80000000000007</v>
      </c>
      <c r="AQ117" s="1026">
        <v>-10.199999999999999</v>
      </c>
      <c r="AR117" s="1026"/>
      <c r="AS117" s="1026">
        <f t="shared" si="17"/>
        <v>31</v>
      </c>
      <c r="AT117" s="1026">
        <f>AS117*(списки!$C$56-AQ117)</f>
        <v>936.19999999999993</v>
      </c>
      <c r="AU117" s="1032">
        <v>-2.1</v>
      </c>
      <c r="AV117" s="1032"/>
      <c r="AW117" s="1032">
        <f t="shared" si="18"/>
        <v>30</v>
      </c>
      <c r="AX117" s="1032">
        <f>AW117*(списки!$C$56-AU117)</f>
        <v>663</v>
      </c>
      <c r="AY117" s="1033">
        <v>5.0999999999999996</v>
      </c>
      <c r="AZ117" s="1033"/>
      <c r="BA117" s="1033">
        <f t="shared" si="19"/>
        <v>22</v>
      </c>
      <c r="BB117" s="1033">
        <f>BA117*(списки!$C$56-AY117)</f>
        <v>327.8</v>
      </c>
      <c r="BC117" s="1034">
        <v>11.5</v>
      </c>
      <c r="BD117" s="1034"/>
      <c r="BE117" s="1034">
        <f t="shared" si="20"/>
        <v>0</v>
      </c>
      <c r="BF117" s="1035">
        <f>BE117*(списки!$C$56-BC117)</f>
        <v>0</v>
      </c>
      <c r="BG117" s="1424" t="e">
        <v>#N/A</v>
      </c>
      <c r="BH117" s="1424" t="e">
        <v>#N/A</v>
      </c>
    </row>
    <row r="118" spans="2:60" ht="15.75" customHeight="1" x14ac:dyDescent="0.25">
      <c r="B118" s="1038" t="s">
        <v>615</v>
      </c>
      <c r="C118" s="1038" t="s">
        <v>647</v>
      </c>
      <c r="D118" s="1015" t="str">
        <f t="shared" si="11"/>
        <v xml:space="preserve">Камчатская областьКорф </v>
      </c>
      <c r="E118" s="1016">
        <v>270</v>
      </c>
      <c r="F118" s="1017">
        <v>-7.1</v>
      </c>
      <c r="G118" s="1017">
        <v>-29</v>
      </c>
      <c r="H118" s="1019">
        <v>5.8</v>
      </c>
      <c r="I118" s="1020">
        <f>E118*(списки!$C$56-F118)</f>
        <v>7317</v>
      </c>
      <c r="J118" s="1021" t="str">
        <f t="shared" si="12"/>
        <v>7000-8000</v>
      </c>
      <c r="K118" s="1022">
        <v>12.1</v>
      </c>
      <c r="L118" s="1022"/>
      <c r="M118" s="1023">
        <f t="shared" si="13"/>
        <v>0</v>
      </c>
      <c r="N118" s="1024">
        <f>M118*(списки!$C$56-K118)</f>
        <v>0</v>
      </c>
      <c r="O118" s="1025">
        <v>12.2</v>
      </c>
      <c r="P118" s="1025"/>
      <c r="Q118" s="1025">
        <f t="shared" si="14"/>
        <v>0</v>
      </c>
      <c r="R118" s="1025">
        <f>Q118*(списки!$C$56-O118)</f>
        <v>0</v>
      </c>
      <c r="S118" s="1026">
        <v>7.9</v>
      </c>
      <c r="T118" s="1026"/>
      <c r="U118" s="1026">
        <f t="shared" si="21"/>
        <v>29</v>
      </c>
      <c r="V118" s="1026">
        <f>U118*(списки!$C$56-S118)</f>
        <v>350.9</v>
      </c>
      <c r="W118" s="1027">
        <v>-0.3</v>
      </c>
      <c r="X118" s="1027"/>
      <c r="Y118" s="1027">
        <f t="shared" si="15"/>
        <v>31</v>
      </c>
      <c r="Z118" s="1027">
        <f>Y118*(списки!$C$56-W118)</f>
        <v>629.30000000000007</v>
      </c>
      <c r="AA118" s="1028">
        <v>-8.8000000000000007</v>
      </c>
      <c r="AB118" s="1028"/>
      <c r="AC118" s="1028">
        <f t="shared" si="16"/>
        <v>30</v>
      </c>
      <c r="AD118" s="1028">
        <f>AC118*(списки!$C$56-AA118)</f>
        <v>864</v>
      </c>
      <c r="AE118" s="1029">
        <v>-13.8</v>
      </c>
      <c r="AF118" s="1029"/>
      <c r="AG118" s="1029">
        <v>31</v>
      </c>
      <c r="AH118" s="1029">
        <f>AG118*(списки!$C$56-AE118)</f>
        <v>1047.8</v>
      </c>
      <c r="AI118" s="1030">
        <v>-14.3</v>
      </c>
      <c r="AJ118" s="1030"/>
      <c r="AK118" s="1030">
        <v>31</v>
      </c>
      <c r="AL118" s="1030">
        <f>AK118*(списки!$C$56-AI118)</f>
        <v>1063.3</v>
      </c>
      <c r="AM118" s="1031">
        <v>-14.1</v>
      </c>
      <c r="AN118" s="1031"/>
      <c r="AO118" s="1031">
        <v>28</v>
      </c>
      <c r="AP118" s="1031">
        <f>AO118*(списки!$C$56-AM118)</f>
        <v>954.80000000000007</v>
      </c>
      <c r="AQ118" s="1026">
        <v>-11.4</v>
      </c>
      <c r="AR118" s="1026"/>
      <c r="AS118" s="1026">
        <f t="shared" si="17"/>
        <v>31</v>
      </c>
      <c r="AT118" s="1026">
        <f>AS118*(списки!$C$56-AQ118)</f>
        <v>973.4</v>
      </c>
      <c r="AU118" s="1032">
        <v>-6.4</v>
      </c>
      <c r="AV118" s="1032"/>
      <c r="AW118" s="1032">
        <f t="shared" si="18"/>
        <v>30</v>
      </c>
      <c r="AX118" s="1032">
        <f>AW118*(списки!$C$56-AU118)</f>
        <v>792</v>
      </c>
      <c r="AY118" s="1033">
        <v>1.8</v>
      </c>
      <c r="AZ118" s="1033"/>
      <c r="BA118" s="1033">
        <f t="shared" si="19"/>
        <v>29</v>
      </c>
      <c r="BB118" s="1033">
        <f>BA118*(списки!$C$56-AY118)</f>
        <v>527.79999999999995</v>
      </c>
      <c r="BC118" s="1034">
        <v>8.5</v>
      </c>
      <c r="BD118" s="1034"/>
      <c r="BE118" s="1034">
        <f t="shared" si="20"/>
        <v>0</v>
      </c>
      <c r="BF118" s="1035">
        <f>BE118*(списки!$C$56-BC118)</f>
        <v>0</v>
      </c>
      <c r="BG118" s="1424" t="e">
        <v>#N/A</v>
      </c>
      <c r="BH118" s="1424" t="e">
        <v>#N/A</v>
      </c>
    </row>
    <row r="119" spans="2:60" ht="15.75" customHeight="1" x14ac:dyDescent="0.25">
      <c r="B119" s="1014" t="s">
        <v>615</v>
      </c>
      <c r="C119" s="1014" t="s">
        <v>106</v>
      </c>
      <c r="D119" s="1015" t="str">
        <f t="shared" si="11"/>
        <v>Камчатская областьКроноки</v>
      </c>
      <c r="E119" s="1016">
        <v>280</v>
      </c>
      <c r="F119" s="1017">
        <v>-2.2000000000000002</v>
      </c>
      <c r="G119" s="1017">
        <v>-20</v>
      </c>
      <c r="H119" s="1019">
        <f>H122</f>
        <v>2.8</v>
      </c>
      <c r="I119" s="1020">
        <f>E119*(списки!$C$56-F119)</f>
        <v>6216</v>
      </c>
      <c r="J119" s="1021" t="str">
        <f t="shared" si="12"/>
        <v>6000-7000</v>
      </c>
      <c r="K119" s="1022">
        <v>10.7</v>
      </c>
      <c r="L119" s="1022"/>
      <c r="M119" s="1023">
        <f t="shared" si="13"/>
        <v>0</v>
      </c>
      <c r="N119" s="1024">
        <f>M119*(списки!$C$56-K119)</f>
        <v>0</v>
      </c>
      <c r="O119" s="1025">
        <v>11.7</v>
      </c>
      <c r="P119" s="1025"/>
      <c r="Q119" s="1025">
        <f t="shared" si="14"/>
        <v>3.5</v>
      </c>
      <c r="R119" s="1025">
        <f>Q119*(списки!$C$56-O119)</f>
        <v>29.050000000000004</v>
      </c>
      <c r="S119" s="1026">
        <v>8.6</v>
      </c>
      <c r="T119" s="1026"/>
      <c r="U119" s="1026">
        <f t="shared" si="21"/>
        <v>30</v>
      </c>
      <c r="V119" s="1026">
        <f>U119*(списки!$C$56-S119)</f>
        <v>342</v>
      </c>
      <c r="W119" s="1027">
        <v>2.8</v>
      </c>
      <c r="X119" s="1027"/>
      <c r="Y119" s="1027">
        <f t="shared" si="15"/>
        <v>31</v>
      </c>
      <c r="Z119" s="1027">
        <f>Y119*(списки!$C$56-W119)</f>
        <v>533.19999999999993</v>
      </c>
      <c r="AA119" s="1028">
        <v>-3.3</v>
      </c>
      <c r="AB119" s="1028"/>
      <c r="AC119" s="1028">
        <f t="shared" si="16"/>
        <v>30</v>
      </c>
      <c r="AD119" s="1028">
        <f>AC119*(списки!$C$56-AA119)</f>
        <v>699</v>
      </c>
      <c r="AE119" s="1029">
        <v>-7.4</v>
      </c>
      <c r="AF119" s="1029"/>
      <c r="AG119" s="1029">
        <v>31</v>
      </c>
      <c r="AH119" s="1029">
        <f>AG119*(списки!$C$56-AE119)</f>
        <v>849.4</v>
      </c>
      <c r="AI119" s="1030">
        <v>-8.5</v>
      </c>
      <c r="AJ119" s="1030"/>
      <c r="AK119" s="1030">
        <v>31</v>
      </c>
      <c r="AL119" s="1030">
        <f>AK119*(списки!$C$56-AI119)</f>
        <v>883.5</v>
      </c>
      <c r="AM119" s="1031">
        <v>-8.1999999999999993</v>
      </c>
      <c r="AN119" s="1031"/>
      <c r="AO119" s="1031">
        <v>28</v>
      </c>
      <c r="AP119" s="1031">
        <f>AO119*(списки!$C$56-AM119)</f>
        <v>789.6</v>
      </c>
      <c r="AQ119" s="1026">
        <v>-6.2</v>
      </c>
      <c r="AR119" s="1026"/>
      <c r="AS119" s="1026">
        <f t="shared" si="17"/>
        <v>31</v>
      </c>
      <c r="AT119" s="1026">
        <f>AS119*(списки!$C$56-AQ119)</f>
        <v>812.19999999999993</v>
      </c>
      <c r="AU119" s="1032">
        <v>-1.6</v>
      </c>
      <c r="AV119" s="1032"/>
      <c r="AW119" s="1032">
        <f t="shared" si="18"/>
        <v>30</v>
      </c>
      <c r="AX119" s="1032">
        <f>AW119*(списки!$C$56-AU119)</f>
        <v>648</v>
      </c>
      <c r="AY119" s="1033">
        <v>2.6</v>
      </c>
      <c r="AZ119" s="1033"/>
      <c r="BA119" s="1033">
        <f t="shared" si="19"/>
        <v>31</v>
      </c>
      <c r="BB119" s="1033">
        <f>BA119*(списки!$C$56-AY119)</f>
        <v>539.4</v>
      </c>
      <c r="BC119" s="1034">
        <v>6.6</v>
      </c>
      <c r="BD119" s="1034"/>
      <c r="BE119" s="1034">
        <f t="shared" si="20"/>
        <v>3.5</v>
      </c>
      <c r="BF119" s="1035">
        <f>BE119*(списки!$C$56-BC119)</f>
        <v>46.9</v>
      </c>
      <c r="BG119" s="1424" t="e">
        <v>#N/A</v>
      </c>
      <c r="BH119" s="1424" t="e">
        <v>#N/A</v>
      </c>
    </row>
    <row r="120" spans="2:60" ht="15.75" customHeight="1" x14ac:dyDescent="0.25">
      <c r="B120" s="1038" t="s">
        <v>615</v>
      </c>
      <c r="C120" s="1038" t="s">
        <v>648</v>
      </c>
      <c r="D120" s="1015" t="str">
        <f t="shared" si="11"/>
        <v>Камчатская областьЛопатка, мыс</v>
      </c>
      <c r="E120" s="1016">
        <v>297</v>
      </c>
      <c r="F120" s="1017">
        <v>-0.2</v>
      </c>
      <c r="G120" s="1017">
        <v>-13</v>
      </c>
      <c r="H120" s="1019">
        <v>11.9</v>
      </c>
      <c r="I120" s="1020">
        <f>E120*(списки!$C$56-F120)</f>
        <v>5999.4</v>
      </c>
      <c r="J120" s="1021" t="str">
        <f t="shared" si="12"/>
        <v>5000-6000</v>
      </c>
      <c r="K120" s="1022">
        <v>7.6</v>
      </c>
      <c r="L120" s="1022"/>
      <c r="M120" s="1023">
        <f t="shared" si="13"/>
        <v>0</v>
      </c>
      <c r="N120" s="1024">
        <f>M120*(списки!$C$56-K120)</f>
        <v>0</v>
      </c>
      <c r="O120" s="1025">
        <v>9.5</v>
      </c>
      <c r="P120" s="1025"/>
      <c r="Q120" s="1025">
        <f t="shared" si="14"/>
        <v>12</v>
      </c>
      <c r="R120" s="1025">
        <f>Q120*(списки!$C$56-O120)</f>
        <v>126</v>
      </c>
      <c r="S120" s="1026">
        <v>8.6999999999999993</v>
      </c>
      <c r="T120" s="1026"/>
      <c r="U120" s="1026">
        <f t="shared" si="21"/>
        <v>30</v>
      </c>
      <c r="V120" s="1026">
        <f>U120*(списки!$C$56-S120)</f>
        <v>339</v>
      </c>
      <c r="W120" s="1027">
        <v>5.4</v>
      </c>
      <c r="X120" s="1027"/>
      <c r="Y120" s="1027">
        <f t="shared" si="15"/>
        <v>31</v>
      </c>
      <c r="Z120" s="1027">
        <f>Y120*(списки!$C$56-W120)</f>
        <v>452.59999999999997</v>
      </c>
      <c r="AA120" s="1028">
        <v>0.4</v>
      </c>
      <c r="AB120" s="1028"/>
      <c r="AC120" s="1028">
        <f t="shared" si="16"/>
        <v>30</v>
      </c>
      <c r="AD120" s="1028">
        <f>AC120*(списки!$C$56-AA120)</f>
        <v>588</v>
      </c>
      <c r="AE120" s="1029">
        <v>-2.8</v>
      </c>
      <c r="AF120" s="1029"/>
      <c r="AG120" s="1029">
        <v>31</v>
      </c>
      <c r="AH120" s="1029">
        <f>AG120*(списки!$C$56-AE120)</f>
        <v>706.80000000000007</v>
      </c>
      <c r="AI120" s="1030">
        <v>-4.7</v>
      </c>
      <c r="AJ120" s="1030"/>
      <c r="AK120" s="1030">
        <v>31</v>
      </c>
      <c r="AL120" s="1030">
        <f>AK120*(списки!$C$56-AI120)</f>
        <v>765.69999999999993</v>
      </c>
      <c r="AM120" s="1031">
        <v>-5.6</v>
      </c>
      <c r="AN120" s="1031"/>
      <c r="AO120" s="1031">
        <v>28</v>
      </c>
      <c r="AP120" s="1031">
        <f>AO120*(списки!$C$56-AM120)</f>
        <v>716.80000000000007</v>
      </c>
      <c r="AQ120" s="1026">
        <v>-4</v>
      </c>
      <c r="AR120" s="1026"/>
      <c r="AS120" s="1026">
        <f t="shared" si="17"/>
        <v>31</v>
      </c>
      <c r="AT120" s="1026">
        <f>AS120*(списки!$C$56-AQ120)</f>
        <v>744</v>
      </c>
      <c r="AU120" s="1032">
        <v>-1.3</v>
      </c>
      <c r="AV120" s="1032"/>
      <c r="AW120" s="1032">
        <f t="shared" si="18"/>
        <v>30</v>
      </c>
      <c r="AX120" s="1032">
        <f>AW120*(списки!$C$56-AU120)</f>
        <v>639</v>
      </c>
      <c r="AY120" s="1033">
        <v>1.2</v>
      </c>
      <c r="AZ120" s="1033"/>
      <c r="BA120" s="1033">
        <f t="shared" si="19"/>
        <v>31</v>
      </c>
      <c r="BB120" s="1033">
        <f>BA120*(списки!$C$56-AY120)</f>
        <v>582.80000000000007</v>
      </c>
      <c r="BC120" s="1034">
        <v>4.4000000000000004</v>
      </c>
      <c r="BD120" s="1034"/>
      <c r="BE120" s="1034">
        <f t="shared" si="20"/>
        <v>12</v>
      </c>
      <c r="BF120" s="1035">
        <f>BE120*(списки!$C$56-BC120)</f>
        <v>187.2</v>
      </c>
      <c r="BG120" s="1424">
        <v>6833.7732142857112</v>
      </c>
      <c r="BH120" s="1424">
        <v>5923.8824999999997</v>
      </c>
    </row>
    <row r="121" spans="2:60" ht="15.75" customHeight="1" x14ac:dyDescent="0.25">
      <c r="B121" s="1014" t="s">
        <v>615</v>
      </c>
      <c r="C121" s="1014" t="s">
        <v>649</v>
      </c>
      <c r="D121" s="1015" t="str">
        <f t="shared" si="11"/>
        <v>Камчатская областьМильково</v>
      </c>
      <c r="E121" s="1016">
        <v>256</v>
      </c>
      <c r="F121" s="1017">
        <v>-8.3000000000000007</v>
      </c>
      <c r="G121" s="1017">
        <v>-38</v>
      </c>
      <c r="H121" s="1019">
        <f>H122</f>
        <v>2.8</v>
      </c>
      <c r="I121" s="1020">
        <f>E121*(списки!$C$56-F121)</f>
        <v>7244.8</v>
      </c>
      <c r="J121" s="1021" t="str">
        <f t="shared" si="12"/>
        <v>7000-8000</v>
      </c>
      <c r="K121" s="1022">
        <v>15</v>
      </c>
      <c r="L121" s="1022"/>
      <c r="M121" s="1023">
        <f t="shared" si="13"/>
        <v>0</v>
      </c>
      <c r="N121" s="1024">
        <f>M121*(списки!$C$56-K121)</f>
        <v>0</v>
      </c>
      <c r="O121" s="1025">
        <v>13.6</v>
      </c>
      <c r="P121" s="1025"/>
      <c r="Q121" s="1025">
        <f t="shared" si="14"/>
        <v>0</v>
      </c>
      <c r="R121" s="1025">
        <f>Q121*(списки!$C$56-O121)</f>
        <v>0</v>
      </c>
      <c r="S121" s="1026">
        <v>8</v>
      </c>
      <c r="T121" s="1026"/>
      <c r="U121" s="1026">
        <f t="shared" si="21"/>
        <v>22</v>
      </c>
      <c r="V121" s="1026">
        <f>U121*(списки!$C$56-S121)</f>
        <v>264</v>
      </c>
      <c r="W121" s="1027">
        <v>0.3</v>
      </c>
      <c r="X121" s="1027"/>
      <c r="Y121" s="1027">
        <f t="shared" si="15"/>
        <v>31</v>
      </c>
      <c r="Z121" s="1027">
        <f>Y121*(списки!$C$56-W121)</f>
        <v>610.69999999999993</v>
      </c>
      <c r="AA121" s="1028">
        <v>-10.9</v>
      </c>
      <c r="AB121" s="1028"/>
      <c r="AC121" s="1028">
        <f t="shared" si="16"/>
        <v>30</v>
      </c>
      <c r="AD121" s="1028">
        <f>AC121*(списки!$C$56-AA121)</f>
        <v>927</v>
      </c>
      <c r="AE121" s="1029">
        <v>-17.600000000000001</v>
      </c>
      <c r="AF121" s="1029"/>
      <c r="AG121" s="1029">
        <v>31</v>
      </c>
      <c r="AH121" s="1029">
        <f>AG121*(списки!$C$56-AE121)</f>
        <v>1165.6000000000001</v>
      </c>
      <c r="AI121" s="1030">
        <v>-19.899999999999999</v>
      </c>
      <c r="AJ121" s="1030"/>
      <c r="AK121" s="1030">
        <v>31</v>
      </c>
      <c r="AL121" s="1030">
        <f>AK121*(списки!$C$56-AI121)</f>
        <v>1236.8999999999999</v>
      </c>
      <c r="AM121" s="1031">
        <v>-17</v>
      </c>
      <c r="AN121" s="1031"/>
      <c r="AO121" s="1031">
        <v>28</v>
      </c>
      <c r="AP121" s="1031">
        <f>AO121*(списки!$C$56-AM121)</f>
        <v>1036</v>
      </c>
      <c r="AQ121" s="1026">
        <v>-11.9</v>
      </c>
      <c r="AR121" s="1026"/>
      <c r="AS121" s="1026">
        <f t="shared" si="17"/>
        <v>31</v>
      </c>
      <c r="AT121" s="1026">
        <f>AS121*(списки!$C$56-AQ121)</f>
        <v>988.9</v>
      </c>
      <c r="AU121" s="1032">
        <v>-2.5</v>
      </c>
      <c r="AV121" s="1032"/>
      <c r="AW121" s="1032">
        <f t="shared" si="18"/>
        <v>30</v>
      </c>
      <c r="AX121" s="1032">
        <f>AW121*(списки!$C$56-AU121)</f>
        <v>675</v>
      </c>
      <c r="AY121" s="1033">
        <v>5.2</v>
      </c>
      <c r="AZ121" s="1033"/>
      <c r="BA121" s="1033">
        <f t="shared" si="19"/>
        <v>22</v>
      </c>
      <c r="BB121" s="1033">
        <f>BA121*(списки!$C$56-AY121)</f>
        <v>325.60000000000002</v>
      </c>
      <c r="BC121" s="1034">
        <v>11.6</v>
      </c>
      <c r="BD121" s="1034"/>
      <c r="BE121" s="1034">
        <f t="shared" si="20"/>
        <v>0</v>
      </c>
      <c r="BF121" s="1035">
        <f>BE121*(списки!$C$56-BC121)</f>
        <v>0</v>
      </c>
      <c r="BG121" s="1424" t="e">
        <v>#N/A</v>
      </c>
      <c r="BH121" s="1424" t="e">
        <v>#N/A</v>
      </c>
    </row>
    <row r="122" spans="2:60" ht="15.75" customHeight="1" x14ac:dyDescent="0.25">
      <c r="B122" s="1038" t="s">
        <v>615</v>
      </c>
      <c r="C122" s="1038" t="s">
        <v>107</v>
      </c>
      <c r="D122" s="1015" t="str">
        <f t="shared" si="11"/>
        <v>Камчатская областьНачики</v>
      </c>
      <c r="E122" s="1016">
        <v>275</v>
      </c>
      <c r="F122" s="1017">
        <v>-7.4</v>
      </c>
      <c r="G122" s="1017">
        <v>-32</v>
      </c>
      <c r="H122" s="1019">
        <v>2.8</v>
      </c>
      <c r="I122" s="1020">
        <f>E122*(списки!$C$56-F122)</f>
        <v>7535</v>
      </c>
      <c r="J122" s="1021" t="str">
        <f t="shared" si="12"/>
        <v>7000-8000</v>
      </c>
      <c r="K122" s="1022">
        <v>12.4</v>
      </c>
      <c r="L122" s="1022"/>
      <c r="M122" s="1023">
        <f t="shared" si="13"/>
        <v>0</v>
      </c>
      <c r="N122" s="1024">
        <f>M122*(списки!$C$56-K122)</f>
        <v>0</v>
      </c>
      <c r="O122" s="1025">
        <v>11.9</v>
      </c>
      <c r="P122" s="1025"/>
      <c r="Q122" s="1025">
        <f t="shared" si="14"/>
        <v>1</v>
      </c>
      <c r="R122" s="1025">
        <f>Q122*(списки!$C$56-O122)</f>
        <v>8.1</v>
      </c>
      <c r="S122" s="1026">
        <v>7.2</v>
      </c>
      <c r="T122" s="1026"/>
      <c r="U122" s="1026">
        <f t="shared" si="21"/>
        <v>30</v>
      </c>
      <c r="V122" s="1026">
        <f>U122*(списки!$C$56-S122)</f>
        <v>384</v>
      </c>
      <c r="W122" s="1027">
        <v>1.1000000000000001</v>
      </c>
      <c r="X122" s="1027"/>
      <c r="Y122" s="1027">
        <f t="shared" si="15"/>
        <v>31</v>
      </c>
      <c r="Z122" s="1027">
        <f>Y122*(списки!$C$56-W122)</f>
        <v>585.9</v>
      </c>
      <c r="AA122" s="1028">
        <v>-8.6</v>
      </c>
      <c r="AB122" s="1028"/>
      <c r="AC122" s="1028">
        <f t="shared" si="16"/>
        <v>30</v>
      </c>
      <c r="AD122" s="1028">
        <f>AC122*(списки!$C$56-AA122)</f>
        <v>858</v>
      </c>
      <c r="AE122" s="1029">
        <v>-16.7</v>
      </c>
      <c r="AF122" s="1029"/>
      <c r="AG122" s="1029">
        <v>31</v>
      </c>
      <c r="AH122" s="1029">
        <f>AG122*(списки!$C$56-AE122)</f>
        <v>1137.7</v>
      </c>
      <c r="AI122" s="1030">
        <v>-18.7</v>
      </c>
      <c r="AJ122" s="1030"/>
      <c r="AK122" s="1030">
        <v>31</v>
      </c>
      <c r="AL122" s="1030">
        <f>AK122*(списки!$C$56-AI122)</f>
        <v>1199.7</v>
      </c>
      <c r="AM122" s="1031">
        <v>-16.2</v>
      </c>
      <c r="AN122" s="1031"/>
      <c r="AO122" s="1031">
        <v>28</v>
      </c>
      <c r="AP122" s="1031">
        <f>AO122*(списки!$C$56-AM122)</f>
        <v>1013.6000000000001</v>
      </c>
      <c r="AQ122" s="1026">
        <v>-11</v>
      </c>
      <c r="AR122" s="1026"/>
      <c r="AS122" s="1026">
        <f t="shared" si="17"/>
        <v>31</v>
      </c>
      <c r="AT122" s="1026">
        <f>AS122*(списки!$C$56-AQ122)</f>
        <v>961</v>
      </c>
      <c r="AU122" s="1032">
        <v>-3.5</v>
      </c>
      <c r="AV122" s="1032"/>
      <c r="AW122" s="1032">
        <f t="shared" si="18"/>
        <v>30</v>
      </c>
      <c r="AX122" s="1032">
        <f>AW122*(списки!$C$56-AU122)</f>
        <v>705</v>
      </c>
      <c r="AY122" s="1033">
        <v>2.2999999999999998</v>
      </c>
      <c r="AZ122" s="1033"/>
      <c r="BA122" s="1033">
        <f t="shared" si="19"/>
        <v>31</v>
      </c>
      <c r="BB122" s="1033">
        <f>BA122*(списки!$C$56-AY122)</f>
        <v>548.69999999999993</v>
      </c>
      <c r="BC122" s="1034">
        <v>8.6</v>
      </c>
      <c r="BD122" s="1034"/>
      <c r="BE122" s="1034">
        <f t="shared" si="20"/>
        <v>1</v>
      </c>
      <c r="BF122" s="1035">
        <f>BE122*(списки!$C$56-BC122)</f>
        <v>11.4</v>
      </c>
      <c r="BG122" s="1424" t="e">
        <v>#N/A</v>
      </c>
      <c r="BH122" s="1424" t="e">
        <v>#N/A</v>
      </c>
    </row>
    <row r="123" spans="2:60" ht="15.75" customHeight="1" x14ac:dyDescent="0.25">
      <c r="B123" s="1014" t="s">
        <v>615</v>
      </c>
      <c r="C123" s="1014" t="s">
        <v>909</v>
      </c>
      <c r="D123" s="1015" t="str">
        <f t="shared" si="11"/>
        <v>Камчатская областьо,Беринга</v>
      </c>
      <c r="E123" s="1016">
        <v>283</v>
      </c>
      <c r="F123" s="1017">
        <v>0.4</v>
      </c>
      <c r="G123" s="1017">
        <v>-11</v>
      </c>
      <c r="H123" s="1019">
        <v>8.6999999999999993</v>
      </c>
      <c r="I123" s="1020">
        <f>E123*(списки!$C$56-F123)</f>
        <v>5546.8</v>
      </c>
      <c r="J123" s="1021" t="str">
        <f t="shared" si="12"/>
        <v>5000-6000</v>
      </c>
      <c r="K123" s="1022">
        <v>8.9</v>
      </c>
      <c r="L123" s="1022"/>
      <c r="M123" s="1023">
        <f t="shared" si="13"/>
        <v>0</v>
      </c>
      <c r="N123" s="1024">
        <f>M123*(списки!$C$56-K123)</f>
        <v>0</v>
      </c>
      <c r="O123" s="1025">
        <v>10.8</v>
      </c>
      <c r="P123" s="1025"/>
      <c r="Q123" s="1025">
        <f t="shared" si="14"/>
        <v>5</v>
      </c>
      <c r="R123" s="1025">
        <f>Q123*(списки!$C$56-O123)</f>
        <v>46</v>
      </c>
      <c r="S123" s="1026">
        <v>9.4</v>
      </c>
      <c r="T123" s="1026"/>
      <c r="U123" s="1026">
        <f t="shared" si="21"/>
        <v>30</v>
      </c>
      <c r="V123" s="1026">
        <f>U123*(списки!$C$56-S123)</f>
        <v>318</v>
      </c>
      <c r="W123" s="1027">
        <v>5.3</v>
      </c>
      <c r="X123" s="1027"/>
      <c r="Y123" s="1027">
        <f t="shared" si="15"/>
        <v>31</v>
      </c>
      <c r="Z123" s="1027">
        <f>Y123*(списки!$C$56-W123)</f>
        <v>455.7</v>
      </c>
      <c r="AA123" s="1028">
        <v>0.7</v>
      </c>
      <c r="AB123" s="1028"/>
      <c r="AC123" s="1028">
        <f t="shared" si="16"/>
        <v>30</v>
      </c>
      <c r="AD123" s="1028">
        <f>AC123*(списки!$C$56-AA123)</f>
        <v>579</v>
      </c>
      <c r="AE123" s="1029">
        <v>-2.2000000000000002</v>
      </c>
      <c r="AF123" s="1029"/>
      <c r="AG123" s="1029">
        <v>31</v>
      </c>
      <c r="AH123" s="1029">
        <f>AG123*(списки!$C$56-AE123)</f>
        <v>688.19999999999993</v>
      </c>
      <c r="AI123" s="1030">
        <v>-3.3</v>
      </c>
      <c r="AJ123" s="1030"/>
      <c r="AK123" s="1030">
        <v>31</v>
      </c>
      <c r="AL123" s="1030">
        <f>AK123*(списки!$C$56-AI123)</f>
        <v>722.30000000000007</v>
      </c>
      <c r="AM123" s="1031">
        <v>-3.5</v>
      </c>
      <c r="AN123" s="1031"/>
      <c r="AO123" s="1031">
        <v>28</v>
      </c>
      <c r="AP123" s="1031">
        <f>AO123*(списки!$C$56-AM123)</f>
        <v>658</v>
      </c>
      <c r="AQ123" s="1026">
        <v>-2.5</v>
      </c>
      <c r="AR123" s="1026"/>
      <c r="AS123" s="1026">
        <f t="shared" si="17"/>
        <v>31</v>
      </c>
      <c r="AT123" s="1026">
        <f>AS123*(списки!$C$56-AQ123)</f>
        <v>697.5</v>
      </c>
      <c r="AU123" s="1032">
        <v>-0.5</v>
      </c>
      <c r="AV123" s="1032"/>
      <c r="AW123" s="1032">
        <f t="shared" si="18"/>
        <v>30</v>
      </c>
      <c r="AX123" s="1032">
        <f>AW123*(списки!$C$56-AU123)</f>
        <v>615</v>
      </c>
      <c r="AY123" s="1033">
        <v>2.2999999999999998</v>
      </c>
      <c r="AZ123" s="1033"/>
      <c r="BA123" s="1033">
        <f t="shared" si="19"/>
        <v>31</v>
      </c>
      <c r="BB123" s="1033">
        <f>BA123*(списки!$C$56-AY123)</f>
        <v>548.69999999999993</v>
      </c>
      <c r="BC123" s="1034">
        <v>5.6</v>
      </c>
      <c r="BD123" s="1034"/>
      <c r="BE123" s="1034">
        <f t="shared" si="20"/>
        <v>5</v>
      </c>
      <c r="BF123" s="1035">
        <f>BE123*(списки!$C$56-BC123)</f>
        <v>72</v>
      </c>
      <c r="BG123" s="1424" t="e">
        <v>#N/A</v>
      </c>
      <c r="BH123" s="1424" t="e">
        <v>#N/A</v>
      </c>
    </row>
    <row r="124" spans="2:60" ht="15.75" customHeight="1" x14ac:dyDescent="0.25">
      <c r="B124" s="1038" t="s">
        <v>615</v>
      </c>
      <c r="C124" s="1038" t="s">
        <v>108</v>
      </c>
      <c r="D124" s="1015" t="str">
        <f t="shared" si="11"/>
        <v>Камчатская областьОктябрьская</v>
      </c>
      <c r="E124" s="1016">
        <v>281</v>
      </c>
      <c r="F124" s="1017">
        <v>-3.5</v>
      </c>
      <c r="G124" s="1017">
        <v>-25</v>
      </c>
      <c r="H124" s="1019">
        <v>6.4</v>
      </c>
      <c r="I124" s="1020">
        <f>E124*(списки!$C$56-F124)</f>
        <v>6603.5</v>
      </c>
      <c r="J124" s="1021" t="str">
        <f t="shared" si="12"/>
        <v>6000-7000</v>
      </c>
      <c r="K124" s="1022">
        <v>9.8000000000000007</v>
      </c>
      <c r="L124" s="1022"/>
      <c r="M124" s="1023">
        <f t="shared" si="13"/>
        <v>0</v>
      </c>
      <c r="N124" s="1024">
        <f>M124*(списки!$C$56-K124)</f>
        <v>0</v>
      </c>
      <c r="O124" s="1025">
        <v>11.4</v>
      </c>
      <c r="P124" s="1025"/>
      <c r="Q124" s="1025">
        <f t="shared" si="14"/>
        <v>4</v>
      </c>
      <c r="R124" s="1025">
        <f>Q124*(списки!$C$56-O124)</f>
        <v>34.4</v>
      </c>
      <c r="S124" s="1026">
        <v>9.3000000000000007</v>
      </c>
      <c r="T124" s="1026"/>
      <c r="U124" s="1026">
        <f t="shared" si="21"/>
        <v>30</v>
      </c>
      <c r="V124" s="1026">
        <f>U124*(списки!$C$56-S124)</f>
        <v>321</v>
      </c>
      <c r="W124" s="1027">
        <v>4.0999999999999996</v>
      </c>
      <c r="X124" s="1027"/>
      <c r="Y124" s="1027">
        <f t="shared" si="15"/>
        <v>31</v>
      </c>
      <c r="Z124" s="1027">
        <f>Y124*(списки!$C$56-W124)</f>
        <v>492.90000000000003</v>
      </c>
      <c r="AA124" s="1028">
        <v>-3</v>
      </c>
      <c r="AB124" s="1028"/>
      <c r="AC124" s="1028">
        <f t="shared" si="16"/>
        <v>30</v>
      </c>
      <c r="AD124" s="1028">
        <f>AC124*(списки!$C$56-AA124)</f>
        <v>690</v>
      </c>
      <c r="AE124" s="1029">
        <v>-9</v>
      </c>
      <c r="AF124" s="1029"/>
      <c r="AG124" s="1029">
        <v>31</v>
      </c>
      <c r="AH124" s="1029">
        <f>AG124*(списки!$C$56-AE124)</f>
        <v>899</v>
      </c>
      <c r="AI124" s="1030">
        <v>-12.1</v>
      </c>
      <c r="AJ124" s="1030"/>
      <c r="AK124" s="1030">
        <v>31</v>
      </c>
      <c r="AL124" s="1030">
        <f>AK124*(списки!$C$56-AI124)</f>
        <v>995.1</v>
      </c>
      <c r="AM124" s="1031">
        <v>-12.6</v>
      </c>
      <c r="AN124" s="1031"/>
      <c r="AO124" s="1031">
        <v>28</v>
      </c>
      <c r="AP124" s="1031">
        <f>AO124*(списки!$C$56-AM124)</f>
        <v>912.80000000000007</v>
      </c>
      <c r="AQ124" s="1026">
        <v>-8.6999999999999993</v>
      </c>
      <c r="AR124" s="1026"/>
      <c r="AS124" s="1026">
        <f t="shared" si="17"/>
        <v>31</v>
      </c>
      <c r="AT124" s="1026">
        <f>AS124*(списки!$C$56-AQ124)</f>
        <v>889.69999999999993</v>
      </c>
      <c r="AU124" s="1032">
        <v>-2.5</v>
      </c>
      <c r="AV124" s="1032"/>
      <c r="AW124" s="1032">
        <f t="shared" si="18"/>
        <v>30</v>
      </c>
      <c r="AX124" s="1032">
        <f>AW124*(списки!$C$56-AU124)</f>
        <v>675</v>
      </c>
      <c r="AY124" s="1033">
        <v>2.1</v>
      </c>
      <c r="AZ124" s="1033"/>
      <c r="BA124" s="1033">
        <f t="shared" si="19"/>
        <v>31</v>
      </c>
      <c r="BB124" s="1033">
        <f>BA124*(списки!$C$56-AY124)</f>
        <v>554.9</v>
      </c>
      <c r="BC124" s="1034">
        <v>6.1</v>
      </c>
      <c r="BD124" s="1034"/>
      <c r="BE124" s="1034">
        <f t="shared" si="20"/>
        <v>4</v>
      </c>
      <c r="BF124" s="1035">
        <f>BE124*(списки!$C$56-BC124)</f>
        <v>55.6</v>
      </c>
      <c r="BG124" s="1424" t="e">
        <v>#N/A</v>
      </c>
      <c r="BH124" s="1424" t="e">
        <v>#N/A</v>
      </c>
    </row>
    <row r="125" spans="2:60" ht="15.75" customHeight="1" x14ac:dyDescent="0.25">
      <c r="B125" s="1014" t="s">
        <v>615</v>
      </c>
      <c r="C125" s="1014" t="s">
        <v>651</v>
      </c>
      <c r="D125" s="1015" t="str">
        <f t="shared" si="11"/>
        <v xml:space="preserve">Камчатская областьОссора </v>
      </c>
      <c r="E125" s="1016">
        <v>272</v>
      </c>
      <c r="F125" s="1017">
        <v>-6.6</v>
      </c>
      <c r="G125" s="1017">
        <v>-31</v>
      </c>
      <c r="H125" s="1019">
        <f>H124</f>
        <v>6.4</v>
      </c>
      <c r="I125" s="1020">
        <f>E125*(списки!$C$56-F125)</f>
        <v>7235.2000000000007</v>
      </c>
      <c r="J125" s="1021" t="str">
        <f t="shared" si="12"/>
        <v>7000-8000</v>
      </c>
      <c r="K125" s="1022">
        <v>12.2</v>
      </c>
      <c r="L125" s="1022"/>
      <c r="M125" s="1023">
        <f t="shared" si="13"/>
        <v>0</v>
      </c>
      <c r="N125" s="1024">
        <f>M125*(списки!$C$56-K125)</f>
        <v>0</v>
      </c>
      <c r="O125" s="1025">
        <v>12.3</v>
      </c>
      <c r="P125" s="1025"/>
      <c r="Q125" s="1025">
        <f t="shared" si="14"/>
        <v>0</v>
      </c>
      <c r="R125" s="1025">
        <f>Q125*(списки!$C$56-O125)</f>
        <v>0</v>
      </c>
      <c r="S125" s="1026">
        <v>8.1999999999999993</v>
      </c>
      <c r="T125" s="1026"/>
      <c r="U125" s="1026">
        <f t="shared" si="21"/>
        <v>30</v>
      </c>
      <c r="V125" s="1026">
        <f>U125*(списки!$C$56-S125)</f>
        <v>354</v>
      </c>
      <c r="W125" s="1027">
        <v>1.2</v>
      </c>
      <c r="X125" s="1027"/>
      <c r="Y125" s="1027">
        <f t="shared" si="15"/>
        <v>31</v>
      </c>
      <c r="Z125" s="1027">
        <f>Y125*(списки!$C$56-W125)</f>
        <v>582.80000000000007</v>
      </c>
      <c r="AA125" s="1028">
        <v>-7</v>
      </c>
      <c r="AB125" s="1028"/>
      <c r="AC125" s="1028">
        <f t="shared" si="16"/>
        <v>30</v>
      </c>
      <c r="AD125" s="1028">
        <f>AC125*(списки!$C$56-AA125)</f>
        <v>810</v>
      </c>
      <c r="AE125" s="1029">
        <v>-12.9</v>
      </c>
      <c r="AF125" s="1029"/>
      <c r="AG125" s="1029">
        <v>31</v>
      </c>
      <c r="AH125" s="1029">
        <f>AG125*(списки!$C$56-AE125)</f>
        <v>1019.9</v>
      </c>
      <c r="AI125" s="1030">
        <v>-14.5</v>
      </c>
      <c r="AJ125" s="1030"/>
      <c r="AK125" s="1030">
        <v>31</v>
      </c>
      <c r="AL125" s="1030">
        <f>AK125*(списки!$C$56-AI125)</f>
        <v>1069.5</v>
      </c>
      <c r="AM125" s="1031">
        <v>-14.1</v>
      </c>
      <c r="AN125" s="1031"/>
      <c r="AO125" s="1031">
        <v>28</v>
      </c>
      <c r="AP125" s="1031">
        <f>AO125*(списки!$C$56-AM125)</f>
        <v>954.80000000000007</v>
      </c>
      <c r="AQ125" s="1026">
        <v>-11.4</v>
      </c>
      <c r="AR125" s="1026"/>
      <c r="AS125" s="1026">
        <f t="shared" si="17"/>
        <v>31</v>
      </c>
      <c r="AT125" s="1026">
        <f>AS125*(списки!$C$56-AQ125)</f>
        <v>973.4</v>
      </c>
      <c r="AU125" s="1032">
        <v>-6.1</v>
      </c>
      <c r="AV125" s="1032"/>
      <c r="AW125" s="1032">
        <f t="shared" si="18"/>
        <v>30</v>
      </c>
      <c r="AX125" s="1032">
        <f>AW125*(списки!$C$56-AU125)</f>
        <v>783</v>
      </c>
      <c r="AY125" s="1033">
        <v>1</v>
      </c>
      <c r="AZ125" s="1033"/>
      <c r="BA125" s="1033">
        <f t="shared" si="19"/>
        <v>30</v>
      </c>
      <c r="BB125" s="1033">
        <f>BA125*(списки!$C$56-AY125)</f>
        <v>570</v>
      </c>
      <c r="BC125" s="1034">
        <v>7.9</v>
      </c>
      <c r="BD125" s="1034"/>
      <c r="BE125" s="1034">
        <f t="shared" si="20"/>
        <v>0</v>
      </c>
      <c r="BF125" s="1035">
        <f>BE125*(списки!$C$56-BC125)</f>
        <v>0</v>
      </c>
      <c r="BG125" s="1424" t="e">
        <v>#N/A</v>
      </c>
      <c r="BH125" s="1424" t="e">
        <v>#N/A</v>
      </c>
    </row>
    <row r="126" spans="2:60" ht="15.75" customHeight="1" x14ac:dyDescent="0.25">
      <c r="B126" s="1038" t="s">
        <v>615</v>
      </c>
      <c r="C126" s="1038" t="s">
        <v>652</v>
      </c>
      <c r="D126" s="1015" t="str">
        <f t="shared" si="11"/>
        <v>Камчатская областьПетропавловск- Камчатский</v>
      </c>
      <c r="E126" s="1016">
        <v>250</v>
      </c>
      <c r="F126" s="1017">
        <v>-1.7</v>
      </c>
      <c r="G126" s="1017">
        <v>-18</v>
      </c>
      <c r="H126" s="1019">
        <v>5</v>
      </c>
      <c r="I126" s="1020">
        <f>E126*(списки!$C$56-F126)</f>
        <v>5425</v>
      </c>
      <c r="J126" s="1021" t="str">
        <f t="shared" si="12"/>
        <v>5000-6000</v>
      </c>
      <c r="K126" s="1022">
        <v>12.5</v>
      </c>
      <c r="L126" s="1022"/>
      <c r="M126" s="1023">
        <f t="shared" si="13"/>
        <v>0</v>
      </c>
      <c r="N126" s="1024">
        <f>M126*(списки!$C$56-K126)</f>
        <v>0</v>
      </c>
      <c r="O126" s="1025">
        <v>13.2</v>
      </c>
      <c r="P126" s="1025"/>
      <c r="Q126" s="1025">
        <f t="shared" si="14"/>
        <v>0</v>
      </c>
      <c r="R126" s="1025">
        <f>Q126*(списки!$C$56-O126)</f>
        <v>0</v>
      </c>
      <c r="S126" s="1026">
        <v>10.3</v>
      </c>
      <c r="T126" s="1026"/>
      <c r="U126" s="1026">
        <f t="shared" si="21"/>
        <v>19</v>
      </c>
      <c r="V126" s="1026">
        <f>U126*(списки!$C$56-S126)</f>
        <v>184.29999999999998</v>
      </c>
      <c r="W126" s="1027">
        <v>5.2</v>
      </c>
      <c r="X126" s="1027"/>
      <c r="Y126" s="1027">
        <f t="shared" si="15"/>
        <v>31</v>
      </c>
      <c r="Z126" s="1027">
        <f>Y126*(списки!$C$56-W126)</f>
        <v>458.8</v>
      </c>
      <c r="AA126" s="1028">
        <v>-1.1000000000000001</v>
      </c>
      <c r="AB126" s="1028"/>
      <c r="AC126" s="1028">
        <f t="shared" si="16"/>
        <v>30</v>
      </c>
      <c r="AD126" s="1028">
        <f>AC126*(списки!$C$56-AA126)</f>
        <v>633</v>
      </c>
      <c r="AE126" s="1029">
        <v>-5.2</v>
      </c>
      <c r="AF126" s="1029"/>
      <c r="AG126" s="1029">
        <v>31</v>
      </c>
      <c r="AH126" s="1029">
        <f>AG126*(списки!$C$56-AE126)</f>
        <v>781.19999999999993</v>
      </c>
      <c r="AI126" s="1030">
        <v>-7</v>
      </c>
      <c r="AJ126" s="1030"/>
      <c r="AK126" s="1030">
        <v>31</v>
      </c>
      <c r="AL126" s="1030">
        <f>AK126*(списки!$C$56-AI126)</f>
        <v>837</v>
      </c>
      <c r="AM126" s="1031">
        <v>-6.6</v>
      </c>
      <c r="AN126" s="1031"/>
      <c r="AO126" s="1031">
        <v>28</v>
      </c>
      <c r="AP126" s="1031">
        <f>AO126*(списки!$C$56-AM126)</f>
        <v>744.80000000000007</v>
      </c>
      <c r="AQ126" s="1026">
        <v>-4</v>
      </c>
      <c r="AR126" s="1026"/>
      <c r="AS126" s="1026">
        <f t="shared" si="17"/>
        <v>31</v>
      </c>
      <c r="AT126" s="1026">
        <f>AS126*(списки!$C$56-AQ126)</f>
        <v>744</v>
      </c>
      <c r="AU126" s="1032">
        <v>0.1</v>
      </c>
      <c r="AV126" s="1032"/>
      <c r="AW126" s="1032">
        <f t="shared" si="18"/>
        <v>30</v>
      </c>
      <c r="AX126" s="1032">
        <f>AW126*(списки!$C$56-AU126)</f>
        <v>597</v>
      </c>
      <c r="AY126" s="1033">
        <v>4.4000000000000004</v>
      </c>
      <c r="AZ126" s="1033"/>
      <c r="BA126" s="1033">
        <f t="shared" si="19"/>
        <v>19</v>
      </c>
      <c r="BB126" s="1033">
        <f>BA126*(списки!$C$56-AY126)</f>
        <v>296.39999999999998</v>
      </c>
      <c r="BC126" s="1034">
        <v>9.1999999999999993</v>
      </c>
      <c r="BD126" s="1034"/>
      <c r="BE126" s="1034">
        <f t="shared" si="20"/>
        <v>0</v>
      </c>
      <c r="BF126" s="1035">
        <f>BE126*(списки!$C$56-BC126)</f>
        <v>0</v>
      </c>
      <c r="BG126" s="1424">
        <v>5527.1410714285694</v>
      </c>
      <c r="BH126" s="1424">
        <v>4887.4624999999987</v>
      </c>
    </row>
    <row r="127" spans="2:60" ht="15.75" customHeight="1" x14ac:dyDescent="0.25">
      <c r="B127" s="1014" t="s">
        <v>615</v>
      </c>
      <c r="C127" s="1014" t="s">
        <v>109</v>
      </c>
      <c r="D127" s="1015" t="str">
        <f t="shared" si="11"/>
        <v>Камчатская областьСемлячики</v>
      </c>
      <c r="E127" s="1016">
        <v>260</v>
      </c>
      <c r="F127" s="1017">
        <v>-1.5</v>
      </c>
      <c r="G127" s="1017">
        <v>-15</v>
      </c>
      <c r="H127" s="1019">
        <v>7.5</v>
      </c>
      <c r="I127" s="1020">
        <f>E127*(списки!$C$56-F127)</f>
        <v>5590</v>
      </c>
      <c r="J127" s="1021" t="str">
        <f t="shared" si="12"/>
        <v>5000-6000</v>
      </c>
      <c r="K127" s="1022">
        <v>11.4</v>
      </c>
      <c r="L127" s="1022"/>
      <c r="M127" s="1023">
        <f t="shared" si="13"/>
        <v>0</v>
      </c>
      <c r="N127" s="1024">
        <f>M127*(списки!$C$56-K127)</f>
        <v>0</v>
      </c>
      <c r="O127" s="1025">
        <v>12.8</v>
      </c>
      <c r="P127" s="1025"/>
      <c r="Q127" s="1025">
        <f t="shared" si="14"/>
        <v>0</v>
      </c>
      <c r="R127" s="1025">
        <f>Q127*(списки!$C$56-O127)</f>
        <v>0</v>
      </c>
      <c r="S127" s="1026">
        <v>10.1</v>
      </c>
      <c r="T127" s="1026"/>
      <c r="U127" s="1026">
        <f t="shared" si="21"/>
        <v>24</v>
      </c>
      <c r="V127" s="1026">
        <f>U127*(списки!$C$56-S127)</f>
        <v>237.60000000000002</v>
      </c>
      <c r="W127" s="1027">
        <v>5.0999999999999996</v>
      </c>
      <c r="X127" s="1027"/>
      <c r="Y127" s="1027">
        <f t="shared" si="15"/>
        <v>31</v>
      </c>
      <c r="Z127" s="1027">
        <f>Y127*(списки!$C$56-W127)</f>
        <v>461.90000000000003</v>
      </c>
      <c r="AA127" s="1028">
        <v>-1.3</v>
      </c>
      <c r="AB127" s="1028"/>
      <c r="AC127" s="1028">
        <f t="shared" si="16"/>
        <v>30</v>
      </c>
      <c r="AD127" s="1028">
        <f>AC127*(списки!$C$56-AA127)</f>
        <v>639</v>
      </c>
      <c r="AE127" s="1029">
        <v>-5</v>
      </c>
      <c r="AF127" s="1029"/>
      <c r="AG127" s="1029">
        <v>31</v>
      </c>
      <c r="AH127" s="1029">
        <f>AG127*(списки!$C$56-AE127)</f>
        <v>775</v>
      </c>
      <c r="AI127" s="1030">
        <v>-6.3</v>
      </c>
      <c r="AJ127" s="1030"/>
      <c r="AK127" s="1030">
        <v>31</v>
      </c>
      <c r="AL127" s="1030">
        <f>AK127*(списки!$C$56-AI127)</f>
        <v>815.30000000000007</v>
      </c>
      <c r="AM127" s="1031">
        <v>-5.9</v>
      </c>
      <c r="AN127" s="1031"/>
      <c r="AO127" s="1031">
        <v>28</v>
      </c>
      <c r="AP127" s="1031">
        <f>AO127*(списки!$C$56-AM127)</f>
        <v>725.19999999999993</v>
      </c>
      <c r="AQ127" s="1026">
        <v>-4.4000000000000004</v>
      </c>
      <c r="AR127" s="1026"/>
      <c r="AS127" s="1026">
        <f t="shared" si="17"/>
        <v>31</v>
      </c>
      <c r="AT127" s="1026">
        <f>AS127*(списки!$C$56-AQ127)</f>
        <v>756.4</v>
      </c>
      <c r="AU127" s="1032">
        <v>-0.8</v>
      </c>
      <c r="AV127" s="1032"/>
      <c r="AW127" s="1032">
        <f t="shared" si="18"/>
        <v>30</v>
      </c>
      <c r="AX127" s="1032">
        <f>AW127*(списки!$C$56-AU127)</f>
        <v>624</v>
      </c>
      <c r="AY127" s="1033">
        <v>3.3</v>
      </c>
      <c r="AZ127" s="1033"/>
      <c r="BA127" s="1033">
        <f t="shared" si="19"/>
        <v>24</v>
      </c>
      <c r="BB127" s="1033">
        <f>BA127*(списки!$C$56-AY127)</f>
        <v>400.79999999999995</v>
      </c>
      <c r="BC127" s="1034">
        <v>7.9</v>
      </c>
      <c r="BD127" s="1034"/>
      <c r="BE127" s="1034">
        <f t="shared" si="20"/>
        <v>0</v>
      </c>
      <c r="BF127" s="1035">
        <f>BE127*(списки!$C$56-BC127)</f>
        <v>0</v>
      </c>
      <c r="BG127" s="1424" t="e">
        <v>#N/A</v>
      </c>
      <c r="BH127" s="1424" t="e">
        <v>#N/A</v>
      </c>
    </row>
    <row r="128" spans="2:60" ht="15.75" customHeight="1" x14ac:dyDescent="0.25">
      <c r="B128" s="1038" t="s">
        <v>615</v>
      </c>
      <c r="C128" s="1038" t="s">
        <v>110</v>
      </c>
      <c r="D128" s="1015" t="str">
        <f t="shared" si="11"/>
        <v>Камчатская областьСоболево</v>
      </c>
      <c r="E128" s="1016">
        <v>268</v>
      </c>
      <c r="F128" s="1017">
        <v>-5.0999999999999996</v>
      </c>
      <c r="G128" s="1017">
        <v>-30</v>
      </c>
      <c r="H128" s="1019">
        <v>2.9</v>
      </c>
      <c r="I128" s="1020">
        <f>E128*(списки!$C$56-F128)</f>
        <v>6726.8</v>
      </c>
      <c r="J128" s="1021" t="str">
        <f t="shared" si="12"/>
        <v>6000-7000</v>
      </c>
      <c r="K128" s="1022">
        <v>11.7</v>
      </c>
      <c r="L128" s="1022"/>
      <c r="M128" s="1023">
        <f t="shared" si="13"/>
        <v>0</v>
      </c>
      <c r="N128" s="1024">
        <f>M128*(списки!$C$56-K128)</f>
        <v>0</v>
      </c>
      <c r="O128" s="1025">
        <v>12.2</v>
      </c>
      <c r="P128" s="1025"/>
      <c r="Q128" s="1025">
        <f t="shared" si="14"/>
        <v>0</v>
      </c>
      <c r="R128" s="1025">
        <f>Q128*(списки!$C$56-O128)</f>
        <v>0</v>
      </c>
      <c r="S128" s="1026">
        <v>8.6</v>
      </c>
      <c r="T128" s="1026"/>
      <c r="U128" s="1026">
        <f t="shared" si="21"/>
        <v>28</v>
      </c>
      <c r="V128" s="1026">
        <f>U128*(списки!$C$56-S128)</f>
        <v>319.2</v>
      </c>
      <c r="W128" s="1027">
        <v>3.2</v>
      </c>
      <c r="X128" s="1027"/>
      <c r="Y128" s="1027">
        <f t="shared" si="15"/>
        <v>31</v>
      </c>
      <c r="Z128" s="1027">
        <f>Y128*(списки!$C$56-W128)</f>
        <v>520.80000000000007</v>
      </c>
      <c r="AA128" s="1028">
        <v>-4.9000000000000004</v>
      </c>
      <c r="AB128" s="1028"/>
      <c r="AC128" s="1028">
        <f t="shared" si="16"/>
        <v>30</v>
      </c>
      <c r="AD128" s="1028">
        <f>AC128*(списки!$C$56-AA128)</f>
        <v>747</v>
      </c>
      <c r="AE128" s="1029">
        <v>-11.1</v>
      </c>
      <c r="AF128" s="1029"/>
      <c r="AG128" s="1029">
        <v>31</v>
      </c>
      <c r="AH128" s="1029">
        <f>AG128*(списки!$C$56-AE128)</f>
        <v>964.1</v>
      </c>
      <c r="AI128" s="1030">
        <v>-13.9</v>
      </c>
      <c r="AJ128" s="1030"/>
      <c r="AK128" s="1030">
        <v>31</v>
      </c>
      <c r="AL128" s="1030">
        <f>AK128*(списки!$C$56-AI128)</f>
        <v>1050.8999999999999</v>
      </c>
      <c r="AM128" s="1031">
        <v>-13.3</v>
      </c>
      <c r="AN128" s="1031"/>
      <c r="AO128" s="1031">
        <v>28</v>
      </c>
      <c r="AP128" s="1031">
        <f>AO128*(списки!$C$56-AM128)</f>
        <v>932.39999999999986</v>
      </c>
      <c r="AQ128" s="1026">
        <v>-9</v>
      </c>
      <c r="AR128" s="1026"/>
      <c r="AS128" s="1026">
        <f t="shared" si="17"/>
        <v>31</v>
      </c>
      <c r="AT128" s="1026">
        <f>AS128*(списки!$C$56-AQ128)</f>
        <v>899</v>
      </c>
      <c r="AU128" s="1032">
        <v>-2.7</v>
      </c>
      <c r="AV128" s="1032"/>
      <c r="AW128" s="1032">
        <f t="shared" si="18"/>
        <v>30</v>
      </c>
      <c r="AX128" s="1032">
        <f>AW128*(списки!$C$56-AU128)</f>
        <v>681</v>
      </c>
      <c r="AY128" s="1033">
        <v>3</v>
      </c>
      <c r="AZ128" s="1033"/>
      <c r="BA128" s="1033">
        <f t="shared" si="19"/>
        <v>28</v>
      </c>
      <c r="BB128" s="1033">
        <f>BA128*(списки!$C$56-AY128)</f>
        <v>476</v>
      </c>
      <c r="BC128" s="1034">
        <v>8.1</v>
      </c>
      <c r="BD128" s="1034"/>
      <c r="BE128" s="1034">
        <f t="shared" si="20"/>
        <v>0</v>
      </c>
      <c r="BF128" s="1035">
        <f>BE128*(списки!$C$56-BC128)</f>
        <v>0</v>
      </c>
      <c r="BG128" s="1424">
        <v>6743.8428571428567</v>
      </c>
      <c r="BH128" s="1424">
        <v>5851.1375000000035</v>
      </c>
    </row>
    <row r="129" spans="2:60" ht="15.75" customHeight="1" x14ac:dyDescent="0.25">
      <c r="B129" s="1014" t="s">
        <v>615</v>
      </c>
      <c r="C129" s="1014" t="s">
        <v>111</v>
      </c>
      <c r="D129" s="1015" t="str">
        <f t="shared" si="11"/>
        <v>Камчатская областьУка</v>
      </c>
      <c r="E129" s="1016">
        <v>281</v>
      </c>
      <c r="F129" s="1017">
        <v>-6.7</v>
      </c>
      <c r="G129" s="1017">
        <v>-34</v>
      </c>
      <c r="H129" s="1019">
        <v>9.1999999999999993</v>
      </c>
      <c r="I129" s="1020">
        <f>E129*(списки!$C$56-F129)</f>
        <v>7502.7</v>
      </c>
      <c r="J129" s="1021" t="str">
        <f t="shared" si="12"/>
        <v>7000-8000</v>
      </c>
      <c r="K129" s="1022">
        <v>12.2</v>
      </c>
      <c r="L129" s="1022"/>
      <c r="M129" s="1023">
        <f t="shared" si="13"/>
        <v>0</v>
      </c>
      <c r="N129" s="1024">
        <f>M129*(списки!$C$56-K129)</f>
        <v>0</v>
      </c>
      <c r="O129" s="1025">
        <v>12.6</v>
      </c>
      <c r="P129" s="1025"/>
      <c r="Q129" s="1025">
        <f t="shared" si="14"/>
        <v>4</v>
      </c>
      <c r="R129" s="1025">
        <f>Q129*(списки!$C$56-O129)</f>
        <v>29.6</v>
      </c>
      <c r="S129" s="1026">
        <v>8.1</v>
      </c>
      <c r="T129" s="1026"/>
      <c r="U129" s="1026">
        <f t="shared" si="21"/>
        <v>30</v>
      </c>
      <c r="V129" s="1026">
        <f>U129*(списки!$C$56-S129)</f>
        <v>357</v>
      </c>
      <c r="W129" s="1027">
        <v>0.7</v>
      </c>
      <c r="X129" s="1027"/>
      <c r="Y129" s="1027">
        <f t="shared" si="15"/>
        <v>31</v>
      </c>
      <c r="Z129" s="1027">
        <f>Y129*(списки!$C$56-W129)</f>
        <v>598.30000000000007</v>
      </c>
      <c r="AA129" s="1028">
        <v>-7.1</v>
      </c>
      <c r="AB129" s="1028"/>
      <c r="AC129" s="1028">
        <f t="shared" si="16"/>
        <v>30</v>
      </c>
      <c r="AD129" s="1028">
        <f>AC129*(списки!$C$56-AA129)</f>
        <v>813</v>
      </c>
      <c r="AE129" s="1029">
        <v>-13.2</v>
      </c>
      <c r="AF129" s="1029"/>
      <c r="AG129" s="1029">
        <v>31</v>
      </c>
      <c r="AH129" s="1029">
        <f>AG129*(списки!$C$56-AE129)</f>
        <v>1029.2</v>
      </c>
      <c r="AI129" s="1030">
        <v>-15.8</v>
      </c>
      <c r="AJ129" s="1030"/>
      <c r="AK129" s="1030">
        <v>31</v>
      </c>
      <c r="AL129" s="1030">
        <f>AK129*(списки!$C$56-AI129)</f>
        <v>1109.8</v>
      </c>
      <c r="AM129" s="1031">
        <v>-16.3</v>
      </c>
      <c r="AN129" s="1031"/>
      <c r="AO129" s="1031">
        <v>28</v>
      </c>
      <c r="AP129" s="1031">
        <f>AO129*(списки!$C$56-AM129)</f>
        <v>1016.3999999999999</v>
      </c>
      <c r="AQ129" s="1026">
        <v>-13.5</v>
      </c>
      <c r="AR129" s="1026"/>
      <c r="AS129" s="1026">
        <f t="shared" si="17"/>
        <v>31</v>
      </c>
      <c r="AT129" s="1026">
        <f>AS129*(списки!$C$56-AQ129)</f>
        <v>1038.5</v>
      </c>
      <c r="AU129" s="1032">
        <v>-6.2</v>
      </c>
      <c r="AV129" s="1032"/>
      <c r="AW129" s="1032">
        <f t="shared" si="18"/>
        <v>30</v>
      </c>
      <c r="AX129" s="1032">
        <f>AW129*(списки!$C$56-AU129)</f>
        <v>786</v>
      </c>
      <c r="AY129" s="1033">
        <v>-0.1</v>
      </c>
      <c r="AZ129" s="1033"/>
      <c r="BA129" s="1033">
        <f t="shared" si="19"/>
        <v>31</v>
      </c>
      <c r="BB129" s="1033">
        <f>BA129*(списки!$C$56-AY129)</f>
        <v>623.1</v>
      </c>
      <c r="BC129" s="1034">
        <v>6.3</v>
      </c>
      <c r="BD129" s="1034"/>
      <c r="BE129" s="1034">
        <f t="shared" si="20"/>
        <v>4</v>
      </c>
      <c r="BF129" s="1035">
        <f>BE129*(списки!$C$56-BC129)</f>
        <v>54.8</v>
      </c>
      <c r="BG129" s="1424" t="e">
        <v>#N/A</v>
      </c>
      <c r="BH129" s="1424" t="e">
        <v>#N/A</v>
      </c>
    </row>
    <row r="130" spans="2:60" ht="15.75" customHeight="1" x14ac:dyDescent="0.25">
      <c r="B130" s="1038" t="s">
        <v>615</v>
      </c>
      <c r="C130" s="1038" t="s">
        <v>653</v>
      </c>
      <c r="D130" s="1015" t="str">
        <f t="shared" si="11"/>
        <v xml:space="preserve">Камчатская областьУсть- Воямполка </v>
      </c>
      <c r="E130" s="1016">
        <v>286</v>
      </c>
      <c r="F130" s="1017">
        <v>-6.8</v>
      </c>
      <c r="G130" s="1017">
        <v>-34</v>
      </c>
      <c r="H130" s="1019">
        <v>3.9</v>
      </c>
      <c r="I130" s="1020">
        <f>E130*(списки!$C$56-F130)</f>
        <v>7664.8</v>
      </c>
      <c r="J130" s="1021" t="str">
        <f t="shared" si="12"/>
        <v>7000-8000</v>
      </c>
      <c r="K130" s="1022">
        <v>10.199999999999999</v>
      </c>
      <c r="L130" s="1022"/>
      <c r="M130" s="1023">
        <f t="shared" si="13"/>
        <v>0</v>
      </c>
      <c r="N130" s="1024">
        <f>M130*(списки!$C$56-K130)</f>
        <v>0</v>
      </c>
      <c r="O130" s="1025">
        <v>10.7</v>
      </c>
      <c r="P130" s="1025"/>
      <c r="Q130" s="1025">
        <f t="shared" si="14"/>
        <v>6.5</v>
      </c>
      <c r="R130" s="1025">
        <f>Q130*(списки!$C$56-O130)</f>
        <v>60.45</v>
      </c>
      <c r="S130" s="1026">
        <v>7.4</v>
      </c>
      <c r="T130" s="1026"/>
      <c r="U130" s="1026">
        <f t="shared" si="21"/>
        <v>30</v>
      </c>
      <c r="V130" s="1026">
        <f>U130*(списки!$C$56-S130)</f>
        <v>378</v>
      </c>
      <c r="W130" s="1027">
        <v>1.2</v>
      </c>
      <c r="X130" s="1027"/>
      <c r="Y130" s="1027">
        <f t="shared" si="15"/>
        <v>31</v>
      </c>
      <c r="Z130" s="1027">
        <f>Y130*(списки!$C$56-W130)</f>
        <v>582.80000000000007</v>
      </c>
      <c r="AA130" s="1028">
        <v>-7.1</v>
      </c>
      <c r="AB130" s="1028"/>
      <c r="AC130" s="1028">
        <f t="shared" si="16"/>
        <v>30</v>
      </c>
      <c r="AD130" s="1028">
        <f>AC130*(списки!$C$56-AA130)</f>
        <v>813</v>
      </c>
      <c r="AE130" s="1029">
        <v>-14.2</v>
      </c>
      <c r="AF130" s="1029"/>
      <c r="AG130" s="1029">
        <v>31</v>
      </c>
      <c r="AH130" s="1029">
        <f>AG130*(списки!$C$56-AE130)</f>
        <v>1060.2</v>
      </c>
      <c r="AI130" s="1030">
        <v>-17.5</v>
      </c>
      <c r="AJ130" s="1030"/>
      <c r="AK130" s="1030">
        <v>31</v>
      </c>
      <c r="AL130" s="1030">
        <f>AK130*(списки!$C$56-AI130)</f>
        <v>1162.5</v>
      </c>
      <c r="AM130" s="1031">
        <v>-16.5</v>
      </c>
      <c r="AN130" s="1031"/>
      <c r="AO130" s="1031">
        <v>28</v>
      </c>
      <c r="AP130" s="1031">
        <f>AO130*(списки!$C$56-AM130)</f>
        <v>1022</v>
      </c>
      <c r="AQ130" s="1026">
        <v>-12.9</v>
      </c>
      <c r="AR130" s="1026"/>
      <c r="AS130" s="1026">
        <f t="shared" si="17"/>
        <v>31</v>
      </c>
      <c r="AT130" s="1026">
        <f>AS130*(списки!$C$56-AQ130)</f>
        <v>1019.9</v>
      </c>
      <c r="AU130" s="1032">
        <v>-5.6</v>
      </c>
      <c r="AV130" s="1032"/>
      <c r="AW130" s="1032">
        <f t="shared" si="18"/>
        <v>30</v>
      </c>
      <c r="AX130" s="1032">
        <f>AW130*(списки!$C$56-AU130)</f>
        <v>768</v>
      </c>
      <c r="AY130" s="1033">
        <v>1.4</v>
      </c>
      <c r="AZ130" s="1033"/>
      <c r="BA130" s="1033">
        <f t="shared" si="19"/>
        <v>31</v>
      </c>
      <c r="BB130" s="1033">
        <f>BA130*(списки!$C$56-AY130)</f>
        <v>576.6</v>
      </c>
      <c r="BC130" s="1034">
        <v>6.7</v>
      </c>
      <c r="BD130" s="1034"/>
      <c r="BE130" s="1034">
        <f t="shared" si="20"/>
        <v>6.5</v>
      </c>
      <c r="BF130" s="1035">
        <f>BE130*(списки!$C$56-BC130)</f>
        <v>86.45</v>
      </c>
      <c r="BG130" s="1424">
        <v>7529.8566666666702</v>
      </c>
      <c r="BH130" s="1424">
        <v>6741.3747619047645</v>
      </c>
    </row>
    <row r="131" spans="2:60" ht="15.75" customHeight="1" x14ac:dyDescent="0.25">
      <c r="B131" s="1014" t="s">
        <v>615</v>
      </c>
      <c r="C131" s="1014" t="s">
        <v>654</v>
      </c>
      <c r="D131" s="1015" t="str">
        <f t="shared" si="11"/>
        <v>Камчатская областьУсть- Хайрюзово</v>
      </c>
      <c r="E131" s="1016">
        <v>273</v>
      </c>
      <c r="F131" s="1017">
        <v>-5.2</v>
      </c>
      <c r="G131" s="1017">
        <v>-30</v>
      </c>
      <c r="H131" s="1019">
        <v>5.5</v>
      </c>
      <c r="I131" s="1020">
        <f>E131*(списки!$C$56-F131)</f>
        <v>6879.5999999999995</v>
      </c>
      <c r="J131" s="1021" t="str">
        <f t="shared" si="12"/>
        <v>6000-7000</v>
      </c>
      <c r="K131" s="1022">
        <v>11.6</v>
      </c>
      <c r="L131" s="1022"/>
      <c r="M131" s="1023">
        <f t="shared" si="13"/>
        <v>0.5</v>
      </c>
      <c r="N131" s="1024">
        <f>M131*(списки!$C$56-K131)</f>
        <v>4.2</v>
      </c>
      <c r="O131" s="1025">
        <v>12.1</v>
      </c>
      <c r="P131" s="1025"/>
      <c r="Q131" s="1025">
        <f t="shared" si="14"/>
        <v>0</v>
      </c>
      <c r="R131" s="1025">
        <f>Q131*(списки!$C$56-O131)</f>
        <v>0</v>
      </c>
      <c r="S131" s="1026">
        <v>8.3000000000000007</v>
      </c>
      <c r="T131" s="1026"/>
      <c r="U131" s="1026">
        <f t="shared" si="21"/>
        <v>30</v>
      </c>
      <c r="V131" s="1026">
        <f>U131*(списки!$C$56-S131)</f>
        <v>351</v>
      </c>
      <c r="W131" s="1027">
        <v>2.6</v>
      </c>
      <c r="X131" s="1027"/>
      <c r="Y131" s="1027">
        <f t="shared" si="15"/>
        <v>31</v>
      </c>
      <c r="Z131" s="1027">
        <f>Y131*(списки!$C$56-W131)</f>
        <v>539.4</v>
      </c>
      <c r="AA131" s="1028">
        <v>-5.0999999999999996</v>
      </c>
      <c r="AB131" s="1028"/>
      <c r="AC131" s="1028">
        <f t="shared" si="16"/>
        <v>30</v>
      </c>
      <c r="AD131" s="1028">
        <f>AC131*(списки!$C$56-AA131)</f>
        <v>753</v>
      </c>
      <c r="AE131" s="1029">
        <v>-11.2</v>
      </c>
      <c r="AF131" s="1029"/>
      <c r="AG131" s="1029">
        <v>31</v>
      </c>
      <c r="AH131" s="1029">
        <f>AG131*(списки!$C$56-AE131)</f>
        <v>967.19999999999993</v>
      </c>
      <c r="AI131" s="1030">
        <v>-14.1</v>
      </c>
      <c r="AJ131" s="1030"/>
      <c r="AK131" s="1030">
        <v>31</v>
      </c>
      <c r="AL131" s="1030">
        <f>AK131*(списки!$C$56-AI131)</f>
        <v>1057.1000000000001</v>
      </c>
      <c r="AM131" s="1031">
        <v>-13.6</v>
      </c>
      <c r="AN131" s="1031"/>
      <c r="AO131" s="1031">
        <v>28</v>
      </c>
      <c r="AP131" s="1031">
        <f>AO131*(списки!$C$56-AM131)</f>
        <v>940.80000000000007</v>
      </c>
      <c r="AQ131" s="1026">
        <v>-9.9</v>
      </c>
      <c r="AR131" s="1026"/>
      <c r="AS131" s="1026">
        <f t="shared" si="17"/>
        <v>31</v>
      </c>
      <c r="AT131" s="1026">
        <f>AS131*(списки!$C$56-AQ131)</f>
        <v>926.9</v>
      </c>
      <c r="AU131" s="1032">
        <v>-3.5</v>
      </c>
      <c r="AV131" s="1032"/>
      <c r="AW131" s="1032">
        <f t="shared" si="18"/>
        <v>30</v>
      </c>
      <c r="AX131" s="1032">
        <f>AW131*(списки!$C$56-AU131)</f>
        <v>705</v>
      </c>
      <c r="AY131" s="1033">
        <v>2.8</v>
      </c>
      <c r="AZ131" s="1033"/>
      <c r="BA131" s="1033">
        <f t="shared" si="19"/>
        <v>30.5</v>
      </c>
      <c r="BB131" s="1033">
        <f>BA131*(списки!$C$56-AY131)</f>
        <v>524.6</v>
      </c>
      <c r="BC131" s="1034">
        <v>7.9</v>
      </c>
      <c r="BD131" s="1034"/>
      <c r="BE131" s="1034">
        <f t="shared" si="20"/>
        <v>0</v>
      </c>
      <c r="BF131" s="1035">
        <f>BE131*(списки!$C$56-BC131)</f>
        <v>0</v>
      </c>
      <c r="BG131" s="1424">
        <v>6834.9267857142877</v>
      </c>
      <c r="BH131" s="1424">
        <v>5926.6750000000047</v>
      </c>
    </row>
    <row r="132" spans="2:60" ht="15.75" customHeight="1" x14ac:dyDescent="0.25">
      <c r="B132" s="1038" t="s">
        <v>615</v>
      </c>
      <c r="C132" s="1038" t="s">
        <v>655</v>
      </c>
      <c r="D132" s="1015" t="str">
        <f t="shared" si="11"/>
        <v>Камчатская областьУсть-Камчатск</v>
      </c>
      <c r="E132" s="1016">
        <v>277</v>
      </c>
      <c r="F132" s="1017">
        <v>-4</v>
      </c>
      <c r="G132" s="1017">
        <v>-28</v>
      </c>
      <c r="H132" s="1019">
        <v>7.1</v>
      </c>
      <c r="I132" s="1020">
        <f>E132*(списки!$C$56-F132)</f>
        <v>6648</v>
      </c>
      <c r="J132" s="1021" t="str">
        <f t="shared" si="12"/>
        <v>6000-7000</v>
      </c>
      <c r="K132" s="1022">
        <v>11.2</v>
      </c>
      <c r="L132" s="1022"/>
      <c r="M132" s="1023">
        <f t="shared" si="13"/>
        <v>0</v>
      </c>
      <c r="N132" s="1024">
        <f>M132*(списки!$C$56-K132)</f>
        <v>0</v>
      </c>
      <c r="O132" s="1025">
        <v>12.2</v>
      </c>
      <c r="P132" s="1025"/>
      <c r="Q132" s="1025">
        <f t="shared" si="14"/>
        <v>2</v>
      </c>
      <c r="R132" s="1025">
        <f>Q132*(списки!$C$56-O132)</f>
        <v>15.600000000000001</v>
      </c>
      <c r="S132" s="1026">
        <v>9</v>
      </c>
      <c r="T132" s="1026"/>
      <c r="U132" s="1026">
        <f t="shared" si="21"/>
        <v>30</v>
      </c>
      <c r="V132" s="1026">
        <f>U132*(списки!$C$56-S132)</f>
        <v>330</v>
      </c>
      <c r="W132" s="1027">
        <v>2.6</v>
      </c>
      <c r="X132" s="1027"/>
      <c r="Y132" s="1027">
        <f t="shared" si="15"/>
        <v>31</v>
      </c>
      <c r="Z132" s="1027">
        <f>Y132*(списки!$C$56-W132)</f>
        <v>539.4</v>
      </c>
      <c r="AA132" s="1028">
        <v>-4.7</v>
      </c>
      <c r="AB132" s="1028"/>
      <c r="AC132" s="1028">
        <f t="shared" si="16"/>
        <v>30</v>
      </c>
      <c r="AD132" s="1028">
        <f>AC132*(списки!$C$56-AA132)</f>
        <v>741</v>
      </c>
      <c r="AE132" s="1029">
        <v>-9.6999999999999993</v>
      </c>
      <c r="AF132" s="1029"/>
      <c r="AG132" s="1029">
        <v>31</v>
      </c>
      <c r="AH132" s="1029">
        <f>AG132*(списки!$C$56-AE132)</f>
        <v>920.69999999999993</v>
      </c>
      <c r="AI132" s="1030">
        <v>-11.4</v>
      </c>
      <c r="AJ132" s="1030"/>
      <c r="AK132" s="1030">
        <v>31</v>
      </c>
      <c r="AL132" s="1030">
        <f>AK132*(списки!$C$56-AI132)</f>
        <v>973.4</v>
      </c>
      <c r="AM132" s="1031">
        <v>-11.2</v>
      </c>
      <c r="AN132" s="1031"/>
      <c r="AO132" s="1031">
        <v>28</v>
      </c>
      <c r="AP132" s="1031">
        <f>AO132*(списки!$C$56-AM132)</f>
        <v>873.6</v>
      </c>
      <c r="AQ132" s="1026">
        <v>-9</v>
      </c>
      <c r="AR132" s="1026"/>
      <c r="AS132" s="1026">
        <f t="shared" si="17"/>
        <v>31</v>
      </c>
      <c r="AT132" s="1026">
        <f>AS132*(списки!$C$56-AQ132)</f>
        <v>899</v>
      </c>
      <c r="AU132" s="1032">
        <v>-3.6</v>
      </c>
      <c r="AV132" s="1032"/>
      <c r="AW132" s="1032">
        <f t="shared" si="18"/>
        <v>30</v>
      </c>
      <c r="AX132" s="1032">
        <f>AW132*(списки!$C$56-AU132)</f>
        <v>708</v>
      </c>
      <c r="AY132" s="1033">
        <v>1.6</v>
      </c>
      <c r="AZ132" s="1033"/>
      <c r="BA132" s="1033">
        <f t="shared" si="19"/>
        <v>31</v>
      </c>
      <c r="BB132" s="1033">
        <f>BA132*(списки!$C$56-AY132)</f>
        <v>570.4</v>
      </c>
      <c r="BC132" s="1034">
        <v>6.8</v>
      </c>
      <c r="BD132" s="1034"/>
      <c r="BE132" s="1034">
        <f t="shared" si="20"/>
        <v>2</v>
      </c>
      <c r="BF132" s="1035">
        <f>BE132*(списки!$C$56-BC132)</f>
        <v>26.4</v>
      </c>
      <c r="BG132" s="1424">
        <v>6597.8767857142875</v>
      </c>
      <c r="BH132" s="1424">
        <v>6127.026785714289</v>
      </c>
    </row>
    <row r="133" spans="2:60" ht="15.75" customHeight="1" x14ac:dyDescent="0.25">
      <c r="B133" s="1014" t="s">
        <v>616</v>
      </c>
      <c r="C133" s="1014" t="s">
        <v>112</v>
      </c>
      <c r="D133" s="1015" t="str">
        <f t="shared" si="11"/>
        <v>Карачаево-Черкесская РеспубликаЧеркесск</v>
      </c>
      <c r="E133" s="1016">
        <v>169</v>
      </c>
      <c r="F133" s="1017">
        <v>0.6</v>
      </c>
      <c r="G133" s="1017">
        <v>-18</v>
      </c>
      <c r="H133" s="1019">
        <v>3</v>
      </c>
      <c r="I133" s="1020">
        <f>E133*(списки!$C$56-F133)</f>
        <v>3278.6</v>
      </c>
      <c r="J133" s="1021" t="str">
        <f t="shared" si="12"/>
        <v>3000-4000</v>
      </c>
      <c r="K133" s="1022">
        <v>21.1</v>
      </c>
      <c r="L133" s="1022"/>
      <c r="M133" s="1023">
        <f t="shared" si="13"/>
        <v>0</v>
      </c>
      <c r="N133" s="1024">
        <f>M133*(списки!$C$56-K133)</f>
        <v>0</v>
      </c>
      <c r="O133" s="1025">
        <v>20.6</v>
      </c>
      <c r="P133" s="1025"/>
      <c r="Q133" s="1025">
        <f t="shared" si="14"/>
        <v>0</v>
      </c>
      <c r="R133" s="1025">
        <f>Q133*(списки!$C$56-O133)</f>
        <v>0</v>
      </c>
      <c r="S133" s="1026">
        <v>15.7</v>
      </c>
      <c r="T133" s="1026"/>
      <c r="U133" s="1026">
        <f t="shared" si="21"/>
        <v>0</v>
      </c>
      <c r="V133" s="1026">
        <f>U133*(списки!$C$56-S133)</f>
        <v>0</v>
      </c>
      <c r="W133" s="1027">
        <v>9.6</v>
      </c>
      <c r="X133" s="1027"/>
      <c r="Y133" s="1027">
        <f t="shared" si="15"/>
        <v>9</v>
      </c>
      <c r="Z133" s="1027">
        <f>Y133*(списки!$C$56-W133)</f>
        <v>93.600000000000009</v>
      </c>
      <c r="AA133" s="1028">
        <v>3.7</v>
      </c>
      <c r="AB133" s="1028"/>
      <c r="AC133" s="1028">
        <f t="shared" si="16"/>
        <v>30</v>
      </c>
      <c r="AD133" s="1028">
        <f>AC133*(списки!$C$56-AA133)</f>
        <v>489</v>
      </c>
      <c r="AE133" s="1029">
        <v>-1.1000000000000001</v>
      </c>
      <c r="AF133" s="1029"/>
      <c r="AG133" s="1029">
        <v>31</v>
      </c>
      <c r="AH133" s="1029">
        <f>AG133*(списки!$C$56-AE133)</f>
        <v>654.1</v>
      </c>
      <c r="AI133" s="1030">
        <v>-4.4000000000000004</v>
      </c>
      <c r="AJ133" s="1030"/>
      <c r="AK133" s="1030">
        <v>31</v>
      </c>
      <c r="AL133" s="1030">
        <f>AK133*(списки!$C$56-AI133)</f>
        <v>756.4</v>
      </c>
      <c r="AM133" s="1031">
        <v>-2.2999999999999998</v>
      </c>
      <c r="AN133" s="1031"/>
      <c r="AO133" s="1031">
        <v>28</v>
      </c>
      <c r="AP133" s="1031">
        <f>AO133*(списки!$C$56-AM133)</f>
        <v>624.4</v>
      </c>
      <c r="AQ133" s="1026">
        <v>1.5</v>
      </c>
      <c r="AR133" s="1026"/>
      <c r="AS133" s="1026">
        <f t="shared" si="17"/>
        <v>31</v>
      </c>
      <c r="AT133" s="1026">
        <f>AS133*(списки!$C$56-AQ133)</f>
        <v>573.5</v>
      </c>
      <c r="AU133" s="1032">
        <v>9</v>
      </c>
      <c r="AV133" s="1032"/>
      <c r="AW133" s="1032">
        <f t="shared" si="18"/>
        <v>9</v>
      </c>
      <c r="AX133" s="1032">
        <f>AW133*(списки!$C$56-AU133)</f>
        <v>99</v>
      </c>
      <c r="AY133" s="1033">
        <v>14.8</v>
      </c>
      <c r="AZ133" s="1033"/>
      <c r="BA133" s="1033">
        <f t="shared" si="19"/>
        <v>0</v>
      </c>
      <c r="BB133" s="1033">
        <f>BA133*(списки!$C$56-AY133)</f>
        <v>0</v>
      </c>
      <c r="BC133" s="1034">
        <v>18.3</v>
      </c>
      <c r="BD133" s="1034"/>
      <c r="BE133" s="1034">
        <f t="shared" si="20"/>
        <v>0</v>
      </c>
      <c r="BF133" s="1035">
        <f>BE133*(списки!$C$56-BC133)</f>
        <v>0</v>
      </c>
      <c r="BG133" s="1424" t="e">
        <v>#N/A</v>
      </c>
      <c r="BH133" s="1424" t="e">
        <v>#N/A</v>
      </c>
    </row>
    <row r="134" spans="2:60" ht="15.75" customHeight="1" x14ac:dyDescent="0.25">
      <c r="B134" s="1038" t="s">
        <v>113</v>
      </c>
      <c r="C134" s="1038" t="s">
        <v>114</v>
      </c>
      <c r="D134" s="1015" t="str">
        <f t="shared" si="11"/>
        <v>Кемеровская областьКемерово</v>
      </c>
      <c r="E134" s="1016">
        <v>227</v>
      </c>
      <c r="F134" s="1017">
        <v>-8</v>
      </c>
      <c r="G134" s="1017">
        <v>-39</v>
      </c>
      <c r="H134" s="1019">
        <v>3.4</v>
      </c>
      <c r="I134" s="1020">
        <f>E134*(списки!$C$56-F134)</f>
        <v>6356</v>
      </c>
      <c r="J134" s="1021" t="str">
        <f t="shared" si="12"/>
        <v>6000-7000</v>
      </c>
      <c r="K134" s="1022">
        <v>19</v>
      </c>
      <c r="L134" s="1022"/>
      <c r="M134" s="1023">
        <f t="shared" si="13"/>
        <v>0</v>
      </c>
      <c r="N134" s="1024">
        <f>M134*(списки!$C$56-K134)</f>
        <v>0</v>
      </c>
      <c r="O134" s="1025">
        <v>15.8</v>
      </c>
      <c r="P134" s="1025"/>
      <c r="Q134" s="1025">
        <f t="shared" si="14"/>
        <v>0</v>
      </c>
      <c r="R134" s="1025">
        <f>Q134*(списки!$C$56-O134)</f>
        <v>0</v>
      </c>
      <c r="S134" s="1026">
        <v>9.5</v>
      </c>
      <c r="T134" s="1026"/>
      <c r="U134" s="1026">
        <f t="shared" si="21"/>
        <v>7.5</v>
      </c>
      <c r="V134" s="1026">
        <f>U134*(списки!$C$56-S134)</f>
        <v>78.75</v>
      </c>
      <c r="W134" s="1027">
        <v>1.9</v>
      </c>
      <c r="X134" s="1027"/>
      <c r="Y134" s="1027">
        <f t="shared" si="15"/>
        <v>31</v>
      </c>
      <c r="Z134" s="1027">
        <f>Y134*(списки!$C$56-W134)</f>
        <v>561.1</v>
      </c>
      <c r="AA134" s="1028">
        <v>-7.8</v>
      </c>
      <c r="AB134" s="1028"/>
      <c r="AC134" s="1028">
        <f t="shared" si="16"/>
        <v>30</v>
      </c>
      <c r="AD134" s="1028">
        <f>AC134*(списки!$C$56-AA134)</f>
        <v>834</v>
      </c>
      <c r="AE134" s="1029">
        <v>-15.2</v>
      </c>
      <c r="AF134" s="1029"/>
      <c r="AG134" s="1029">
        <v>31</v>
      </c>
      <c r="AH134" s="1029">
        <f>AG134*(списки!$C$56-AE134)</f>
        <v>1091.2</v>
      </c>
      <c r="AI134" s="1030">
        <v>-17.899999999999999</v>
      </c>
      <c r="AJ134" s="1030"/>
      <c r="AK134" s="1030">
        <v>31</v>
      </c>
      <c r="AL134" s="1030">
        <f>AK134*(списки!$C$56-AI134)</f>
        <v>1174.8999999999999</v>
      </c>
      <c r="AM134" s="1031">
        <v>-15.8</v>
      </c>
      <c r="AN134" s="1031"/>
      <c r="AO134" s="1031">
        <v>28</v>
      </c>
      <c r="AP134" s="1031">
        <f>AO134*(списки!$C$56-AM134)</f>
        <v>1002.3999999999999</v>
      </c>
      <c r="AQ134" s="1026">
        <v>-8.1</v>
      </c>
      <c r="AR134" s="1026"/>
      <c r="AS134" s="1026">
        <f t="shared" si="17"/>
        <v>31</v>
      </c>
      <c r="AT134" s="1026">
        <f>AS134*(списки!$C$56-AQ134)</f>
        <v>871.1</v>
      </c>
      <c r="AU134" s="1032">
        <v>1.8</v>
      </c>
      <c r="AV134" s="1032"/>
      <c r="AW134" s="1032">
        <f t="shared" si="18"/>
        <v>30</v>
      </c>
      <c r="AX134" s="1032">
        <f>AW134*(списки!$C$56-AU134)</f>
        <v>546</v>
      </c>
      <c r="AY134" s="1033">
        <v>10.6</v>
      </c>
      <c r="AZ134" s="1033"/>
      <c r="BA134" s="1033">
        <f t="shared" si="19"/>
        <v>7.5</v>
      </c>
      <c r="BB134" s="1033">
        <f>BA134*(списки!$C$56-AY134)</f>
        <v>70.5</v>
      </c>
      <c r="BC134" s="1034">
        <v>16.399999999999999</v>
      </c>
      <c r="BD134" s="1034"/>
      <c r="BE134" s="1034">
        <f t="shared" si="20"/>
        <v>0</v>
      </c>
      <c r="BF134" s="1035">
        <f>BE134*(списки!$C$56-BC134)</f>
        <v>0</v>
      </c>
      <c r="BG134" s="1424">
        <v>5848.7339285714261</v>
      </c>
      <c r="BH134" s="1424">
        <v>5632.1000000000013</v>
      </c>
    </row>
    <row r="135" spans="2:60" ht="15.75" customHeight="1" x14ac:dyDescent="0.25">
      <c r="B135" s="1014" t="s">
        <v>113</v>
      </c>
      <c r="C135" s="1014" t="s">
        <v>115</v>
      </c>
      <c r="D135" s="1015" t="str">
        <f t="shared" si="11"/>
        <v>Кемеровская областьКиселевск</v>
      </c>
      <c r="E135" s="1016">
        <v>227</v>
      </c>
      <c r="F135" s="1017">
        <v>-7.3</v>
      </c>
      <c r="G135" s="1017">
        <v>-39</v>
      </c>
      <c r="H135" s="1019">
        <v>5.5</v>
      </c>
      <c r="I135" s="1020">
        <f>E135*(списки!$C$56-F135)</f>
        <v>6197.1</v>
      </c>
      <c r="J135" s="1021" t="str">
        <f t="shared" si="12"/>
        <v>6000-7000</v>
      </c>
      <c r="K135" s="1022">
        <v>18.8</v>
      </c>
      <c r="L135" s="1022"/>
      <c r="M135" s="1023">
        <f t="shared" si="13"/>
        <v>0</v>
      </c>
      <c r="N135" s="1024">
        <f>M135*(списки!$C$56-K135)</f>
        <v>0</v>
      </c>
      <c r="O135" s="1025">
        <v>15.8</v>
      </c>
      <c r="P135" s="1025"/>
      <c r="Q135" s="1025">
        <f t="shared" si="14"/>
        <v>0</v>
      </c>
      <c r="R135" s="1025">
        <f>Q135*(списки!$C$56-O135)</f>
        <v>0</v>
      </c>
      <c r="S135" s="1026">
        <v>10</v>
      </c>
      <c r="T135" s="1026"/>
      <c r="U135" s="1026">
        <f t="shared" si="21"/>
        <v>7.5</v>
      </c>
      <c r="V135" s="1026">
        <f>U135*(списки!$C$56-S135)</f>
        <v>75</v>
      </c>
      <c r="W135" s="1027">
        <v>2.2000000000000002</v>
      </c>
      <c r="X135" s="1027"/>
      <c r="Y135" s="1027">
        <f t="shared" si="15"/>
        <v>31</v>
      </c>
      <c r="Z135" s="1027">
        <f>Y135*(списки!$C$56-W135)</f>
        <v>551.80000000000007</v>
      </c>
      <c r="AA135" s="1028">
        <v>-8.3000000000000007</v>
      </c>
      <c r="AB135" s="1028"/>
      <c r="AC135" s="1028">
        <f t="shared" si="16"/>
        <v>30</v>
      </c>
      <c r="AD135" s="1028">
        <f>AC135*(списки!$C$56-AA135)</f>
        <v>849</v>
      </c>
      <c r="AE135" s="1029">
        <v>-15.4</v>
      </c>
      <c r="AF135" s="1029"/>
      <c r="AG135" s="1029">
        <v>31</v>
      </c>
      <c r="AH135" s="1029">
        <f>AG135*(списки!$C$56-AE135)</f>
        <v>1097.3999999999999</v>
      </c>
      <c r="AI135" s="1030">
        <v>-17.2</v>
      </c>
      <c r="AJ135" s="1030"/>
      <c r="AK135" s="1030">
        <v>31</v>
      </c>
      <c r="AL135" s="1030">
        <f>AK135*(списки!$C$56-AI135)</f>
        <v>1153.2</v>
      </c>
      <c r="AM135" s="1031">
        <v>-15.5</v>
      </c>
      <c r="AN135" s="1031"/>
      <c r="AO135" s="1031">
        <v>28</v>
      </c>
      <c r="AP135" s="1031">
        <f>AO135*(списки!$C$56-AM135)</f>
        <v>994</v>
      </c>
      <c r="AQ135" s="1026">
        <v>-8.1</v>
      </c>
      <c r="AR135" s="1026"/>
      <c r="AS135" s="1026">
        <f t="shared" si="17"/>
        <v>31</v>
      </c>
      <c r="AT135" s="1026">
        <f>AS135*(списки!$C$56-AQ135)</f>
        <v>871.1</v>
      </c>
      <c r="AU135" s="1032">
        <v>2</v>
      </c>
      <c r="AV135" s="1032"/>
      <c r="AW135" s="1032">
        <f t="shared" si="18"/>
        <v>30</v>
      </c>
      <c r="AX135" s="1032">
        <f>AW135*(списки!$C$56-AU135)</f>
        <v>540</v>
      </c>
      <c r="AY135" s="1033">
        <v>10</v>
      </c>
      <c r="AZ135" s="1033"/>
      <c r="BA135" s="1033">
        <f t="shared" si="19"/>
        <v>7.5</v>
      </c>
      <c r="BB135" s="1033">
        <f>BA135*(списки!$C$56-AY135)</f>
        <v>75</v>
      </c>
      <c r="BC135" s="1034">
        <v>16.600000000000001</v>
      </c>
      <c r="BD135" s="1034"/>
      <c r="BE135" s="1034">
        <f t="shared" si="20"/>
        <v>0</v>
      </c>
      <c r="BF135" s="1035">
        <f>BE135*(списки!$C$56-BC135)</f>
        <v>0</v>
      </c>
      <c r="BG135" s="1424" t="e">
        <v>#N/A</v>
      </c>
      <c r="BH135" s="1424" t="e">
        <v>#N/A</v>
      </c>
    </row>
    <row r="136" spans="2:60" ht="15.75" customHeight="1" x14ac:dyDescent="0.25">
      <c r="B136" s="1038" t="s">
        <v>113</v>
      </c>
      <c r="C136" s="1038" t="s">
        <v>116</v>
      </c>
      <c r="D136" s="1015" t="str">
        <f t="shared" si="11"/>
        <v>Кемеровская областьКондома</v>
      </c>
      <c r="E136" s="1016">
        <v>236</v>
      </c>
      <c r="F136" s="1017">
        <v>-7.8</v>
      </c>
      <c r="G136" s="1017">
        <v>-40</v>
      </c>
      <c r="H136" s="1019">
        <v>3.6</v>
      </c>
      <c r="I136" s="1020">
        <f>E136*(списки!$C$56-F136)</f>
        <v>6560.8</v>
      </c>
      <c r="J136" s="1021" t="str">
        <f t="shared" si="12"/>
        <v>6000-7000</v>
      </c>
      <c r="K136" s="1022">
        <v>17.399999999999999</v>
      </c>
      <c r="L136" s="1022"/>
      <c r="M136" s="1023">
        <f t="shared" si="13"/>
        <v>0</v>
      </c>
      <c r="N136" s="1024">
        <f>M136*(списки!$C$56-K136)</f>
        <v>0</v>
      </c>
      <c r="O136" s="1025">
        <v>14.5</v>
      </c>
      <c r="P136" s="1025"/>
      <c r="Q136" s="1025">
        <f t="shared" si="14"/>
        <v>0</v>
      </c>
      <c r="R136" s="1025">
        <f>Q136*(списки!$C$56-O136)</f>
        <v>0</v>
      </c>
      <c r="S136" s="1026">
        <v>8.6</v>
      </c>
      <c r="T136" s="1026"/>
      <c r="U136" s="1026">
        <f t="shared" si="21"/>
        <v>12</v>
      </c>
      <c r="V136" s="1026">
        <f>U136*(списки!$C$56-S136)</f>
        <v>136.80000000000001</v>
      </c>
      <c r="W136" s="1027">
        <v>1.4</v>
      </c>
      <c r="X136" s="1027"/>
      <c r="Y136" s="1027">
        <f t="shared" si="15"/>
        <v>31</v>
      </c>
      <c r="Z136" s="1027">
        <f>Y136*(списки!$C$56-W136)</f>
        <v>576.6</v>
      </c>
      <c r="AA136" s="1028">
        <v>-9.4</v>
      </c>
      <c r="AB136" s="1028"/>
      <c r="AC136" s="1028">
        <f t="shared" si="16"/>
        <v>30</v>
      </c>
      <c r="AD136" s="1028">
        <f>AC136*(списки!$C$56-AA136)</f>
        <v>882</v>
      </c>
      <c r="AE136" s="1029">
        <v>-17</v>
      </c>
      <c r="AF136" s="1029"/>
      <c r="AG136" s="1029">
        <v>31</v>
      </c>
      <c r="AH136" s="1029">
        <f>AG136*(списки!$C$56-AE136)</f>
        <v>1147</v>
      </c>
      <c r="AI136" s="1030">
        <v>-19.100000000000001</v>
      </c>
      <c r="AJ136" s="1030"/>
      <c r="AK136" s="1030">
        <v>31</v>
      </c>
      <c r="AL136" s="1030">
        <f>AK136*(списки!$C$56-AI136)</f>
        <v>1212.1000000000001</v>
      </c>
      <c r="AM136" s="1031">
        <v>-16.3</v>
      </c>
      <c r="AN136" s="1031"/>
      <c r="AO136" s="1031">
        <v>28</v>
      </c>
      <c r="AP136" s="1031">
        <f>AO136*(списки!$C$56-AM136)</f>
        <v>1016.3999999999999</v>
      </c>
      <c r="AQ136" s="1026">
        <v>-8.6</v>
      </c>
      <c r="AR136" s="1026"/>
      <c r="AS136" s="1026">
        <f t="shared" si="17"/>
        <v>31</v>
      </c>
      <c r="AT136" s="1026">
        <f>AS136*(списки!$C$56-AQ136)</f>
        <v>886.6</v>
      </c>
      <c r="AU136" s="1032">
        <v>0.9</v>
      </c>
      <c r="AV136" s="1032"/>
      <c r="AW136" s="1032">
        <f t="shared" si="18"/>
        <v>30</v>
      </c>
      <c r="AX136" s="1032">
        <f>AW136*(списки!$C$56-AU136)</f>
        <v>573</v>
      </c>
      <c r="AY136" s="1033">
        <v>9.1</v>
      </c>
      <c r="AZ136" s="1033"/>
      <c r="BA136" s="1033">
        <f t="shared" si="19"/>
        <v>12</v>
      </c>
      <c r="BB136" s="1033">
        <f>BA136*(списки!$C$56-AY136)</f>
        <v>130.80000000000001</v>
      </c>
      <c r="BC136" s="1034">
        <v>15.2</v>
      </c>
      <c r="BD136" s="1034"/>
      <c r="BE136" s="1034">
        <f t="shared" si="20"/>
        <v>0</v>
      </c>
      <c r="BF136" s="1035">
        <f>BE136*(списки!$C$56-BC136)</f>
        <v>0</v>
      </c>
      <c r="BG136" s="1424" t="e">
        <v>#N/A</v>
      </c>
      <c r="BH136" s="1424" t="e">
        <v>#N/A</v>
      </c>
    </row>
    <row r="137" spans="2:60" ht="15.75" customHeight="1" x14ac:dyDescent="0.25">
      <c r="B137" s="1014" t="s">
        <v>113</v>
      </c>
      <c r="C137" s="1014" t="s">
        <v>117</v>
      </c>
      <c r="D137" s="1015" t="str">
        <f t="shared" ref="D137:D203" si="22">CONCATENATE(B137,C137)</f>
        <v>Кемеровская областьМариинск</v>
      </c>
      <c r="E137" s="1016">
        <v>235</v>
      </c>
      <c r="F137" s="1017">
        <v>-7.7</v>
      </c>
      <c r="G137" s="1017">
        <v>-40</v>
      </c>
      <c r="H137" s="1019">
        <v>5.7</v>
      </c>
      <c r="I137" s="1020">
        <f>E137*(списки!$C$56-F137)</f>
        <v>6509.5</v>
      </c>
      <c r="J137" s="1021" t="str">
        <f t="shared" ref="J137:J200" si="23">CONCATENATE(ROUNDDOWN(I137/1000,0)*1000,"-",ROUNDUP(I137/1000,0)*1000)</f>
        <v>6000-7000</v>
      </c>
      <c r="K137" s="1022">
        <v>18.3</v>
      </c>
      <c r="L137" s="1022"/>
      <c r="M137" s="1023">
        <f t="shared" ref="M137:M200" si="24">MAX(0,E137-Q137-U137-Y137-AC137-AG137-AK137-AO137-AS137-AW137-BA137-BE137)</f>
        <v>0</v>
      </c>
      <c r="N137" s="1024">
        <f>M137*(списки!$C$56-K137)</f>
        <v>0</v>
      </c>
      <c r="O137" s="1025">
        <v>15.2</v>
      </c>
      <c r="P137" s="1025"/>
      <c r="Q137" s="1025">
        <f t="shared" ref="Q137:Q200" si="25">IF((E137-273)&gt;0,IF((E137-273)/2&gt;31,31,(E137-273)/2),0)</f>
        <v>0</v>
      </c>
      <c r="R137" s="1025">
        <f>Q137*(списки!$C$56-O137)</f>
        <v>0</v>
      </c>
      <c r="S137" s="1026">
        <v>9.1</v>
      </c>
      <c r="T137" s="1026"/>
      <c r="U137" s="1026">
        <f t="shared" si="21"/>
        <v>11.5</v>
      </c>
      <c r="V137" s="1026">
        <f>U137*(списки!$C$56-S137)</f>
        <v>125.35000000000001</v>
      </c>
      <c r="W137" s="1027">
        <v>1</v>
      </c>
      <c r="X137" s="1027"/>
      <c r="Y137" s="1027">
        <f t="shared" ref="Y137:Y200" si="26">IF((E137-151)&gt;0,IF((E137-151)/2&gt;31,31,(E137-151)/2),0)</f>
        <v>31</v>
      </c>
      <c r="Z137" s="1027">
        <f>Y137*(списки!$C$56-W137)</f>
        <v>589</v>
      </c>
      <c r="AA137" s="1028">
        <v>-9.1</v>
      </c>
      <c r="AB137" s="1028"/>
      <c r="AC137" s="1028">
        <f t="shared" ref="AC137:AC200" si="27">IF((E137-90)/2&gt;30,30,(E137-90)/2)</f>
        <v>30</v>
      </c>
      <c r="AD137" s="1028">
        <f>AC137*(списки!$C$56-AA137)</f>
        <v>873</v>
      </c>
      <c r="AE137" s="1029">
        <v>-16.2</v>
      </c>
      <c r="AF137" s="1029"/>
      <c r="AG137" s="1029">
        <v>31</v>
      </c>
      <c r="AH137" s="1029">
        <f>AG137*(списки!$C$56-AE137)</f>
        <v>1122.2</v>
      </c>
      <c r="AI137" s="1030">
        <v>-17.8</v>
      </c>
      <c r="AJ137" s="1030"/>
      <c r="AK137" s="1030">
        <v>31</v>
      </c>
      <c r="AL137" s="1030">
        <f>AK137*(списки!$C$56-AI137)</f>
        <v>1171.8</v>
      </c>
      <c r="AM137" s="1031">
        <v>-16.2</v>
      </c>
      <c r="AN137" s="1031"/>
      <c r="AO137" s="1031">
        <v>28</v>
      </c>
      <c r="AP137" s="1031">
        <f>AO137*(списки!$C$56-AM137)</f>
        <v>1013.6000000000001</v>
      </c>
      <c r="AQ137" s="1026">
        <v>-9.3000000000000007</v>
      </c>
      <c r="AR137" s="1026"/>
      <c r="AS137" s="1026">
        <f t="shared" ref="AS137:AS200" si="28">IF((E137-90)/2&gt;31,31,(E137-90)/2)</f>
        <v>31</v>
      </c>
      <c r="AT137" s="1026">
        <f>AS137*(списки!$C$56-AQ137)</f>
        <v>908.30000000000007</v>
      </c>
      <c r="AU137" s="1032">
        <v>0.8</v>
      </c>
      <c r="AV137" s="1032"/>
      <c r="AW137" s="1032">
        <f t="shared" ref="AW137:AW200" si="29">IF((E137-151)&gt;0,IF((E137-151)/2&gt;30,30,(E137-151)/2),0)</f>
        <v>30</v>
      </c>
      <c r="AX137" s="1032">
        <f>AW137*(списки!$C$56-AU137)</f>
        <v>576</v>
      </c>
      <c r="AY137" s="1033">
        <v>9</v>
      </c>
      <c r="AZ137" s="1033"/>
      <c r="BA137" s="1033">
        <f t="shared" ref="BA137:BA200" si="30">IF((E137-212)&gt;0,IF((E137-212)/2&gt;31,31,(E137-212)/2),0)</f>
        <v>11.5</v>
      </c>
      <c r="BB137" s="1033">
        <f>BA137*(списки!$C$56-AY137)</f>
        <v>126.5</v>
      </c>
      <c r="BC137" s="1034">
        <v>15.9</v>
      </c>
      <c r="BD137" s="1034"/>
      <c r="BE137" s="1034">
        <f t="shared" ref="BE137:BE200" si="31">IF((E137-273)&gt;0,IF((E137-273)/2&gt;30,30,(E137-273)/2),0)</f>
        <v>0</v>
      </c>
      <c r="BF137" s="1035">
        <f>BE137*(списки!$C$56-BC137)</f>
        <v>0</v>
      </c>
      <c r="BG137" s="1424">
        <v>6315.4821428571449</v>
      </c>
      <c r="BH137" s="1424">
        <v>5396.5</v>
      </c>
    </row>
    <row r="138" spans="2:60" ht="15.75" customHeight="1" x14ac:dyDescent="0.25">
      <c r="B138" s="1038" t="s">
        <v>113</v>
      </c>
      <c r="C138" s="1038" t="s">
        <v>118</v>
      </c>
      <c r="D138" s="1015" t="str">
        <f t="shared" si="22"/>
        <v>Кемеровская областьТайга</v>
      </c>
      <c r="E138" s="1016">
        <v>240</v>
      </c>
      <c r="F138" s="1017">
        <v>-8</v>
      </c>
      <c r="G138" s="1017">
        <v>-39</v>
      </c>
      <c r="H138" s="1019">
        <v>5.0999999999999996</v>
      </c>
      <c r="I138" s="1020">
        <f>E138*(списки!$C$56-F138)</f>
        <v>6720</v>
      </c>
      <c r="J138" s="1021" t="str">
        <f t="shared" si="23"/>
        <v>6000-7000</v>
      </c>
      <c r="K138" s="1022">
        <v>17.600000000000001</v>
      </c>
      <c r="L138" s="1022"/>
      <c r="M138" s="1023">
        <f t="shared" si="24"/>
        <v>0</v>
      </c>
      <c r="N138" s="1024">
        <f>M138*(списки!$C$56-K138)</f>
        <v>0</v>
      </c>
      <c r="O138" s="1025">
        <v>14.3</v>
      </c>
      <c r="P138" s="1025"/>
      <c r="Q138" s="1025">
        <f t="shared" si="25"/>
        <v>0</v>
      </c>
      <c r="R138" s="1025">
        <f>Q138*(списки!$C$56-O138)</f>
        <v>0</v>
      </c>
      <c r="S138" s="1026">
        <v>8.1</v>
      </c>
      <c r="T138" s="1026"/>
      <c r="U138" s="1026">
        <f t="shared" ref="U138:U201" si="32">IF((E138-212)&gt;0,IF((E138-212)/2&gt;30,30,(E138-212)/2),0)</f>
        <v>14</v>
      </c>
      <c r="V138" s="1026">
        <f>U138*(списки!$C$56-S138)</f>
        <v>166.6</v>
      </c>
      <c r="W138" s="1027">
        <v>0.5</v>
      </c>
      <c r="X138" s="1027"/>
      <c r="Y138" s="1027">
        <f t="shared" si="26"/>
        <v>31</v>
      </c>
      <c r="Z138" s="1027">
        <f>Y138*(списки!$C$56-W138)</f>
        <v>604.5</v>
      </c>
      <c r="AA138" s="1028">
        <v>-9.1</v>
      </c>
      <c r="AB138" s="1028"/>
      <c r="AC138" s="1028">
        <f t="shared" si="27"/>
        <v>30</v>
      </c>
      <c r="AD138" s="1028">
        <f>AC138*(списки!$C$56-AA138)</f>
        <v>873</v>
      </c>
      <c r="AE138" s="1029">
        <v>-15.8</v>
      </c>
      <c r="AF138" s="1029"/>
      <c r="AG138" s="1029">
        <v>31</v>
      </c>
      <c r="AH138" s="1029">
        <f>AG138*(списки!$C$56-AE138)</f>
        <v>1109.8</v>
      </c>
      <c r="AI138" s="1030">
        <v>-18</v>
      </c>
      <c r="AJ138" s="1030"/>
      <c r="AK138" s="1030">
        <v>31</v>
      </c>
      <c r="AL138" s="1030">
        <f>AK138*(списки!$C$56-AI138)</f>
        <v>1178</v>
      </c>
      <c r="AM138" s="1031">
        <v>-16.100000000000001</v>
      </c>
      <c r="AN138" s="1031"/>
      <c r="AO138" s="1031">
        <v>28</v>
      </c>
      <c r="AP138" s="1031">
        <f>AO138*(списки!$C$56-AM138)</f>
        <v>1010.8000000000001</v>
      </c>
      <c r="AQ138" s="1026">
        <v>-8.3000000000000007</v>
      </c>
      <c r="AR138" s="1026"/>
      <c r="AS138" s="1026">
        <f t="shared" si="28"/>
        <v>31</v>
      </c>
      <c r="AT138" s="1026">
        <f>AS138*(списки!$C$56-AQ138)</f>
        <v>877.30000000000007</v>
      </c>
      <c r="AU138" s="1032">
        <v>0.3</v>
      </c>
      <c r="AV138" s="1032"/>
      <c r="AW138" s="1032">
        <f t="shared" si="29"/>
        <v>30</v>
      </c>
      <c r="AX138" s="1032">
        <f>AW138*(списки!$C$56-AU138)</f>
        <v>591</v>
      </c>
      <c r="AY138" s="1033">
        <v>8.8000000000000007</v>
      </c>
      <c r="AZ138" s="1033"/>
      <c r="BA138" s="1033">
        <f t="shared" si="30"/>
        <v>14</v>
      </c>
      <c r="BB138" s="1033">
        <f>BA138*(списки!$C$56-AY138)</f>
        <v>156.79999999999998</v>
      </c>
      <c r="BC138" s="1034">
        <v>14.9</v>
      </c>
      <c r="BD138" s="1034"/>
      <c r="BE138" s="1034">
        <f t="shared" si="31"/>
        <v>0</v>
      </c>
      <c r="BF138" s="1035">
        <f>BE138*(списки!$C$56-BC138)</f>
        <v>0</v>
      </c>
      <c r="BG138" s="1424" t="e">
        <v>#N/A</v>
      </c>
      <c r="BH138" s="1424" t="e">
        <v>#N/A</v>
      </c>
    </row>
    <row r="139" spans="2:60" ht="15.75" customHeight="1" x14ac:dyDescent="0.25">
      <c r="B139" s="1014" t="s">
        <v>113</v>
      </c>
      <c r="C139" s="1014" t="s">
        <v>656</v>
      </c>
      <c r="D139" s="1015" t="str">
        <f t="shared" si="22"/>
        <v>Кемеровская областьТисуль</v>
      </c>
      <c r="E139" s="1016">
        <v>231</v>
      </c>
      <c r="F139" s="1017">
        <v>-7.1</v>
      </c>
      <c r="G139" s="1017">
        <v>-39</v>
      </c>
      <c r="H139" s="1019">
        <v>6.6</v>
      </c>
      <c r="I139" s="1020">
        <f>E139*(списки!$C$56-F139)</f>
        <v>6260.1</v>
      </c>
      <c r="J139" s="1021" t="str">
        <f t="shared" si="23"/>
        <v>6000-7000</v>
      </c>
      <c r="K139" s="1022">
        <v>18.100000000000001</v>
      </c>
      <c r="L139" s="1022"/>
      <c r="M139" s="1023">
        <f t="shared" si="24"/>
        <v>0</v>
      </c>
      <c r="N139" s="1024">
        <f>M139*(списки!$C$56-K139)</f>
        <v>0</v>
      </c>
      <c r="O139" s="1025">
        <v>15.2</v>
      </c>
      <c r="P139" s="1025"/>
      <c r="Q139" s="1025">
        <f t="shared" si="25"/>
        <v>0</v>
      </c>
      <c r="R139" s="1025">
        <f>Q139*(списки!$C$56-O139)</f>
        <v>0</v>
      </c>
      <c r="S139" s="1026">
        <v>9.1999999999999993</v>
      </c>
      <c r="T139" s="1026"/>
      <c r="U139" s="1026">
        <f t="shared" si="32"/>
        <v>9.5</v>
      </c>
      <c r="V139" s="1026">
        <f>U139*(списки!$C$56-S139)</f>
        <v>102.60000000000001</v>
      </c>
      <c r="W139" s="1027">
        <v>1.8</v>
      </c>
      <c r="X139" s="1027"/>
      <c r="Y139" s="1027">
        <f t="shared" si="26"/>
        <v>31</v>
      </c>
      <c r="Z139" s="1027">
        <f>Y139*(списки!$C$56-W139)</f>
        <v>564.19999999999993</v>
      </c>
      <c r="AA139" s="1028">
        <v>-7.5</v>
      </c>
      <c r="AB139" s="1028"/>
      <c r="AC139" s="1028">
        <f t="shared" si="27"/>
        <v>30</v>
      </c>
      <c r="AD139" s="1028">
        <f>AC139*(списки!$C$56-AA139)</f>
        <v>825</v>
      </c>
      <c r="AE139" s="1029">
        <v>-13.8</v>
      </c>
      <c r="AF139" s="1029"/>
      <c r="AG139" s="1029">
        <v>31</v>
      </c>
      <c r="AH139" s="1029">
        <f>AG139*(списки!$C$56-AE139)</f>
        <v>1047.8</v>
      </c>
      <c r="AI139" s="1030">
        <v>-16.3</v>
      </c>
      <c r="AJ139" s="1030"/>
      <c r="AK139" s="1030">
        <v>31</v>
      </c>
      <c r="AL139" s="1030">
        <f>AK139*(списки!$C$56-AI139)</f>
        <v>1125.3</v>
      </c>
      <c r="AM139" s="1031">
        <v>-14.7</v>
      </c>
      <c r="AN139" s="1031"/>
      <c r="AO139" s="1031">
        <v>28</v>
      </c>
      <c r="AP139" s="1031">
        <f>AO139*(списки!$C$56-AM139)</f>
        <v>971.60000000000014</v>
      </c>
      <c r="AQ139" s="1026">
        <v>-7.2</v>
      </c>
      <c r="AR139" s="1026"/>
      <c r="AS139" s="1026">
        <f t="shared" si="28"/>
        <v>31</v>
      </c>
      <c r="AT139" s="1026">
        <f>AS139*(списки!$C$56-AQ139)</f>
        <v>843.19999999999993</v>
      </c>
      <c r="AU139" s="1032">
        <v>1.7</v>
      </c>
      <c r="AV139" s="1032"/>
      <c r="AW139" s="1032">
        <f t="shared" si="29"/>
        <v>30</v>
      </c>
      <c r="AX139" s="1032">
        <f>AW139*(списки!$C$56-AU139)</f>
        <v>549</v>
      </c>
      <c r="AY139" s="1033">
        <v>9.8000000000000007</v>
      </c>
      <c r="AZ139" s="1033"/>
      <c r="BA139" s="1033">
        <f t="shared" si="30"/>
        <v>9.5</v>
      </c>
      <c r="BB139" s="1033">
        <f>BA139*(списки!$C$56-AY139)</f>
        <v>96.899999999999991</v>
      </c>
      <c r="BC139" s="1034">
        <v>15.7</v>
      </c>
      <c r="BD139" s="1034"/>
      <c r="BE139" s="1034">
        <f t="shared" si="31"/>
        <v>0</v>
      </c>
      <c r="BF139" s="1035">
        <f>BE139*(списки!$C$56-BC139)</f>
        <v>0</v>
      </c>
      <c r="BG139" s="1424">
        <v>6373.4535714285694</v>
      </c>
      <c r="BH139" s="1424">
        <v>5417.6375000000016</v>
      </c>
    </row>
    <row r="140" spans="2:60" ht="15.75" customHeight="1" x14ac:dyDescent="0.25">
      <c r="B140" s="1038" t="s">
        <v>113</v>
      </c>
      <c r="C140" s="1014" t="s">
        <v>119</v>
      </c>
      <c r="D140" s="1015" t="str">
        <f t="shared" si="22"/>
        <v>Кемеровская областьТопки</v>
      </c>
      <c r="E140" s="1016">
        <v>235</v>
      </c>
      <c r="F140" s="1017">
        <v>-8.1999999999999993</v>
      </c>
      <c r="G140" s="1017">
        <v>-39</v>
      </c>
      <c r="H140" s="1019">
        <f>H139</f>
        <v>6.6</v>
      </c>
      <c r="I140" s="1020">
        <f>E140*(списки!$C$56-F140)</f>
        <v>6627</v>
      </c>
      <c r="J140" s="1021" t="str">
        <f t="shared" si="23"/>
        <v>6000-7000</v>
      </c>
      <c r="K140" s="1022">
        <v>18.2</v>
      </c>
      <c r="L140" s="1022"/>
      <c r="M140" s="1023">
        <f t="shared" si="24"/>
        <v>0</v>
      </c>
      <c r="N140" s="1024">
        <f>M140*(списки!$C$56-K140)</f>
        <v>0</v>
      </c>
      <c r="O140" s="1025">
        <v>15.4</v>
      </c>
      <c r="P140" s="1025"/>
      <c r="Q140" s="1025">
        <f t="shared" si="25"/>
        <v>0</v>
      </c>
      <c r="R140" s="1025">
        <f>Q140*(списки!$C$56-O140)</f>
        <v>0</v>
      </c>
      <c r="S140" s="1026">
        <v>9.1999999999999993</v>
      </c>
      <c r="T140" s="1026"/>
      <c r="U140" s="1026">
        <f t="shared" si="32"/>
        <v>11.5</v>
      </c>
      <c r="V140" s="1026">
        <f>U140*(списки!$C$56-S140)</f>
        <v>124.2</v>
      </c>
      <c r="W140" s="1027">
        <v>0.7</v>
      </c>
      <c r="X140" s="1027"/>
      <c r="Y140" s="1027">
        <f t="shared" si="26"/>
        <v>31</v>
      </c>
      <c r="Z140" s="1027">
        <f>Y140*(списки!$C$56-W140)</f>
        <v>598.30000000000007</v>
      </c>
      <c r="AA140" s="1028">
        <v>-10.199999999999999</v>
      </c>
      <c r="AB140" s="1028"/>
      <c r="AC140" s="1028">
        <f t="shared" si="27"/>
        <v>30</v>
      </c>
      <c r="AD140" s="1028">
        <f>AC140*(списки!$C$56-AA140)</f>
        <v>906</v>
      </c>
      <c r="AE140" s="1029">
        <v>-16.5</v>
      </c>
      <c r="AF140" s="1029"/>
      <c r="AG140" s="1029">
        <v>31</v>
      </c>
      <c r="AH140" s="1029">
        <f>AG140*(списки!$C$56-AE140)</f>
        <v>1131.5</v>
      </c>
      <c r="AI140" s="1030">
        <v>-18.2</v>
      </c>
      <c r="AJ140" s="1030"/>
      <c r="AK140" s="1030">
        <v>31</v>
      </c>
      <c r="AL140" s="1030">
        <f>AK140*(списки!$C$56-AI140)</f>
        <v>1184.2</v>
      </c>
      <c r="AM140" s="1031">
        <v>-16.100000000000001</v>
      </c>
      <c r="AN140" s="1031"/>
      <c r="AO140" s="1031">
        <v>28</v>
      </c>
      <c r="AP140" s="1031">
        <f>AO140*(списки!$C$56-AM140)</f>
        <v>1010.8000000000001</v>
      </c>
      <c r="AQ140" s="1026">
        <v>-10.199999999999999</v>
      </c>
      <c r="AR140" s="1026"/>
      <c r="AS140" s="1026">
        <f t="shared" si="28"/>
        <v>31</v>
      </c>
      <c r="AT140" s="1026">
        <f>AS140*(списки!$C$56-AQ140)</f>
        <v>936.19999999999993</v>
      </c>
      <c r="AU140" s="1032">
        <v>-0.2</v>
      </c>
      <c r="AV140" s="1032"/>
      <c r="AW140" s="1032">
        <f t="shared" si="29"/>
        <v>30</v>
      </c>
      <c r="AX140" s="1032">
        <f>AW140*(списки!$C$56-AU140)</f>
        <v>606</v>
      </c>
      <c r="AY140" s="1033">
        <v>8.9</v>
      </c>
      <c r="AZ140" s="1033"/>
      <c r="BA140" s="1033">
        <f t="shared" si="30"/>
        <v>11.5</v>
      </c>
      <c r="BB140" s="1033">
        <f>BA140*(списки!$C$56-AY140)</f>
        <v>127.64999999999999</v>
      </c>
      <c r="BC140" s="1034">
        <v>15.8</v>
      </c>
      <c r="BD140" s="1034"/>
      <c r="BE140" s="1034">
        <f t="shared" si="31"/>
        <v>0</v>
      </c>
      <c r="BF140" s="1035">
        <f>BE140*(списки!$C$56-BC140)</f>
        <v>0</v>
      </c>
      <c r="BG140" s="1424" t="e">
        <v>#N/A</v>
      </c>
      <c r="BH140" s="1424" t="e">
        <v>#N/A</v>
      </c>
    </row>
    <row r="141" spans="2:60" ht="15.75" customHeight="1" x14ac:dyDescent="0.25">
      <c r="B141" s="1014" t="s">
        <v>113</v>
      </c>
      <c r="C141" s="1014" t="s">
        <v>120</v>
      </c>
      <c r="D141" s="1015" t="str">
        <f t="shared" si="22"/>
        <v>Кемеровская областьУсть-Кабырза</v>
      </c>
      <c r="E141" s="1016">
        <v>241</v>
      </c>
      <c r="F141" s="1017">
        <v>-9</v>
      </c>
      <c r="G141" s="1017">
        <v>-41</v>
      </c>
      <c r="H141" s="1019">
        <f>H140</f>
        <v>6.6</v>
      </c>
      <c r="I141" s="1020">
        <f>E141*(списки!$C$56-F141)</f>
        <v>6989</v>
      </c>
      <c r="J141" s="1021" t="str">
        <f t="shared" si="23"/>
        <v>6000-7000</v>
      </c>
      <c r="K141" s="1022">
        <v>16.899999999999999</v>
      </c>
      <c r="L141" s="1022"/>
      <c r="M141" s="1023">
        <f t="shared" si="24"/>
        <v>0</v>
      </c>
      <c r="N141" s="1024">
        <f>M141*(списки!$C$56-K141)</f>
        <v>0</v>
      </c>
      <c r="O141" s="1025">
        <v>14.5</v>
      </c>
      <c r="P141" s="1025"/>
      <c r="Q141" s="1025">
        <f t="shared" si="25"/>
        <v>0</v>
      </c>
      <c r="R141" s="1025">
        <f>Q141*(списки!$C$56-O141)</f>
        <v>0</v>
      </c>
      <c r="S141" s="1026">
        <v>8.4</v>
      </c>
      <c r="T141" s="1026"/>
      <c r="U141" s="1026">
        <f t="shared" si="32"/>
        <v>14.5</v>
      </c>
      <c r="V141" s="1026">
        <f>U141*(списки!$C$56-S141)</f>
        <v>168.2</v>
      </c>
      <c r="W141" s="1027">
        <v>0.4</v>
      </c>
      <c r="X141" s="1027"/>
      <c r="Y141" s="1027">
        <f t="shared" si="26"/>
        <v>31</v>
      </c>
      <c r="Z141" s="1027">
        <f>Y141*(списки!$C$56-W141)</f>
        <v>607.6</v>
      </c>
      <c r="AA141" s="1028">
        <v>-10.5</v>
      </c>
      <c r="AB141" s="1028"/>
      <c r="AC141" s="1028">
        <f t="shared" si="27"/>
        <v>30</v>
      </c>
      <c r="AD141" s="1028">
        <f>AC141*(списки!$C$56-AA141)</f>
        <v>915</v>
      </c>
      <c r="AE141" s="1029">
        <v>-19</v>
      </c>
      <c r="AF141" s="1029"/>
      <c r="AG141" s="1029">
        <v>31</v>
      </c>
      <c r="AH141" s="1029">
        <f>AG141*(списки!$C$56-AE141)</f>
        <v>1209</v>
      </c>
      <c r="AI141" s="1030">
        <v>-22.1</v>
      </c>
      <c r="AJ141" s="1030"/>
      <c r="AK141" s="1030">
        <v>31</v>
      </c>
      <c r="AL141" s="1030">
        <f>AK141*(списки!$C$56-AI141)</f>
        <v>1305.1000000000001</v>
      </c>
      <c r="AM141" s="1031">
        <v>-18</v>
      </c>
      <c r="AN141" s="1031"/>
      <c r="AO141" s="1031">
        <v>28</v>
      </c>
      <c r="AP141" s="1031">
        <f>AO141*(списки!$C$56-AM141)</f>
        <v>1064</v>
      </c>
      <c r="AQ141" s="1026">
        <v>-10</v>
      </c>
      <c r="AR141" s="1026"/>
      <c r="AS141" s="1026">
        <f t="shared" si="28"/>
        <v>31</v>
      </c>
      <c r="AT141" s="1026">
        <f>AS141*(списки!$C$56-AQ141)</f>
        <v>930</v>
      </c>
      <c r="AU141" s="1032">
        <v>-0.4</v>
      </c>
      <c r="AV141" s="1032"/>
      <c r="AW141" s="1032">
        <f t="shared" si="29"/>
        <v>30</v>
      </c>
      <c r="AX141" s="1032">
        <f>AW141*(списки!$C$56-AU141)</f>
        <v>612</v>
      </c>
      <c r="AY141" s="1033">
        <v>8.1</v>
      </c>
      <c r="AZ141" s="1033"/>
      <c r="BA141" s="1033">
        <f t="shared" si="30"/>
        <v>14.5</v>
      </c>
      <c r="BB141" s="1033">
        <f>BA141*(списки!$C$56-AY141)</f>
        <v>172.55</v>
      </c>
      <c r="BC141" s="1034">
        <v>14.6</v>
      </c>
      <c r="BD141" s="1034"/>
      <c r="BE141" s="1034">
        <f t="shared" si="31"/>
        <v>0</v>
      </c>
      <c r="BF141" s="1035">
        <f>BE141*(списки!$C$56-BC141)</f>
        <v>0</v>
      </c>
      <c r="BG141" s="1424" t="e">
        <v>#N/A</v>
      </c>
      <c r="BH141" s="1424" t="e">
        <v>#N/A</v>
      </c>
    </row>
    <row r="142" spans="2:60" ht="15.75" customHeight="1" x14ac:dyDescent="0.25">
      <c r="B142" s="1038" t="s">
        <v>142</v>
      </c>
      <c r="C142" s="1038" t="s">
        <v>144</v>
      </c>
      <c r="D142" s="1015" t="str">
        <f t="shared" si="22"/>
        <v>Кировская областьВятка</v>
      </c>
      <c r="E142" s="1016">
        <v>231</v>
      </c>
      <c r="F142" s="1017">
        <v>-5.4</v>
      </c>
      <c r="G142" s="1017">
        <v>-33</v>
      </c>
      <c r="H142" s="1019">
        <v>5.3</v>
      </c>
      <c r="I142" s="1020">
        <f>E142*(списки!$C$56-F142)</f>
        <v>5867.4</v>
      </c>
      <c r="J142" s="1021" t="str">
        <f t="shared" si="23"/>
        <v>5000-6000</v>
      </c>
      <c r="K142" s="1022">
        <v>17.899999999999999</v>
      </c>
      <c r="L142" s="1022"/>
      <c r="M142" s="1023">
        <f t="shared" si="24"/>
        <v>0</v>
      </c>
      <c r="N142" s="1024">
        <f>M142*(списки!$C$56-K142)</f>
        <v>0</v>
      </c>
      <c r="O142" s="1025">
        <v>15.3</v>
      </c>
      <c r="P142" s="1025"/>
      <c r="Q142" s="1025">
        <f t="shared" si="25"/>
        <v>0</v>
      </c>
      <c r="R142" s="1025">
        <f>Q142*(списки!$C$56-O142)</f>
        <v>0</v>
      </c>
      <c r="S142" s="1026">
        <v>9</v>
      </c>
      <c r="T142" s="1026"/>
      <c r="U142" s="1026">
        <f t="shared" si="32"/>
        <v>9.5</v>
      </c>
      <c r="V142" s="1026">
        <f>U142*(списки!$C$56-S142)</f>
        <v>104.5</v>
      </c>
      <c r="W142" s="1027">
        <v>1.5</v>
      </c>
      <c r="X142" s="1027"/>
      <c r="Y142" s="1027">
        <f t="shared" si="26"/>
        <v>31</v>
      </c>
      <c r="Z142" s="1027">
        <f>Y142*(списки!$C$56-W142)</f>
        <v>573.5</v>
      </c>
      <c r="AA142" s="1028">
        <v>-5.7</v>
      </c>
      <c r="AB142" s="1028"/>
      <c r="AC142" s="1028">
        <f t="shared" si="27"/>
        <v>30</v>
      </c>
      <c r="AD142" s="1028">
        <f>AC142*(списки!$C$56-AA142)</f>
        <v>771</v>
      </c>
      <c r="AE142" s="1029">
        <v>-11.8</v>
      </c>
      <c r="AF142" s="1029"/>
      <c r="AG142" s="1029">
        <v>31</v>
      </c>
      <c r="AH142" s="1029">
        <f>AG142*(списки!$C$56-AE142)</f>
        <v>985.80000000000007</v>
      </c>
      <c r="AI142" s="1030">
        <v>-14.4</v>
      </c>
      <c r="AJ142" s="1030"/>
      <c r="AK142" s="1030">
        <v>31</v>
      </c>
      <c r="AL142" s="1030">
        <f>AK142*(списки!$C$56-AI142)</f>
        <v>1066.3999999999999</v>
      </c>
      <c r="AM142" s="1031">
        <v>-12.9</v>
      </c>
      <c r="AN142" s="1031"/>
      <c r="AO142" s="1031">
        <v>28</v>
      </c>
      <c r="AP142" s="1031">
        <f>AO142*(списки!$C$56-AM142)</f>
        <v>921.19999999999993</v>
      </c>
      <c r="AQ142" s="1026">
        <v>-6.7</v>
      </c>
      <c r="AR142" s="1026"/>
      <c r="AS142" s="1026">
        <f t="shared" si="28"/>
        <v>31</v>
      </c>
      <c r="AT142" s="1026">
        <f>AS142*(списки!$C$56-AQ142)</f>
        <v>827.69999999999993</v>
      </c>
      <c r="AU142" s="1032">
        <v>2.2000000000000002</v>
      </c>
      <c r="AV142" s="1032"/>
      <c r="AW142" s="1032">
        <f t="shared" si="29"/>
        <v>30</v>
      </c>
      <c r="AX142" s="1032">
        <f>AW142*(списки!$C$56-AU142)</f>
        <v>534</v>
      </c>
      <c r="AY142" s="1033">
        <v>10</v>
      </c>
      <c r="AZ142" s="1033"/>
      <c r="BA142" s="1033">
        <f t="shared" si="30"/>
        <v>9.5</v>
      </c>
      <c r="BB142" s="1033">
        <f>BA142*(списки!$C$56-AY142)</f>
        <v>95</v>
      </c>
      <c r="BC142" s="1034">
        <v>15.4</v>
      </c>
      <c r="BD142" s="1034"/>
      <c r="BE142" s="1034">
        <f t="shared" si="31"/>
        <v>0</v>
      </c>
      <c r="BF142" s="1035">
        <f>BE142*(списки!$C$56-BC142)</f>
        <v>0</v>
      </c>
      <c r="BG142" s="1424">
        <v>5161.2000000000016</v>
      </c>
      <c r="BH142" s="1424">
        <v>5525.1946428571418</v>
      </c>
    </row>
    <row r="143" spans="2:60" ht="15.75" customHeight="1" x14ac:dyDescent="0.25">
      <c r="B143" s="1014" t="s">
        <v>142</v>
      </c>
      <c r="C143" s="1014" t="s">
        <v>657</v>
      </c>
      <c r="D143" s="1015" t="str">
        <f t="shared" si="22"/>
        <v>Кировская областьНагорское</v>
      </c>
      <c r="E143" s="1016">
        <v>239</v>
      </c>
      <c r="F143" s="1017">
        <v>-5.8</v>
      </c>
      <c r="G143" s="1017">
        <v>-34</v>
      </c>
      <c r="H143" s="1019">
        <f>H142</f>
        <v>5.3</v>
      </c>
      <c r="I143" s="1020">
        <f>E143*(списки!$C$56-F143)</f>
        <v>6166.2</v>
      </c>
      <c r="J143" s="1021" t="str">
        <f t="shared" si="23"/>
        <v>6000-7000</v>
      </c>
      <c r="K143" s="1022">
        <v>16.899999999999999</v>
      </c>
      <c r="L143" s="1022"/>
      <c r="M143" s="1023">
        <f t="shared" si="24"/>
        <v>0</v>
      </c>
      <c r="N143" s="1024">
        <f>M143*(списки!$C$56-K143)</f>
        <v>0</v>
      </c>
      <c r="O143" s="1025">
        <v>14.8</v>
      </c>
      <c r="P143" s="1025"/>
      <c r="Q143" s="1025">
        <f t="shared" si="25"/>
        <v>0</v>
      </c>
      <c r="R143" s="1025">
        <f>Q143*(списки!$C$56-O143)</f>
        <v>0</v>
      </c>
      <c r="S143" s="1026">
        <v>8.5</v>
      </c>
      <c r="T143" s="1026"/>
      <c r="U143" s="1026">
        <f t="shared" si="32"/>
        <v>13.5</v>
      </c>
      <c r="V143" s="1026">
        <f>U143*(списки!$C$56-S143)</f>
        <v>155.25</v>
      </c>
      <c r="W143" s="1027">
        <v>0.8</v>
      </c>
      <c r="X143" s="1027"/>
      <c r="Y143" s="1027">
        <f t="shared" si="26"/>
        <v>31</v>
      </c>
      <c r="Z143" s="1027">
        <f>Y143*(списки!$C$56-W143)</f>
        <v>595.19999999999993</v>
      </c>
      <c r="AA143" s="1028">
        <v>-6</v>
      </c>
      <c r="AB143" s="1028"/>
      <c r="AC143" s="1028">
        <f t="shared" si="27"/>
        <v>30</v>
      </c>
      <c r="AD143" s="1028">
        <f>AC143*(списки!$C$56-AA143)</f>
        <v>780</v>
      </c>
      <c r="AE143" s="1029">
        <v>-12.5</v>
      </c>
      <c r="AF143" s="1029"/>
      <c r="AG143" s="1029">
        <v>31</v>
      </c>
      <c r="AH143" s="1029">
        <f>AG143*(списки!$C$56-AE143)</f>
        <v>1007.5</v>
      </c>
      <c r="AI143" s="1030">
        <v>-14.9</v>
      </c>
      <c r="AJ143" s="1030"/>
      <c r="AK143" s="1030">
        <v>31</v>
      </c>
      <c r="AL143" s="1030">
        <f>AK143*(списки!$C$56-AI143)</f>
        <v>1081.8999999999999</v>
      </c>
      <c r="AM143" s="1031">
        <v>-13.7</v>
      </c>
      <c r="AN143" s="1031"/>
      <c r="AO143" s="1031">
        <v>28</v>
      </c>
      <c r="AP143" s="1031">
        <f>AO143*(списки!$C$56-AM143)</f>
        <v>943.60000000000014</v>
      </c>
      <c r="AQ143" s="1026">
        <v>-7.1</v>
      </c>
      <c r="AR143" s="1026"/>
      <c r="AS143" s="1026">
        <f t="shared" si="28"/>
        <v>31</v>
      </c>
      <c r="AT143" s="1026">
        <f>AS143*(списки!$C$56-AQ143)</f>
        <v>840.1</v>
      </c>
      <c r="AU143" s="1032">
        <v>1.6</v>
      </c>
      <c r="AV143" s="1032"/>
      <c r="AW143" s="1032">
        <f t="shared" si="29"/>
        <v>30</v>
      </c>
      <c r="AX143" s="1032">
        <f>AW143*(списки!$C$56-AU143)</f>
        <v>552</v>
      </c>
      <c r="AY143" s="1033">
        <v>9</v>
      </c>
      <c r="AZ143" s="1033"/>
      <c r="BA143" s="1033">
        <f t="shared" si="30"/>
        <v>13.5</v>
      </c>
      <c r="BB143" s="1033">
        <f>BA143*(списки!$C$56-AY143)</f>
        <v>148.5</v>
      </c>
      <c r="BC143" s="1034">
        <v>14.6</v>
      </c>
      <c r="BD143" s="1034"/>
      <c r="BE143" s="1034">
        <f t="shared" si="31"/>
        <v>0</v>
      </c>
      <c r="BF143" s="1035">
        <f>BE143*(списки!$C$56-BC143)</f>
        <v>0</v>
      </c>
      <c r="BG143" s="1424" t="e">
        <v>#N/A</v>
      </c>
      <c r="BH143" s="1424" t="e">
        <v>#N/A</v>
      </c>
    </row>
    <row r="144" spans="2:60" ht="15.75" customHeight="1" x14ac:dyDescent="0.25">
      <c r="B144" s="1038" t="s">
        <v>142</v>
      </c>
      <c r="C144" s="1038" t="s">
        <v>143</v>
      </c>
      <c r="D144" s="1015" t="str">
        <f t="shared" si="22"/>
        <v>Кировская областьСавали</v>
      </c>
      <c r="E144" s="1016">
        <v>220</v>
      </c>
      <c r="F144" s="1017">
        <v>-5.7</v>
      </c>
      <c r="G144" s="1017">
        <v>-33</v>
      </c>
      <c r="H144" s="1019">
        <f>H143</f>
        <v>5.3</v>
      </c>
      <c r="I144" s="1020">
        <f>E144*(списки!$C$56-F144)</f>
        <v>5654</v>
      </c>
      <c r="J144" s="1021" t="str">
        <f t="shared" si="23"/>
        <v>5000-6000</v>
      </c>
      <c r="K144" s="1022">
        <v>18.8</v>
      </c>
      <c r="L144" s="1022"/>
      <c r="M144" s="1023">
        <f t="shared" si="24"/>
        <v>0</v>
      </c>
      <c r="N144" s="1024">
        <f>M144*(списки!$C$56-K144)</f>
        <v>0</v>
      </c>
      <c r="O144" s="1025">
        <v>16.8</v>
      </c>
      <c r="P144" s="1025"/>
      <c r="Q144" s="1025">
        <f t="shared" si="25"/>
        <v>0</v>
      </c>
      <c r="R144" s="1025">
        <f>Q144*(списки!$C$56-O144)</f>
        <v>0</v>
      </c>
      <c r="S144" s="1026">
        <v>10.4</v>
      </c>
      <c r="T144" s="1026"/>
      <c r="U144" s="1026">
        <f t="shared" si="32"/>
        <v>4</v>
      </c>
      <c r="V144" s="1026">
        <f>U144*(списки!$C$56-S144)</f>
        <v>38.4</v>
      </c>
      <c r="W144" s="1027">
        <v>2.8</v>
      </c>
      <c r="X144" s="1027"/>
      <c r="Y144" s="1027">
        <f t="shared" si="26"/>
        <v>31</v>
      </c>
      <c r="Z144" s="1027">
        <f>Y144*(списки!$C$56-W144)</f>
        <v>533.19999999999993</v>
      </c>
      <c r="AA144" s="1028">
        <v>-5.2</v>
      </c>
      <c r="AB144" s="1028"/>
      <c r="AC144" s="1028">
        <f t="shared" si="27"/>
        <v>30</v>
      </c>
      <c r="AD144" s="1028">
        <f>AC144*(списки!$C$56-AA144)</f>
        <v>756</v>
      </c>
      <c r="AE144" s="1029">
        <v>-11.5</v>
      </c>
      <c r="AF144" s="1029"/>
      <c r="AG144" s="1029">
        <v>31</v>
      </c>
      <c r="AH144" s="1029">
        <f>AG144*(списки!$C$56-AE144)</f>
        <v>976.5</v>
      </c>
      <c r="AI144" s="1030">
        <v>-14</v>
      </c>
      <c r="AJ144" s="1030"/>
      <c r="AK144" s="1030">
        <v>31</v>
      </c>
      <c r="AL144" s="1030">
        <f>AK144*(списки!$C$56-AI144)</f>
        <v>1054</v>
      </c>
      <c r="AM144" s="1031">
        <v>-13.2</v>
      </c>
      <c r="AN144" s="1031"/>
      <c r="AO144" s="1031">
        <v>28</v>
      </c>
      <c r="AP144" s="1031">
        <f>AO144*(списки!$C$56-AM144)</f>
        <v>929.60000000000014</v>
      </c>
      <c r="AQ144" s="1026">
        <v>-7.4</v>
      </c>
      <c r="AR144" s="1026"/>
      <c r="AS144" s="1026">
        <f t="shared" si="28"/>
        <v>31</v>
      </c>
      <c r="AT144" s="1026">
        <f>AS144*(списки!$C$56-AQ144)</f>
        <v>849.4</v>
      </c>
      <c r="AU144" s="1032">
        <v>2.8</v>
      </c>
      <c r="AV144" s="1032"/>
      <c r="AW144" s="1032">
        <f t="shared" si="29"/>
        <v>30</v>
      </c>
      <c r="AX144" s="1032">
        <f>AW144*(списки!$C$56-AU144)</f>
        <v>516</v>
      </c>
      <c r="AY144" s="1033">
        <v>11.6</v>
      </c>
      <c r="AZ144" s="1033"/>
      <c r="BA144" s="1033">
        <f t="shared" si="30"/>
        <v>4</v>
      </c>
      <c r="BB144" s="1033">
        <f>BA144*(списки!$C$56-AY144)</f>
        <v>33.6</v>
      </c>
      <c r="BC144" s="1034">
        <v>16.8</v>
      </c>
      <c r="BD144" s="1034"/>
      <c r="BE144" s="1034">
        <f t="shared" si="31"/>
        <v>0</v>
      </c>
      <c r="BF144" s="1035">
        <f>BE144*(списки!$C$56-BC144)</f>
        <v>0</v>
      </c>
      <c r="BG144" s="1424">
        <v>4978.2660714285712</v>
      </c>
      <c r="BH144" s="1424">
        <v>5029.487500000002</v>
      </c>
    </row>
    <row r="145" spans="2:60" ht="15.75" customHeight="1" x14ac:dyDescent="0.25">
      <c r="B145" s="1014" t="s">
        <v>155</v>
      </c>
      <c r="C145" s="1014" t="s">
        <v>157</v>
      </c>
      <c r="D145" s="1015" t="str">
        <f t="shared" si="22"/>
        <v>Костромская областьКострома</v>
      </c>
      <c r="E145" s="1016">
        <v>222</v>
      </c>
      <c r="F145" s="1017">
        <v>-3.9</v>
      </c>
      <c r="G145" s="1017">
        <v>-31</v>
      </c>
      <c r="H145" s="1019">
        <v>5.8</v>
      </c>
      <c r="I145" s="1020">
        <f>E145*(списки!$C$56-F145)</f>
        <v>5305.7999999999993</v>
      </c>
      <c r="J145" s="1021" t="str">
        <f t="shared" si="23"/>
        <v>5000-6000</v>
      </c>
      <c r="K145" s="1022">
        <v>17.8</v>
      </c>
      <c r="L145" s="1022"/>
      <c r="M145" s="1023">
        <f t="shared" si="24"/>
        <v>0</v>
      </c>
      <c r="N145" s="1024">
        <f>M145*(списки!$C$56-K145)</f>
        <v>0</v>
      </c>
      <c r="O145" s="1025">
        <v>16.100000000000001</v>
      </c>
      <c r="P145" s="1025"/>
      <c r="Q145" s="1025">
        <f t="shared" si="25"/>
        <v>0</v>
      </c>
      <c r="R145" s="1025">
        <f>Q145*(списки!$C$56-O145)</f>
        <v>0</v>
      </c>
      <c r="S145" s="1026">
        <v>10</v>
      </c>
      <c r="T145" s="1026"/>
      <c r="U145" s="1026">
        <f t="shared" si="32"/>
        <v>5</v>
      </c>
      <c r="V145" s="1026">
        <f>U145*(списки!$C$56-S145)</f>
        <v>50</v>
      </c>
      <c r="W145" s="1027">
        <v>3.2</v>
      </c>
      <c r="X145" s="1027"/>
      <c r="Y145" s="1027">
        <f t="shared" si="26"/>
        <v>31</v>
      </c>
      <c r="Z145" s="1027">
        <f>Y145*(списки!$C$56-W145)</f>
        <v>520.80000000000007</v>
      </c>
      <c r="AA145" s="1028">
        <v>-2.9</v>
      </c>
      <c r="AB145" s="1028"/>
      <c r="AC145" s="1028">
        <f t="shared" si="27"/>
        <v>30</v>
      </c>
      <c r="AD145" s="1028">
        <f>AC145*(списки!$C$56-AA145)</f>
        <v>687</v>
      </c>
      <c r="AE145" s="1029">
        <v>-8.6999999999999993</v>
      </c>
      <c r="AF145" s="1029"/>
      <c r="AG145" s="1029">
        <v>31</v>
      </c>
      <c r="AH145" s="1029">
        <f>AG145*(списки!$C$56-AE145)</f>
        <v>889.69999999999993</v>
      </c>
      <c r="AI145" s="1030">
        <v>-11.8</v>
      </c>
      <c r="AJ145" s="1030"/>
      <c r="AK145" s="1030">
        <v>31</v>
      </c>
      <c r="AL145" s="1030">
        <f>AK145*(списки!$C$56-AI145)</f>
        <v>985.80000000000007</v>
      </c>
      <c r="AM145" s="1031">
        <v>-11.1</v>
      </c>
      <c r="AN145" s="1031"/>
      <c r="AO145" s="1031">
        <v>28</v>
      </c>
      <c r="AP145" s="1031">
        <f>AO145*(списки!$C$56-AM145)</f>
        <v>870.80000000000007</v>
      </c>
      <c r="AQ145" s="1026">
        <v>-5.3</v>
      </c>
      <c r="AR145" s="1026"/>
      <c r="AS145" s="1026">
        <f t="shared" si="28"/>
        <v>31</v>
      </c>
      <c r="AT145" s="1026">
        <f>AS145*(списки!$C$56-AQ145)</f>
        <v>784.30000000000007</v>
      </c>
      <c r="AU145" s="1032">
        <v>3.2</v>
      </c>
      <c r="AV145" s="1032"/>
      <c r="AW145" s="1032">
        <f t="shared" si="29"/>
        <v>30</v>
      </c>
      <c r="AX145" s="1032">
        <f>AW145*(списки!$C$56-AU145)</f>
        <v>504</v>
      </c>
      <c r="AY145" s="1033">
        <v>10.9</v>
      </c>
      <c r="AZ145" s="1033"/>
      <c r="BA145" s="1033">
        <f t="shared" si="30"/>
        <v>5</v>
      </c>
      <c r="BB145" s="1033">
        <f>BA145*(списки!$C$56-AY145)</f>
        <v>45.5</v>
      </c>
      <c r="BC145" s="1034">
        <v>15.5</v>
      </c>
      <c r="BD145" s="1034"/>
      <c r="BE145" s="1034">
        <f t="shared" si="31"/>
        <v>0</v>
      </c>
      <c r="BF145" s="1035">
        <f>BE145*(списки!$C$56-BC145)</f>
        <v>0</v>
      </c>
      <c r="BG145" s="1424">
        <v>4698.1535714285728</v>
      </c>
      <c r="BH145" s="1424">
        <v>5073.6021428571421</v>
      </c>
    </row>
    <row r="146" spans="2:60" ht="15.75" customHeight="1" x14ac:dyDescent="0.25">
      <c r="B146" s="1038" t="s">
        <v>155</v>
      </c>
      <c r="C146" s="1038" t="s">
        <v>156</v>
      </c>
      <c r="D146" s="1015" t="str">
        <f t="shared" si="22"/>
        <v>Костромская областьЧухлома</v>
      </c>
      <c r="E146" s="1016">
        <v>230</v>
      </c>
      <c r="F146" s="1017">
        <v>-4.3</v>
      </c>
      <c r="G146" s="1017">
        <v>-32</v>
      </c>
      <c r="H146" s="1019">
        <f>H145</f>
        <v>5.8</v>
      </c>
      <c r="I146" s="1020">
        <f>E146*(списки!$C$56-F146)</f>
        <v>5589</v>
      </c>
      <c r="J146" s="1021" t="str">
        <f t="shared" si="23"/>
        <v>5000-6000</v>
      </c>
      <c r="K146" s="1022">
        <v>17</v>
      </c>
      <c r="L146" s="1022"/>
      <c r="M146" s="1023">
        <f t="shared" si="24"/>
        <v>0</v>
      </c>
      <c r="N146" s="1024">
        <f>M146*(списки!$C$56-K146)</f>
        <v>0</v>
      </c>
      <c r="O146" s="1025">
        <v>15.1</v>
      </c>
      <c r="P146" s="1025"/>
      <c r="Q146" s="1025">
        <f t="shared" si="25"/>
        <v>0</v>
      </c>
      <c r="R146" s="1025">
        <f>Q146*(списки!$C$56-O146)</f>
        <v>0</v>
      </c>
      <c r="S146" s="1026">
        <v>9.1999999999999993</v>
      </c>
      <c r="T146" s="1026"/>
      <c r="U146" s="1026">
        <f t="shared" si="32"/>
        <v>9</v>
      </c>
      <c r="V146" s="1026">
        <f>U146*(списки!$C$56-S146)</f>
        <v>97.2</v>
      </c>
      <c r="W146" s="1027">
        <v>2.4</v>
      </c>
      <c r="X146" s="1027"/>
      <c r="Y146" s="1027">
        <f t="shared" si="26"/>
        <v>31</v>
      </c>
      <c r="Z146" s="1027">
        <f>Y146*(списки!$C$56-W146)</f>
        <v>545.6</v>
      </c>
      <c r="AA146" s="1028">
        <v>-3.6</v>
      </c>
      <c r="AB146" s="1028"/>
      <c r="AC146" s="1028">
        <f t="shared" si="27"/>
        <v>30</v>
      </c>
      <c r="AD146" s="1028">
        <f>AC146*(списки!$C$56-AA146)</f>
        <v>708</v>
      </c>
      <c r="AE146" s="1029">
        <v>-9.8000000000000007</v>
      </c>
      <c r="AF146" s="1029"/>
      <c r="AG146" s="1029">
        <v>31</v>
      </c>
      <c r="AH146" s="1029">
        <f>AG146*(списки!$C$56-AE146)</f>
        <v>923.80000000000007</v>
      </c>
      <c r="AI146" s="1030">
        <v>-12.8</v>
      </c>
      <c r="AJ146" s="1030"/>
      <c r="AK146" s="1030">
        <v>31</v>
      </c>
      <c r="AL146" s="1030">
        <f>AK146*(списки!$C$56-AI146)</f>
        <v>1016.8</v>
      </c>
      <c r="AM146" s="1031">
        <v>-11.6</v>
      </c>
      <c r="AN146" s="1031"/>
      <c r="AO146" s="1031">
        <v>28</v>
      </c>
      <c r="AP146" s="1031">
        <f>AO146*(списки!$C$56-AM146)</f>
        <v>884.80000000000007</v>
      </c>
      <c r="AQ146" s="1026">
        <v>-5.7</v>
      </c>
      <c r="AR146" s="1026"/>
      <c r="AS146" s="1026">
        <f t="shared" si="28"/>
        <v>31</v>
      </c>
      <c r="AT146" s="1026">
        <f>AS146*(списки!$C$56-AQ146)</f>
        <v>796.69999999999993</v>
      </c>
      <c r="AU146" s="1032">
        <v>2.5</v>
      </c>
      <c r="AV146" s="1032"/>
      <c r="AW146" s="1032">
        <f t="shared" si="29"/>
        <v>30</v>
      </c>
      <c r="AX146" s="1032">
        <f>AW146*(списки!$C$56-AU146)</f>
        <v>525</v>
      </c>
      <c r="AY146" s="1033">
        <v>9.6999999999999993</v>
      </c>
      <c r="AZ146" s="1033"/>
      <c r="BA146" s="1033">
        <f t="shared" si="30"/>
        <v>9</v>
      </c>
      <c r="BB146" s="1033">
        <f>BA146*(списки!$C$56-AY146)</f>
        <v>92.7</v>
      </c>
      <c r="BC146" s="1034">
        <v>14.8</v>
      </c>
      <c r="BD146" s="1034"/>
      <c r="BE146" s="1034">
        <f t="shared" si="31"/>
        <v>0</v>
      </c>
      <c r="BF146" s="1035">
        <f>BE146*(списки!$C$56-BC146)</f>
        <v>0</v>
      </c>
      <c r="BG146" s="1424" t="e">
        <v>#N/A</v>
      </c>
      <c r="BH146" s="1424" t="e">
        <v>#N/A</v>
      </c>
    </row>
    <row r="147" spans="2:60" ht="15.75" customHeight="1" x14ac:dyDescent="0.25">
      <c r="B147" s="1014" t="s">
        <v>155</v>
      </c>
      <c r="C147" s="1014" t="s">
        <v>158</v>
      </c>
      <c r="D147" s="1015" t="str">
        <f t="shared" si="22"/>
        <v>Костромская областьШарья</v>
      </c>
      <c r="E147" s="1016">
        <v>228</v>
      </c>
      <c r="F147" s="1017">
        <v>-4.7</v>
      </c>
      <c r="G147" s="1017">
        <v>-32</v>
      </c>
      <c r="H147" s="1019">
        <v>4.5</v>
      </c>
      <c r="I147" s="1020">
        <f>E147*(списки!$C$56-F147)</f>
        <v>5631.5999999999995</v>
      </c>
      <c r="J147" s="1021" t="str">
        <f t="shared" si="23"/>
        <v>5000-6000</v>
      </c>
      <c r="K147" s="1022">
        <v>17.399999999999999</v>
      </c>
      <c r="L147" s="1022"/>
      <c r="M147" s="1023">
        <f t="shared" si="24"/>
        <v>0</v>
      </c>
      <c r="N147" s="1024">
        <f>M147*(списки!$C$56-K147)</f>
        <v>0</v>
      </c>
      <c r="O147" s="1025">
        <v>15.1</v>
      </c>
      <c r="P147" s="1025"/>
      <c r="Q147" s="1025">
        <f t="shared" si="25"/>
        <v>0</v>
      </c>
      <c r="R147" s="1025">
        <f>Q147*(списки!$C$56-O147)</f>
        <v>0</v>
      </c>
      <c r="S147" s="1026">
        <v>9.3000000000000007</v>
      </c>
      <c r="T147" s="1026"/>
      <c r="U147" s="1026">
        <f t="shared" si="32"/>
        <v>8</v>
      </c>
      <c r="V147" s="1026">
        <f>U147*(списки!$C$56-S147)</f>
        <v>85.6</v>
      </c>
      <c r="W147" s="1027">
        <v>2.2999999999999998</v>
      </c>
      <c r="X147" s="1027"/>
      <c r="Y147" s="1027">
        <f t="shared" si="26"/>
        <v>31</v>
      </c>
      <c r="Z147" s="1027">
        <f>Y147*(списки!$C$56-W147)</f>
        <v>548.69999999999993</v>
      </c>
      <c r="AA147" s="1028">
        <v>-4.7</v>
      </c>
      <c r="AB147" s="1028"/>
      <c r="AC147" s="1028">
        <f t="shared" si="27"/>
        <v>30</v>
      </c>
      <c r="AD147" s="1028">
        <f>AC147*(списки!$C$56-AA147)</f>
        <v>741</v>
      </c>
      <c r="AE147" s="1029">
        <v>-10.6</v>
      </c>
      <c r="AF147" s="1029"/>
      <c r="AG147" s="1029">
        <v>31</v>
      </c>
      <c r="AH147" s="1029">
        <f>AG147*(списки!$C$56-AE147)</f>
        <v>948.6</v>
      </c>
      <c r="AI147" s="1030">
        <v>-13</v>
      </c>
      <c r="AJ147" s="1030"/>
      <c r="AK147" s="1030">
        <v>31</v>
      </c>
      <c r="AL147" s="1030">
        <f>AK147*(списки!$C$56-AI147)</f>
        <v>1023</v>
      </c>
      <c r="AM147" s="1031">
        <v>-12.1</v>
      </c>
      <c r="AN147" s="1031"/>
      <c r="AO147" s="1031">
        <v>28</v>
      </c>
      <c r="AP147" s="1031">
        <f>AO147*(списки!$C$56-AM147)</f>
        <v>898.80000000000007</v>
      </c>
      <c r="AQ147" s="1026">
        <v>-6</v>
      </c>
      <c r="AR147" s="1026"/>
      <c r="AS147" s="1026">
        <f t="shared" si="28"/>
        <v>31</v>
      </c>
      <c r="AT147" s="1026">
        <f>AS147*(списки!$C$56-AQ147)</f>
        <v>806</v>
      </c>
      <c r="AU147" s="1032">
        <v>2.9</v>
      </c>
      <c r="AV147" s="1032"/>
      <c r="AW147" s="1032">
        <f t="shared" si="29"/>
        <v>30</v>
      </c>
      <c r="AX147" s="1032">
        <f>AW147*(списки!$C$56-AU147)</f>
        <v>513</v>
      </c>
      <c r="AY147" s="1033">
        <v>10.199999999999999</v>
      </c>
      <c r="AZ147" s="1033"/>
      <c r="BA147" s="1033">
        <f t="shared" si="30"/>
        <v>8</v>
      </c>
      <c r="BB147" s="1033">
        <f>BA147*(списки!$C$56-AY147)</f>
        <v>78.400000000000006</v>
      </c>
      <c r="BC147" s="1034">
        <v>15.1</v>
      </c>
      <c r="BD147" s="1034"/>
      <c r="BE147" s="1034">
        <f t="shared" si="31"/>
        <v>0</v>
      </c>
      <c r="BF147" s="1035">
        <f>BE147*(списки!$C$56-BC147)</f>
        <v>0</v>
      </c>
      <c r="BG147" s="1424">
        <v>5072.0250000000024</v>
      </c>
      <c r="BH147" s="1424">
        <v>5403.3210714285724</v>
      </c>
    </row>
    <row r="148" spans="2:60" ht="15.75" customHeight="1" x14ac:dyDescent="0.25">
      <c r="B148" s="1038" t="s">
        <v>159</v>
      </c>
      <c r="C148" s="1038" t="s">
        <v>160</v>
      </c>
      <c r="D148" s="1015" t="str">
        <f t="shared" si="22"/>
        <v>Краснодарский крайКрасная Поляна</v>
      </c>
      <c r="E148" s="1016">
        <v>155</v>
      </c>
      <c r="F148" s="1017">
        <v>3</v>
      </c>
      <c r="G148" s="1017">
        <v>-9</v>
      </c>
      <c r="H148" s="1019">
        <f>H147</f>
        <v>4.5</v>
      </c>
      <c r="I148" s="1020">
        <f>E148*(списки!$C$56-F148)</f>
        <v>2635</v>
      </c>
      <c r="J148" s="1021" t="str">
        <f t="shared" si="23"/>
        <v>2000-3000</v>
      </c>
      <c r="K148" s="1022">
        <v>19.5</v>
      </c>
      <c r="L148" s="1022"/>
      <c r="M148" s="1023">
        <f t="shared" si="24"/>
        <v>0</v>
      </c>
      <c r="N148" s="1024">
        <f>M148*(списки!$C$56-K148)</f>
        <v>0</v>
      </c>
      <c r="O148" s="1025">
        <v>19.399999999999999</v>
      </c>
      <c r="P148" s="1025"/>
      <c r="Q148" s="1025">
        <f t="shared" si="25"/>
        <v>0</v>
      </c>
      <c r="R148" s="1025">
        <f>Q148*(списки!$C$56-O148)</f>
        <v>0</v>
      </c>
      <c r="S148" s="1026">
        <v>15.6</v>
      </c>
      <c r="T148" s="1026"/>
      <c r="U148" s="1026">
        <f t="shared" si="32"/>
        <v>0</v>
      </c>
      <c r="V148" s="1026">
        <f>U148*(списки!$C$56-S148)</f>
        <v>0</v>
      </c>
      <c r="W148" s="1027">
        <v>10.8</v>
      </c>
      <c r="X148" s="1027"/>
      <c r="Y148" s="1027">
        <f t="shared" si="26"/>
        <v>2</v>
      </c>
      <c r="Z148" s="1027">
        <f>Y148*(списки!$C$56-W148)</f>
        <v>18.399999999999999</v>
      </c>
      <c r="AA148" s="1028">
        <v>6.9</v>
      </c>
      <c r="AB148" s="1028"/>
      <c r="AC148" s="1028">
        <f t="shared" si="27"/>
        <v>30</v>
      </c>
      <c r="AD148" s="1028">
        <f>AC148*(списки!$C$56-AA148)</f>
        <v>393</v>
      </c>
      <c r="AE148" s="1029">
        <v>2.2000000000000002</v>
      </c>
      <c r="AF148" s="1029"/>
      <c r="AG148" s="1029">
        <v>31</v>
      </c>
      <c r="AH148" s="1029">
        <f>AG148*(списки!$C$56-AE148)</f>
        <v>551.80000000000007</v>
      </c>
      <c r="AI148" s="1030">
        <v>0.3</v>
      </c>
      <c r="AJ148" s="1030"/>
      <c r="AK148" s="1030">
        <v>31</v>
      </c>
      <c r="AL148" s="1030">
        <f>AK148*(списки!$C$56-AI148)</f>
        <v>610.69999999999993</v>
      </c>
      <c r="AM148" s="1031">
        <v>1.3</v>
      </c>
      <c r="AN148" s="1031"/>
      <c r="AO148" s="1031">
        <v>28</v>
      </c>
      <c r="AP148" s="1031">
        <f>AO148*(списки!$C$56-AM148)</f>
        <v>523.6</v>
      </c>
      <c r="AQ148" s="1026">
        <v>4.2</v>
      </c>
      <c r="AR148" s="1026"/>
      <c r="AS148" s="1026">
        <f t="shared" si="28"/>
        <v>31</v>
      </c>
      <c r="AT148" s="1026">
        <f>AS148*(списки!$C$56-AQ148)</f>
        <v>489.8</v>
      </c>
      <c r="AU148" s="1032">
        <v>9.5</v>
      </c>
      <c r="AV148" s="1032"/>
      <c r="AW148" s="1032">
        <f t="shared" si="29"/>
        <v>2</v>
      </c>
      <c r="AX148" s="1032">
        <f>AW148*(списки!$C$56-AU148)</f>
        <v>21</v>
      </c>
      <c r="AY148" s="1033">
        <v>14.2</v>
      </c>
      <c r="AZ148" s="1033"/>
      <c r="BA148" s="1033">
        <f t="shared" si="30"/>
        <v>0</v>
      </c>
      <c r="BB148" s="1033">
        <f>BA148*(списки!$C$56-AY148)</f>
        <v>0</v>
      </c>
      <c r="BC148" s="1034">
        <v>17.100000000000001</v>
      </c>
      <c r="BD148" s="1034"/>
      <c r="BE148" s="1034">
        <f t="shared" si="31"/>
        <v>0</v>
      </c>
      <c r="BF148" s="1035">
        <f>BE148*(списки!$C$56-BC148)</f>
        <v>0</v>
      </c>
      <c r="BG148" s="1424">
        <v>2418.1339285714284</v>
      </c>
      <c r="BH148" s="1424">
        <v>2441.4375</v>
      </c>
    </row>
    <row r="149" spans="2:60" ht="15.75" customHeight="1" x14ac:dyDescent="0.25">
      <c r="B149" s="1014" t="s">
        <v>159</v>
      </c>
      <c r="C149" s="1014" t="s">
        <v>161</v>
      </c>
      <c r="D149" s="1015" t="str">
        <f t="shared" si="22"/>
        <v>Краснодарский крайКраснодар</v>
      </c>
      <c r="E149" s="1016">
        <v>145</v>
      </c>
      <c r="F149" s="1017">
        <v>2.5</v>
      </c>
      <c r="G149" s="1017">
        <v>-14</v>
      </c>
      <c r="H149" s="1019">
        <v>3.7</v>
      </c>
      <c r="I149" s="1020">
        <f>E149*(списки!$C$56-F149)</f>
        <v>2537.5</v>
      </c>
      <c r="J149" s="1021" t="str">
        <f t="shared" si="23"/>
        <v>2000-3000</v>
      </c>
      <c r="K149" s="1022">
        <v>23.8</v>
      </c>
      <c r="L149" s="1022"/>
      <c r="M149" s="1023">
        <f t="shared" si="24"/>
        <v>0</v>
      </c>
      <c r="N149" s="1024">
        <f>M149*(списки!$C$56-K149)</f>
        <v>0</v>
      </c>
      <c r="O149" s="1025">
        <v>23.2</v>
      </c>
      <c r="P149" s="1025"/>
      <c r="Q149" s="1025">
        <f t="shared" si="25"/>
        <v>0</v>
      </c>
      <c r="R149" s="1025">
        <f>Q149*(списки!$C$56-O149)</f>
        <v>0</v>
      </c>
      <c r="S149" s="1026">
        <v>18.100000000000001</v>
      </c>
      <c r="T149" s="1026"/>
      <c r="U149" s="1026">
        <f t="shared" si="32"/>
        <v>0</v>
      </c>
      <c r="V149" s="1026">
        <f>U149*(списки!$C$56-S149)</f>
        <v>0</v>
      </c>
      <c r="W149" s="1027">
        <v>11.9</v>
      </c>
      <c r="X149" s="1027"/>
      <c r="Y149" s="1027">
        <f t="shared" si="26"/>
        <v>0</v>
      </c>
      <c r="Z149" s="1027">
        <f>Y149*(списки!$C$56-W149)</f>
        <v>0</v>
      </c>
      <c r="AA149" s="1028">
        <v>6.3</v>
      </c>
      <c r="AB149" s="1028"/>
      <c r="AC149" s="1028">
        <f t="shared" si="27"/>
        <v>27.5</v>
      </c>
      <c r="AD149" s="1028">
        <f>AC149*(списки!$C$56-AA149)</f>
        <v>376.75</v>
      </c>
      <c r="AE149" s="1029">
        <v>2</v>
      </c>
      <c r="AF149" s="1029"/>
      <c r="AG149" s="1029">
        <v>31</v>
      </c>
      <c r="AH149" s="1029">
        <f>AG149*(списки!$C$56-AE149)</f>
        <v>558</v>
      </c>
      <c r="AI149" s="1030">
        <v>-0.2</v>
      </c>
      <c r="AJ149" s="1030"/>
      <c r="AK149" s="1030">
        <v>31</v>
      </c>
      <c r="AL149" s="1030">
        <f>AK149*(списки!$C$56-AI149)</f>
        <v>626.19999999999993</v>
      </c>
      <c r="AM149" s="1031">
        <v>1</v>
      </c>
      <c r="AN149" s="1031"/>
      <c r="AO149" s="1031">
        <v>28</v>
      </c>
      <c r="AP149" s="1031">
        <f>AO149*(списки!$C$56-AM149)</f>
        <v>532</v>
      </c>
      <c r="AQ149" s="1026">
        <v>5.4</v>
      </c>
      <c r="AR149" s="1026"/>
      <c r="AS149" s="1026">
        <f t="shared" si="28"/>
        <v>27.5</v>
      </c>
      <c r="AT149" s="1026">
        <f>AS149*(списки!$C$56-AQ149)</f>
        <v>401.5</v>
      </c>
      <c r="AU149" s="1032">
        <v>12.2</v>
      </c>
      <c r="AV149" s="1032"/>
      <c r="AW149" s="1032">
        <f t="shared" si="29"/>
        <v>0</v>
      </c>
      <c r="AX149" s="1032">
        <f>AW149*(списки!$C$56-AU149)</f>
        <v>0</v>
      </c>
      <c r="AY149" s="1033">
        <v>17.3</v>
      </c>
      <c r="AZ149" s="1033"/>
      <c r="BA149" s="1033">
        <f t="shared" si="30"/>
        <v>0</v>
      </c>
      <c r="BB149" s="1033">
        <f>BA149*(списки!$C$56-AY149)</f>
        <v>0</v>
      </c>
      <c r="BC149" s="1034">
        <v>21</v>
      </c>
      <c r="BD149" s="1034"/>
      <c r="BE149" s="1034">
        <f t="shared" si="31"/>
        <v>0</v>
      </c>
      <c r="BF149" s="1035">
        <f>BE149*(списки!$C$56-BC149)</f>
        <v>0</v>
      </c>
      <c r="BG149" s="1424">
        <v>2305.5910714285715</v>
      </c>
      <c r="BH149" s="1424">
        <v>2085.7375000000002</v>
      </c>
    </row>
    <row r="150" spans="2:60" ht="15.75" customHeight="1" x14ac:dyDescent="0.25">
      <c r="B150" s="1038" t="s">
        <v>159</v>
      </c>
      <c r="C150" s="1038" t="s">
        <v>162</v>
      </c>
      <c r="D150" s="1015" t="str">
        <f t="shared" si="22"/>
        <v>Краснодарский крайПриморско-Ахтарск</v>
      </c>
      <c r="E150" s="1016">
        <v>159</v>
      </c>
      <c r="F150" s="1017">
        <v>1</v>
      </c>
      <c r="G150" s="1017">
        <v>-20</v>
      </c>
      <c r="H150" s="1019">
        <f>H149</f>
        <v>3.7</v>
      </c>
      <c r="I150" s="1020">
        <f>E150*(списки!$C$56-F150)</f>
        <v>3021</v>
      </c>
      <c r="J150" s="1021" t="str">
        <f t="shared" si="23"/>
        <v>3000-4000</v>
      </c>
      <c r="K150" s="1022">
        <v>24.2</v>
      </c>
      <c r="L150" s="1022"/>
      <c r="M150" s="1023">
        <f t="shared" si="24"/>
        <v>0</v>
      </c>
      <c r="N150" s="1024">
        <f>M150*(списки!$C$56-K150)</f>
        <v>0</v>
      </c>
      <c r="O150" s="1025">
        <v>23.2</v>
      </c>
      <c r="P150" s="1025"/>
      <c r="Q150" s="1025">
        <f t="shared" si="25"/>
        <v>0</v>
      </c>
      <c r="R150" s="1025">
        <f>Q150*(списки!$C$56-O150)</f>
        <v>0</v>
      </c>
      <c r="S150" s="1026">
        <v>17.899999999999999</v>
      </c>
      <c r="T150" s="1026"/>
      <c r="U150" s="1026">
        <f t="shared" si="32"/>
        <v>0</v>
      </c>
      <c r="V150" s="1026">
        <f>U150*(списки!$C$56-S150)</f>
        <v>0</v>
      </c>
      <c r="W150" s="1027">
        <v>11.1</v>
      </c>
      <c r="X150" s="1027"/>
      <c r="Y150" s="1027">
        <f t="shared" si="26"/>
        <v>4</v>
      </c>
      <c r="Z150" s="1027">
        <f>Y150*(списки!$C$56-W150)</f>
        <v>35.6</v>
      </c>
      <c r="AA150" s="1028">
        <v>5.0999999999999996</v>
      </c>
      <c r="AB150" s="1028"/>
      <c r="AC150" s="1028">
        <f t="shared" si="27"/>
        <v>30</v>
      </c>
      <c r="AD150" s="1028">
        <f>AC150*(списки!$C$56-AA150)</f>
        <v>447</v>
      </c>
      <c r="AE150" s="1029">
        <v>0.2</v>
      </c>
      <c r="AF150" s="1029"/>
      <c r="AG150" s="1029">
        <v>31</v>
      </c>
      <c r="AH150" s="1029">
        <f>AG150*(списки!$C$56-AE150)</f>
        <v>613.80000000000007</v>
      </c>
      <c r="AI150" s="1030">
        <v>-2.5</v>
      </c>
      <c r="AJ150" s="1030"/>
      <c r="AK150" s="1030">
        <v>31</v>
      </c>
      <c r="AL150" s="1030">
        <f>AK150*(списки!$C$56-AI150)</f>
        <v>697.5</v>
      </c>
      <c r="AM150" s="1031">
        <v>-2.1</v>
      </c>
      <c r="AN150" s="1031"/>
      <c r="AO150" s="1031">
        <v>28</v>
      </c>
      <c r="AP150" s="1031">
        <f>AO150*(списки!$C$56-AM150)</f>
        <v>618.80000000000007</v>
      </c>
      <c r="AQ150" s="1026">
        <v>2.7</v>
      </c>
      <c r="AR150" s="1026"/>
      <c r="AS150" s="1026">
        <f t="shared" si="28"/>
        <v>31</v>
      </c>
      <c r="AT150" s="1026">
        <f>AS150*(списки!$C$56-AQ150)</f>
        <v>536.30000000000007</v>
      </c>
      <c r="AU150" s="1032">
        <v>10.6</v>
      </c>
      <c r="AV150" s="1032"/>
      <c r="AW150" s="1032">
        <f t="shared" si="29"/>
        <v>4</v>
      </c>
      <c r="AX150" s="1032">
        <f>AW150*(списки!$C$56-AU150)</f>
        <v>37.6</v>
      </c>
      <c r="AY150" s="1033">
        <v>17.100000000000001</v>
      </c>
      <c r="AZ150" s="1033"/>
      <c r="BA150" s="1033">
        <f t="shared" si="30"/>
        <v>0</v>
      </c>
      <c r="BB150" s="1033">
        <f>BA150*(списки!$C$56-AY150)</f>
        <v>0</v>
      </c>
      <c r="BC150" s="1034">
        <v>21.5</v>
      </c>
      <c r="BD150" s="1034"/>
      <c r="BE150" s="1034">
        <f t="shared" si="31"/>
        <v>0</v>
      </c>
      <c r="BF150" s="1035">
        <f>BE150*(списки!$C$56-BC150)</f>
        <v>0</v>
      </c>
      <c r="BG150" s="1424">
        <v>2738.4607142857149</v>
      </c>
      <c r="BH150" s="1424">
        <v>2456.0250000000001</v>
      </c>
    </row>
    <row r="151" spans="2:60" ht="15.75" customHeight="1" x14ac:dyDescent="0.25">
      <c r="B151" s="1014" t="s">
        <v>159</v>
      </c>
      <c r="C151" s="1014" t="s">
        <v>163</v>
      </c>
      <c r="D151" s="1015" t="str">
        <f t="shared" si="22"/>
        <v>Краснодарский крайСочи</v>
      </c>
      <c r="E151" s="1016">
        <v>94</v>
      </c>
      <c r="F151" s="1017">
        <v>6.6</v>
      </c>
      <c r="G151" s="1017">
        <v>-2</v>
      </c>
      <c r="H151" s="1019">
        <v>2.5</v>
      </c>
      <c r="I151" s="1020">
        <f>E151*(списки!$C$56-F151)</f>
        <v>1259.6000000000001</v>
      </c>
      <c r="J151" s="1021" t="str">
        <f t="shared" si="23"/>
        <v>1000-2000</v>
      </c>
      <c r="K151" s="1022">
        <v>23</v>
      </c>
      <c r="L151" s="1022"/>
      <c r="M151" s="1023">
        <f t="shared" si="24"/>
        <v>0</v>
      </c>
      <c r="N151" s="1024">
        <f>M151*(списки!$C$56-K151)</f>
        <v>0</v>
      </c>
      <c r="O151" s="1025">
        <v>23.3</v>
      </c>
      <c r="P151" s="1025"/>
      <c r="Q151" s="1025">
        <f t="shared" si="25"/>
        <v>0</v>
      </c>
      <c r="R151" s="1025">
        <f>Q151*(списки!$C$56-O151)</f>
        <v>0</v>
      </c>
      <c r="S151" s="1026">
        <v>19.8</v>
      </c>
      <c r="T151" s="1026"/>
      <c r="U151" s="1026">
        <f t="shared" si="32"/>
        <v>0</v>
      </c>
      <c r="V151" s="1026">
        <f>U151*(списки!$C$56-S151)</f>
        <v>0</v>
      </c>
      <c r="W151" s="1027">
        <v>15.6</v>
      </c>
      <c r="X151" s="1027"/>
      <c r="Y151" s="1027">
        <f t="shared" si="26"/>
        <v>0</v>
      </c>
      <c r="Z151" s="1027">
        <f>Y151*(списки!$C$56-W151)</f>
        <v>0</v>
      </c>
      <c r="AA151" s="1028">
        <v>11.3</v>
      </c>
      <c r="AB151" s="1028"/>
      <c r="AC151" s="1028">
        <f t="shared" si="27"/>
        <v>2</v>
      </c>
      <c r="AD151" s="1028">
        <f>AC151*(списки!$C$56-AA151)</f>
        <v>17.399999999999999</v>
      </c>
      <c r="AE151" s="1029">
        <v>7.9</v>
      </c>
      <c r="AF151" s="1029"/>
      <c r="AG151" s="1029">
        <v>31</v>
      </c>
      <c r="AH151" s="1029">
        <f>AG151*(списки!$C$56-AE151)</f>
        <v>375.09999999999997</v>
      </c>
      <c r="AI151" s="1030">
        <v>6</v>
      </c>
      <c r="AJ151" s="1030"/>
      <c r="AK151" s="1030">
        <v>31</v>
      </c>
      <c r="AL151" s="1030">
        <f>AK151*(списки!$C$56-AI151)</f>
        <v>434</v>
      </c>
      <c r="AM151" s="1031">
        <v>6.2</v>
      </c>
      <c r="AN151" s="1031"/>
      <c r="AO151" s="1031">
        <v>28</v>
      </c>
      <c r="AP151" s="1031">
        <f>AO151*(списки!$C$56-AM151)</f>
        <v>386.40000000000003</v>
      </c>
      <c r="AQ151" s="1026">
        <v>8.3000000000000007</v>
      </c>
      <c r="AR151" s="1026"/>
      <c r="AS151" s="1026">
        <f t="shared" si="28"/>
        <v>2</v>
      </c>
      <c r="AT151" s="1026">
        <f>AS151*(списки!$C$56-AQ151)</f>
        <v>23.4</v>
      </c>
      <c r="AU151" s="1032">
        <v>12.2</v>
      </c>
      <c r="AV151" s="1032"/>
      <c r="AW151" s="1032">
        <f t="shared" si="29"/>
        <v>0</v>
      </c>
      <c r="AX151" s="1032">
        <f>AW151*(списки!$C$56-AU151)</f>
        <v>0</v>
      </c>
      <c r="AY151" s="1033">
        <v>16.100000000000001</v>
      </c>
      <c r="AZ151" s="1033"/>
      <c r="BA151" s="1033">
        <f t="shared" si="30"/>
        <v>0</v>
      </c>
      <c r="BB151" s="1033">
        <f>BA151*(списки!$C$56-AY151)</f>
        <v>0</v>
      </c>
      <c r="BC151" s="1034">
        <v>20</v>
      </c>
      <c r="BD151" s="1034"/>
      <c r="BE151" s="1034">
        <f t="shared" si="31"/>
        <v>0</v>
      </c>
      <c r="BF151" s="1035">
        <f>BE151*(списки!$C$56-BC151)</f>
        <v>0</v>
      </c>
      <c r="BG151" s="1424">
        <v>1533.5276182620755</v>
      </c>
      <c r="BH151" s="1424">
        <v>1625.7682952292851</v>
      </c>
    </row>
    <row r="152" spans="2:60" ht="15.75" customHeight="1" x14ac:dyDescent="0.25">
      <c r="B152" s="1038" t="s">
        <v>159</v>
      </c>
      <c r="C152" s="1038" t="s">
        <v>164</v>
      </c>
      <c r="D152" s="1015" t="str">
        <f t="shared" si="22"/>
        <v>Краснодарский крайТихорецк</v>
      </c>
      <c r="E152" s="1016">
        <v>156</v>
      </c>
      <c r="F152" s="1017">
        <v>1.2</v>
      </c>
      <c r="G152" s="1017">
        <v>-17</v>
      </c>
      <c r="H152" s="1019">
        <v>3.9</v>
      </c>
      <c r="I152" s="1020">
        <f>E152*(списки!$C$56-F152)</f>
        <v>2932.8</v>
      </c>
      <c r="J152" s="1021" t="str">
        <f t="shared" si="23"/>
        <v>2000-3000</v>
      </c>
      <c r="K152" s="1022">
        <v>23.6</v>
      </c>
      <c r="L152" s="1022"/>
      <c r="M152" s="1023">
        <f t="shared" si="24"/>
        <v>0</v>
      </c>
      <c r="N152" s="1024">
        <f>M152*(списки!$C$56-K152)</f>
        <v>0</v>
      </c>
      <c r="O152" s="1025">
        <v>23.1</v>
      </c>
      <c r="P152" s="1025"/>
      <c r="Q152" s="1025">
        <f t="shared" si="25"/>
        <v>0</v>
      </c>
      <c r="R152" s="1025">
        <f>Q152*(списки!$C$56-O152)</f>
        <v>0</v>
      </c>
      <c r="S152" s="1026">
        <v>17.7</v>
      </c>
      <c r="T152" s="1026"/>
      <c r="U152" s="1026">
        <f t="shared" si="32"/>
        <v>0</v>
      </c>
      <c r="V152" s="1026">
        <f>U152*(списки!$C$56-S152)</f>
        <v>0</v>
      </c>
      <c r="W152" s="1027">
        <v>11</v>
      </c>
      <c r="X152" s="1027"/>
      <c r="Y152" s="1027">
        <f t="shared" si="26"/>
        <v>2.5</v>
      </c>
      <c r="Z152" s="1027">
        <f>Y152*(списки!$C$56-W152)</f>
        <v>22.5</v>
      </c>
      <c r="AA152" s="1028">
        <v>4.9000000000000004</v>
      </c>
      <c r="AB152" s="1028"/>
      <c r="AC152" s="1028">
        <f t="shared" si="27"/>
        <v>30</v>
      </c>
      <c r="AD152" s="1028">
        <f>AC152*(списки!$C$56-AA152)</f>
        <v>453</v>
      </c>
      <c r="AE152" s="1029">
        <v>0.3</v>
      </c>
      <c r="AF152" s="1029"/>
      <c r="AG152" s="1029">
        <v>31</v>
      </c>
      <c r="AH152" s="1029">
        <f>AG152*(списки!$C$56-AE152)</f>
        <v>610.69999999999993</v>
      </c>
      <c r="AI152" s="1030">
        <v>-2.2000000000000002</v>
      </c>
      <c r="AJ152" s="1030"/>
      <c r="AK152" s="1030">
        <v>31</v>
      </c>
      <c r="AL152" s="1030">
        <f>AK152*(списки!$C$56-AI152)</f>
        <v>688.19999999999993</v>
      </c>
      <c r="AM152" s="1031">
        <v>-1.2</v>
      </c>
      <c r="AN152" s="1031"/>
      <c r="AO152" s="1031">
        <v>28</v>
      </c>
      <c r="AP152" s="1031">
        <f>AO152*(списки!$C$56-AM152)</f>
        <v>593.6</v>
      </c>
      <c r="AQ152" s="1026">
        <v>4</v>
      </c>
      <c r="AR152" s="1026"/>
      <c r="AS152" s="1026">
        <f t="shared" si="28"/>
        <v>31</v>
      </c>
      <c r="AT152" s="1026">
        <f>AS152*(списки!$C$56-AQ152)</f>
        <v>496</v>
      </c>
      <c r="AU152" s="1032">
        <v>11.7</v>
      </c>
      <c r="AV152" s="1032"/>
      <c r="AW152" s="1032">
        <f t="shared" si="29"/>
        <v>2.5</v>
      </c>
      <c r="AX152" s="1032">
        <f>AW152*(списки!$C$56-AU152)</f>
        <v>20.75</v>
      </c>
      <c r="AY152" s="1033">
        <v>17.100000000000001</v>
      </c>
      <c r="AZ152" s="1033"/>
      <c r="BA152" s="1033">
        <f t="shared" si="30"/>
        <v>0</v>
      </c>
      <c r="BB152" s="1033">
        <f>BA152*(списки!$C$56-AY152)</f>
        <v>0</v>
      </c>
      <c r="BC152" s="1034">
        <v>20.8</v>
      </c>
      <c r="BD152" s="1034"/>
      <c r="BE152" s="1034">
        <f t="shared" si="31"/>
        <v>0</v>
      </c>
      <c r="BF152" s="1035">
        <f>BE152*(списки!$C$56-BC152)</f>
        <v>0</v>
      </c>
      <c r="BG152" s="1424">
        <v>3002.6642857142861</v>
      </c>
      <c r="BH152" s="1424">
        <v>2685.0589285714277</v>
      </c>
    </row>
    <row r="153" spans="2:60" ht="15.75" customHeight="1" x14ac:dyDescent="0.25">
      <c r="B153" s="1014" t="s">
        <v>165</v>
      </c>
      <c r="C153" s="1014" t="s">
        <v>167</v>
      </c>
      <c r="D153" s="1015" t="str">
        <f t="shared" si="22"/>
        <v>Красноярский крайАгата</v>
      </c>
      <c r="E153" s="1016">
        <v>292</v>
      </c>
      <c r="F153" s="1017">
        <v>-16.7</v>
      </c>
      <c r="G153" s="1017">
        <v>-53</v>
      </c>
      <c r="H153" s="1019">
        <v>2.9</v>
      </c>
      <c r="I153" s="1020">
        <f>E153*(списки!$C$56-F153)</f>
        <v>10716.400000000001</v>
      </c>
      <c r="J153" s="1021" t="str">
        <f t="shared" si="23"/>
        <v>10000-11000</v>
      </c>
      <c r="K153" s="1022">
        <v>14.1</v>
      </c>
      <c r="L153" s="1022"/>
      <c r="M153" s="1023">
        <f t="shared" si="24"/>
        <v>0</v>
      </c>
      <c r="N153" s="1024">
        <f>M153*(списки!$C$56-K153)</f>
        <v>0</v>
      </c>
      <c r="O153" s="1025">
        <v>10.9</v>
      </c>
      <c r="P153" s="1025"/>
      <c r="Q153" s="1025">
        <f t="shared" si="25"/>
        <v>9.5</v>
      </c>
      <c r="R153" s="1025">
        <f>Q153*(списки!$C$56-O153)</f>
        <v>86.45</v>
      </c>
      <c r="S153" s="1026">
        <v>3.8</v>
      </c>
      <c r="T153" s="1026"/>
      <c r="U153" s="1026">
        <f t="shared" si="32"/>
        <v>30</v>
      </c>
      <c r="V153" s="1026">
        <f>U153*(списки!$C$56-S153)</f>
        <v>486</v>
      </c>
      <c r="W153" s="1027">
        <v>-7.7</v>
      </c>
      <c r="X153" s="1027"/>
      <c r="Y153" s="1027">
        <f t="shared" si="26"/>
        <v>31</v>
      </c>
      <c r="Z153" s="1027">
        <f>Y153*(списки!$C$56-W153)</f>
        <v>858.69999999999993</v>
      </c>
      <c r="AA153" s="1028">
        <v>-24.5</v>
      </c>
      <c r="AB153" s="1028"/>
      <c r="AC153" s="1028">
        <f t="shared" si="27"/>
        <v>30</v>
      </c>
      <c r="AD153" s="1028">
        <f>AC153*(списки!$C$56-AA153)</f>
        <v>1335</v>
      </c>
      <c r="AE153" s="1029">
        <v>-31.2</v>
      </c>
      <c r="AF153" s="1029"/>
      <c r="AG153" s="1029">
        <v>31</v>
      </c>
      <c r="AH153" s="1029">
        <f>AG153*(списки!$C$56-AE153)</f>
        <v>1587.2</v>
      </c>
      <c r="AI153" s="1030">
        <v>-34.5</v>
      </c>
      <c r="AJ153" s="1030"/>
      <c r="AK153" s="1030">
        <v>31</v>
      </c>
      <c r="AL153" s="1030">
        <f>AK153*(списки!$C$56-AI153)</f>
        <v>1689.5</v>
      </c>
      <c r="AM153" s="1031">
        <v>-32.5</v>
      </c>
      <c r="AN153" s="1031"/>
      <c r="AO153" s="1031">
        <v>28</v>
      </c>
      <c r="AP153" s="1031">
        <f>AO153*(списки!$C$56-AM153)</f>
        <v>1470</v>
      </c>
      <c r="AQ153" s="1026">
        <v>-21.8</v>
      </c>
      <c r="AR153" s="1026"/>
      <c r="AS153" s="1026">
        <f t="shared" si="28"/>
        <v>31</v>
      </c>
      <c r="AT153" s="1026">
        <f>AS153*(списки!$C$56-AQ153)</f>
        <v>1295.8</v>
      </c>
      <c r="AU153" s="1032">
        <v>-11.5</v>
      </c>
      <c r="AV153" s="1032"/>
      <c r="AW153" s="1032">
        <f t="shared" si="29"/>
        <v>30</v>
      </c>
      <c r="AX153" s="1032">
        <f>AW153*(списки!$C$56-AU153)</f>
        <v>945</v>
      </c>
      <c r="AY153" s="1033">
        <v>-1.4</v>
      </c>
      <c r="AZ153" s="1033"/>
      <c r="BA153" s="1033">
        <f t="shared" si="30"/>
        <v>31</v>
      </c>
      <c r="BB153" s="1033">
        <f>BA153*(списки!$C$56-AY153)</f>
        <v>663.4</v>
      </c>
      <c r="BC153" s="1034">
        <v>8.1</v>
      </c>
      <c r="BD153" s="1034"/>
      <c r="BE153" s="1034">
        <f t="shared" si="31"/>
        <v>9.5</v>
      </c>
      <c r="BF153" s="1035">
        <f>BE153*(списки!$C$56-BC153)</f>
        <v>113.05</v>
      </c>
      <c r="BG153" s="1424">
        <v>8093.2083333333321</v>
      </c>
      <c r="BH153" s="1424">
        <v>7894.7433333333302</v>
      </c>
    </row>
    <row r="154" spans="2:60" ht="15.75" customHeight="1" x14ac:dyDescent="0.25">
      <c r="B154" s="1038" t="s">
        <v>165</v>
      </c>
      <c r="C154" s="1038" t="s">
        <v>166</v>
      </c>
      <c r="D154" s="1015" t="str">
        <f t="shared" si="22"/>
        <v>Красноярский крайАчинск</v>
      </c>
      <c r="E154" s="1016">
        <v>232</v>
      </c>
      <c r="F154" s="1017">
        <v>-7</v>
      </c>
      <c r="G154" s="1017">
        <v>-36</v>
      </c>
      <c r="H154" s="1019">
        <v>4.8</v>
      </c>
      <c r="I154" s="1020">
        <f>E154*(списки!$C$56-F154)</f>
        <v>6264</v>
      </c>
      <c r="J154" s="1021" t="str">
        <f t="shared" si="23"/>
        <v>6000-7000</v>
      </c>
      <c r="K154" s="1022">
        <v>18.8</v>
      </c>
      <c r="L154" s="1022"/>
      <c r="M154" s="1023">
        <f t="shared" si="24"/>
        <v>0</v>
      </c>
      <c r="N154" s="1024">
        <f>M154*(списки!$C$56-K154)</f>
        <v>0</v>
      </c>
      <c r="O154" s="1025">
        <v>15.5</v>
      </c>
      <c r="P154" s="1025"/>
      <c r="Q154" s="1025">
        <f t="shared" si="25"/>
        <v>0</v>
      </c>
      <c r="R154" s="1025">
        <f>Q154*(списки!$C$56-O154)</f>
        <v>0</v>
      </c>
      <c r="S154" s="1026">
        <v>9.1</v>
      </c>
      <c r="T154" s="1026"/>
      <c r="U154" s="1026">
        <f t="shared" si="32"/>
        <v>10</v>
      </c>
      <c r="V154" s="1026">
        <f>U154*(списки!$C$56-S154)</f>
        <v>109</v>
      </c>
      <c r="W154" s="1027">
        <v>1.3</v>
      </c>
      <c r="X154" s="1027"/>
      <c r="Y154" s="1027">
        <f t="shared" si="26"/>
        <v>31</v>
      </c>
      <c r="Z154" s="1027">
        <f>Y154*(списки!$C$56-W154)</f>
        <v>579.69999999999993</v>
      </c>
      <c r="AA154" s="1028">
        <v>-7.8</v>
      </c>
      <c r="AB154" s="1028"/>
      <c r="AC154" s="1028">
        <f t="shared" si="27"/>
        <v>30</v>
      </c>
      <c r="AD154" s="1028">
        <f>AC154*(списки!$C$56-AA154)</f>
        <v>834</v>
      </c>
      <c r="AE154" s="1029">
        <v>-13.7</v>
      </c>
      <c r="AF154" s="1029"/>
      <c r="AG154" s="1029">
        <v>31</v>
      </c>
      <c r="AH154" s="1029">
        <f>AG154*(списки!$C$56-AE154)</f>
        <v>1044.7</v>
      </c>
      <c r="AI154" s="1030">
        <v>-16.100000000000001</v>
      </c>
      <c r="AJ154" s="1030"/>
      <c r="AK154" s="1030">
        <v>31</v>
      </c>
      <c r="AL154" s="1030">
        <f>AK154*(списки!$C$56-AI154)</f>
        <v>1119.1000000000001</v>
      </c>
      <c r="AM154" s="1031">
        <v>-14</v>
      </c>
      <c r="AN154" s="1031"/>
      <c r="AO154" s="1031">
        <v>28</v>
      </c>
      <c r="AP154" s="1031">
        <f>AO154*(списки!$C$56-AM154)</f>
        <v>952</v>
      </c>
      <c r="AQ154" s="1026">
        <v>-6.7</v>
      </c>
      <c r="AR154" s="1026"/>
      <c r="AS154" s="1026">
        <f t="shared" si="28"/>
        <v>31</v>
      </c>
      <c r="AT154" s="1026">
        <f>AS154*(списки!$C$56-AQ154)</f>
        <v>827.69999999999993</v>
      </c>
      <c r="AU154" s="1032">
        <v>1.3</v>
      </c>
      <c r="AV154" s="1032"/>
      <c r="AW154" s="1032">
        <f t="shared" si="29"/>
        <v>30</v>
      </c>
      <c r="AX154" s="1032">
        <f>AW154*(списки!$C$56-AU154)</f>
        <v>561</v>
      </c>
      <c r="AY154" s="1033">
        <v>9.6</v>
      </c>
      <c r="AZ154" s="1033"/>
      <c r="BA154" s="1033">
        <f t="shared" si="30"/>
        <v>10</v>
      </c>
      <c r="BB154" s="1033">
        <f>BA154*(списки!$C$56-AY154)</f>
        <v>104</v>
      </c>
      <c r="BC154" s="1034">
        <v>15.9</v>
      </c>
      <c r="BD154" s="1034"/>
      <c r="BE154" s="1034">
        <f t="shared" si="31"/>
        <v>0</v>
      </c>
      <c r="BF154" s="1035">
        <f>BE154*(списки!$C$56-BC154)</f>
        <v>0</v>
      </c>
      <c r="BG154" s="1424">
        <v>6117.0375000000049</v>
      </c>
      <c r="BH154" s="1424">
        <v>5313.121428571425</v>
      </c>
    </row>
    <row r="155" spans="2:60" ht="15.75" customHeight="1" x14ac:dyDescent="0.25">
      <c r="B155" s="1014" t="s">
        <v>165</v>
      </c>
      <c r="C155" s="1014" t="s">
        <v>658</v>
      </c>
      <c r="D155" s="1015" t="str">
        <f t="shared" si="22"/>
        <v>Красноярский крайБайкит</v>
      </c>
      <c r="E155" s="1016">
        <v>266</v>
      </c>
      <c r="F155" s="1017">
        <v>-14.1</v>
      </c>
      <c r="G155" s="1017">
        <v>-50</v>
      </c>
      <c r="H155" s="1019">
        <v>1.8</v>
      </c>
      <c r="I155" s="1020">
        <f>E155*(списки!$C$56-F155)</f>
        <v>9070.6</v>
      </c>
      <c r="J155" s="1021" t="str">
        <f t="shared" si="23"/>
        <v>9000-10000</v>
      </c>
      <c r="K155" s="1022">
        <v>17.100000000000001</v>
      </c>
      <c r="L155" s="1022"/>
      <c r="M155" s="1023">
        <f t="shared" si="24"/>
        <v>0</v>
      </c>
      <c r="N155" s="1024">
        <f>M155*(списки!$C$56-K155)</f>
        <v>0</v>
      </c>
      <c r="O155" s="1025">
        <v>12.8</v>
      </c>
      <c r="P155" s="1025"/>
      <c r="Q155" s="1025">
        <f t="shared" si="25"/>
        <v>0</v>
      </c>
      <c r="R155" s="1025">
        <f>Q155*(списки!$C$56-O155)</f>
        <v>0</v>
      </c>
      <c r="S155" s="1026">
        <v>5.3</v>
      </c>
      <c r="T155" s="1026"/>
      <c r="U155" s="1026">
        <f t="shared" si="32"/>
        <v>27</v>
      </c>
      <c r="V155" s="1026">
        <f>U155*(списки!$C$56-S155)</f>
        <v>396.9</v>
      </c>
      <c r="W155" s="1027">
        <v>-5</v>
      </c>
      <c r="X155" s="1027"/>
      <c r="Y155" s="1027">
        <f t="shared" si="26"/>
        <v>31</v>
      </c>
      <c r="Z155" s="1027">
        <f>Y155*(списки!$C$56-W155)</f>
        <v>775</v>
      </c>
      <c r="AA155" s="1028">
        <v>-19.399999999999999</v>
      </c>
      <c r="AB155" s="1028"/>
      <c r="AC155" s="1028">
        <f t="shared" si="27"/>
        <v>30</v>
      </c>
      <c r="AD155" s="1028">
        <f>AC155*(списки!$C$56-AA155)</f>
        <v>1182</v>
      </c>
      <c r="AE155" s="1029">
        <v>-28.4</v>
      </c>
      <c r="AF155" s="1029"/>
      <c r="AG155" s="1029">
        <v>31</v>
      </c>
      <c r="AH155" s="1029">
        <f>AG155*(списки!$C$56-AE155)</f>
        <v>1500.3999999999999</v>
      </c>
      <c r="AI155" s="1030">
        <v>-30.5</v>
      </c>
      <c r="AJ155" s="1030"/>
      <c r="AK155" s="1030">
        <v>31</v>
      </c>
      <c r="AL155" s="1030">
        <f>AK155*(списки!$C$56-AI155)</f>
        <v>1565.5</v>
      </c>
      <c r="AM155" s="1031">
        <v>-26.1</v>
      </c>
      <c r="AN155" s="1031"/>
      <c r="AO155" s="1031">
        <v>28</v>
      </c>
      <c r="AP155" s="1031">
        <f>AO155*(списки!$C$56-AM155)</f>
        <v>1290.8</v>
      </c>
      <c r="AQ155" s="1026">
        <v>-13.8</v>
      </c>
      <c r="AR155" s="1026"/>
      <c r="AS155" s="1026">
        <f t="shared" si="28"/>
        <v>31</v>
      </c>
      <c r="AT155" s="1026">
        <f>AS155*(списки!$C$56-AQ155)</f>
        <v>1047.8</v>
      </c>
      <c r="AU155" s="1032">
        <v>-4.0999999999999996</v>
      </c>
      <c r="AV155" s="1032"/>
      <c r="AW155" s="1032">
        <f t="shared" si="29"/>
        <v>30</v>
      </c>
      <c r="AX155" s="1032">
        <f>AW155*(списки!$C$56-AU155)</f>
        <v>723</v>
      </c>
      <c r="AY155" s="1033">
        <v>4.3</v>
      </c>
      <c r="AZ155" s="1033"/>
      <c r="BA155" s="1033">
        <f t="shared" si="30"/>
        <v>27</v>
      </c>
      <c r="BB155" s="1033">
        <f>BA155*(списки!$C$56-AY155)</f>
        <v>423.9</v>
      </c>
      <c r="BC155" s="1034">
        <v>13.2</v>
      </c>
      <c r="BD155" s="1034"/>
      <c r="BE155" s="1034">
        <f t="shared" si="31"/>
        <v>0</v>
      </c>
      <c r="BF155" s="1035">
        <f>BE155*(списки!$C$56-BC155)</f>
        <v>0</v>
      </c>
      <c r="BG155" s="1424">
        <v>8439.0303571428576</v>
      </c>
      <c r="BH155" s="1424">
        <v>8198.3142857142811</v>
      </c>
    </row>
    <row r="156" spans="2:60" ht="15.75" customHeight="1" x14ac:dyDescent="0.25">
      <c r="B156" s="1038" t="s">
        <v>165</v>
      </c>
      <c r="C156" s="1038" t="s">
        <v>168</v>
      </c>
      <c r="D156" s="1015" t="str">
        <f t="shared" si="22"/>
        <v>Красноярский крайБоготол</v>
      </c>
      <c r="E156" s="1016">
        <v>239</v>
      </c>
      <c r="F156" s="1017">
        <v>-7.6</v>
      </c>
      <c r="G156" s="1017">
        <v>-39</v>
      </c>
      <c r="H156" s="1019">
        <f>H155</f>
        <v>1.8</v>
      </c>
      <c r="I156" s="1020">
        <f>E156*(списки!$C$56-F156)</f>
        <v>6596.4000000000005</v>
      </c>
      <c r="J156" s="1021" t="str">
        <f t="shared" si="23"/>
        <v>6000-7000</v>
      </c>
      <c r="K156" s="1022">
        <v>17.8</v>
      </c>
      <c r="L156" s="1022"/>
      <c r="M156" s="1023">
        <f t="shared" si="24"/>
        <v>0</v>
      </c>
      <c r="N156" s="1024">
        <f>M156*(списки!$C$56-K156)</f>
        <v>0</v>
      </c>
      <c r="O156" s="1025">
        <v>14.6</v>
      </c>
      <c r="P156" s="1025"/>
      <c r="Q156" s="1025">
        <f t="shared" si="25"/>
        <v>0</v>
      </c>
      <c r="R156" s="1025">
        <f>Q156*(списки!$C$56-O156)</f>
        <v>0</v>
      </c>
      <c r="S156" s="1026">
        <v>8.6999999999999993</v>
      </c>
      <c r="T156" s="1026"/>
      <c r="U156" s="1026">
        <f t="shared" si="32"/>
        <v>13.5</v>
      </c>
      <c r="V156" s="1026">
        <f>U156*(списки!$C$56-S156)</f>
        <v>152.55000000000001</v>
      </c>
      <c r="W156" s="1027">
        <v>0.8</v>
      </c>
      <c r="X156" s="1027"/>
      <c r="Y156" s="1027">
        <f t="shared" si="26"/>
        <v>31</v>
      </c>
      <c r="Z156" s="1027">
        <f>Y156*(списки!$C$56-W156)</f>
        <v>595.19999999999993</v>
      </c>
      <c r="AA156" s="1028">
        <v>-9.6999999999999993</v>
      </c>
      <c r="AB156" s="1028"/>
      <c r="AC156" s="1028">
        <f t="shared" si="27"/>
        <v>30</v>
      </c>
      <c r="AD156" s="1028">
        <f>AC156*(списки!$C$56-AA156)</f>
        <v>891</v>
      </c>
      <c r="AE156" s="1029">
        <v>-16.399999999999999</v>
      </c>
      <c r="AF156" s="1029"/>
      <c r="AG156" s="1029">
        <v>31</v>
      </c>
      <c r="AH156" s="1029">
        <f>AG156*(списки!$C$56-AE156)</f>
        <v>1128.3999999999999</v>
      </c>
      <c r="AI156" s="1030">
        <v>-17.399999999999999</v>
      </c>
      <c r="AJ156" s="1030"/>
      <c r="AK156" s="1030">
        <v>31</v>
      </c>
      <c r="AL156" s="1030">
        <f>AK156*(списки!$C$56-AI156)</f>
        <v>1159.3999999999999</v>
      </c>
      <c r="AM156" s="1031">
        <v>-16</v>
      </c>
      <c r="AN156" s="1031"/>
      <c r="AO156" s="1031">
        <v>28</v>
      </c>
      <c r="AP156" s="1031">
        <f>AO156*(списки!$C$56-AM156)</f>
        <v>1008</v>
      </c>
      <c r="AQ156" s="1026">
        <v>-9.1</v>
      </c>
      <c r="AR156" s="1026"/>
      <c r="AS156" s="1026">
        <f t="shared" si="28"/>
        <v>31</v>
      </c>
      <c r="AT156" s="1026">
        <f>AS156*(списки!$C$56-AQ156)</f>
        <v>902.1</v>
      </c>
      <c r="AU156" s="1032">
        <v>0.2</v>
      </c>
      <c r="AV156" s="1032"/>
      <c r="AW156" s="1032">
        <f t="shared" si="29"/>
        <v>30</v>
      </c>
      <c r="AX156" s="1032">
        <f>AW156*(списки!$C$56-AU156)</f>
        <v>594</v>
      </c>
      <c r="AY156" s="1033">
        <v>8.1</v>
      </c>
      <c r="AZ156" s="1033"/>
      <c r="BA156" s="1033">
        <f t="shared" si="30"/>
        <v>13.5</v>
      </c>
      <c r="BB156" s="1033">
        <f>BA156*(списки!$C$56-AY156)</f>
        <v>160.65</v>
      </c>
      <c r="BC156" s="1034">
        <v>15.3</v>
      </c>
      <c r="BD156" s="1034"/>
      <c r="BE156" s="1034">
        <f t="shared" si="31"/>
        <v>0</v>
      </c>
      <c r="BF156" s="1035">
        <f>BE156*(списки!$C$56-BC156)</f>
        <v>0</v>
      </c>
      <c r="BG156" s="1424">
        <v>6431.8410714285683</v>
      </c>
      <c r="BH156" s="1424">
        <v>5506.1874999999982</v>
      </c>
    </row>
    <row r="157" spans="2:60" ht="15.75" customHeight="1" x14ac:dyDescent="0.25">
      <c r="B157" s="1014" t="s">
        <v>165</v>
      </c>
      <c r="C157" s="1014" t="s">
        <v>169</v>
      </c>
      <c r="D157" s="1015" t="str">
        <f t="shared" si="22"/>
        <v>Красноярский крайБогучаны</v>
      </c>
      <c r="E157" s="1016">
        <v>244</v>
      </c>
      <c r="F157" s="1017">
        <v>-10.7</v>
      </c>
      <c r="G157" s="1017">
        <v>-45</v>
      </c>
      <c r="H157" s="1019">
        <v>3.2</v>
      </c>
      <c r="I157" s="1020">
        <f>E157*(списки!$C$56-F157)</f>
        <v>7490.8</v>
      </c>
      <c r="J157" s="1021" t="str">
        <f t="shared" si="23"/>
        <v>7000-8000</v>
      </c>
      <c r="K157" s="1022">
        <v>19.100000000000001</v>
      </c>
      <c r="L157" s="1022"/>
      <c r="M157" s="1023">
        <f t="shared" si="24"/>
        <v>0</v>
      </c>
      <c r="N157" s="1024">
        <f>M157*(списки!$C$56-K157)</f>
        <v>0</v>
      </c>
      <c r="O157" s="1025">
        <v>15.3</v>
      </c>
      <c r="P157" s="1025"/>
      <c r="Q157" s="1025">
        <f t="shared" si="25"/>
        <v>0</v>
      </c>
      <c r="R157" s="1025">
        <f>Q157*(списки!$C$56-O157)</f>
        <v>0</v>
      </c>
      <c r="S157" s="1026">
        <v>8</v>
      </c>
      <c r="T157" s="1026"/>
      <c r="U157" s="1026">
        <f t="shared" si="32"/>
        <v>16</v>
      </c>
      <c r="V157" s="1026">
        <f>U157*(списки!$C$56-S157)</f>
        <v>192</v>
      </c>
      <c r="W157" s="1027">
        <v>-0.6</v>
      </c>
      <c r="X157" s="1027"/>
      <c r="Y157" s="1027">
        <f t="shared" si="26"/>
        <v>31</v>
      </c>
      <c r="Z157" s="1027">
        <f>Y157*(списки!$C$56-W157)</f>
        <v>638.6</v>
      </c>
      <c r="AA157" s="1028">
        <v>-11.8</v>
      </c>
      <c r="AB157" s="1028"/>
      <c r="AC157" s="1028">
        <f t="shared" si="27"/>
        <v>30</v>
      </c>
      <c r="AD157" s="1028">
        <f>AC157*(списки!$C$56-AA157)</f>
        <v>954</v>
      </c>
      <c r="AE157" s="1029">
        <v>-21.1</v>
      </c>
      <c r="AF157" s="1029"/>
      <c r="AG157" s="1029">
        <v>31</v>
      </c>
      <c r="AH157" s="1029">
        <f>AG157*(списки!$C$56-AE157)</f>
        <v>1274.1000000000001</v>
      </c>
      <c r="AI157" s="1030">
        <v>-23.8</v>
      </c>
      <c r="AJ157" s="1030"/>
      <c r="AK157" s="1030">
        <v>31</v>
      </c>
      <c r="AL157" s="1030">
        <f>AK157*(списки!$C$56-AI157)</f>
        <v>1357.8</v>
      </c>
      <c r="AM157" s="1031">
        <v>-21.2</v>
      </c>
      <c r="AN157" s="1031"/>
      <c r="AO157" s="1031">
        <v>28</v>
      </c>
      <c r="AP157" s="1031">
        <f>AO157*(списки!$C$56-AM157)</f>
        <v>1153.6000000000001</v>
      </c>
      <c r="AQ157" s="1026">
        <v>-10.4</v>
      </c>
      <c r="AR157" s="1026"/>
      <c r="AS157" s="1026">
        <f t="shared" si="28"/>
        <v>31</v>
      </c>
      <c r="AT157" s="1026">
        <f>AS157*(списки!$C$56-AQ157)</f>
        <v>942.4</v>
      </c>
      <c r="AU157" s="1032">
        <v>-0.2</v>
      </c>
      <c r="AV157" s="1032"/>
      <c r="AW157" s="1032">
        <f t="shared" si="29"/>
        <v>30</v>
      </c>
      <c r="AX157" s="1032">
        <f>AW157*(списки!$C$56-AU157)</f>
        <v>606</v>
      </c>
      <c r="AY157" s="1033">
        <v>7.8</v>
      </c>
      <c r="AZ157" s="1033"/>
      <c r="BA157" s="1033">
        <f t="shared" si="30"/>
        <v>16</v>
      </c>
      <c r="BB157" s="1033">
        <f>BA157*(списки!$C$56-AY157)</f>
        <v>195.2</v>
      </c>
      <c r="BC157" s="1034">
        <v>15.9</v>
      </c>
      <c r="BD157" s="1034"/>
      <c r="BE157" s="1034">
        <f t="shared" si="31"/>
        <v>0</v>
      </c>
      <c r="BF157" s="1035">
        <f>BE157*(списки!$C$56-BC157)</f>
        <v>0</v>
      </c>
      <c r="BG157" s="1424">
        <v>7293.2714285714283</v>
      </c>
      <c r="BH157" s="1424">
        <v>6631.2000000000007</v>
      </c>
    </row>
    <row r="158" spans="2:60" ht="15.75" customHeight="1" x14ac:dyDescent="0.25">
      <c r="B158" s="1038" t="s">
        <v>165</v>
      </c>
      <c r="C158" s="1038" t="s">
        <v>659</v>
      </c>
      <c r="D158" s="1015" t="str">
        <f t="shared" si="22"/>
        <v>Красноярский крайВанавара</v>
      </c>
      <c r="E158" s="1016">
        <v>260</v>
      </c>
      <c r="F158" s="1017">
        <v>-14</v>
      </c>
      <c r="G158" s="1017">
        <v>-50</v>
      </c>
      <c r="H158" s="1019">
        <v>2.4</v>
      </c>
      <c r="I158" s="1020">
        <f>E158*(списки!$C$56-F158)</f>
        <v>8840</v>
      </c>
      <c r="J158" s="1021" t="str">
        <f t="shared" si="23"/>
        <v>8000-9000</v>
      </c>
      <c r="K158" s="1022">
        <v>17.600000000000001</v>
      </c>
      <c r="L158" s="1022"/>
      <c r="M158" s="1023">
        <f t="shared" si="24"/>
        <v>0</v>
      </c>
      <c r="N158" s="1024">
        <f>M158*(списки!$C$56-K158)</f>
        <v>0</v>
      </c>
      <c r="O158" s="1025">
        <v>13.4</v>
      </c>
      <c r="P158" s="1025"/>
      <c r="Q158" s="1025">
        <f t="shared" si="25"/>
        <v>0</v>
      </c>
      <c r="R158" s="1025">
        <f>Q158*(списки!$C$56-O158)</f>
        <v>0</v>
      </c>
      <c r="S158" s="1026">
        <v>5.5</v>
      </c>
      <c r="T158" s="1026"/>
      <c r="U158" s="1026">
        <f t="shared" si="32"/>
        <v>24</v>
      </c>
      <c r="V158" s="1026">
        <f>U158*(списки!$C$56-S158)</f>
        <v>348</v>
      </c>
      <c r="W158" s="1027">
        <v>-4.5</v>
      </c>
      <c r="X158" s="1027"/>
      <c r="Y158" s="1027">
        <f t="shared" si="26"/>
        <v>31</v>
      </c>
      <c r="Z158" s="1027">
        <f>Y158*(списки!$C$56-W158)</f>
        <v>759.5</v>
      </c>
      <c r="AA158" s="1028">
        <v>-18.5</v>
      </c>
      <c r="AB158" s="1028"/>
      <c r="AC158" s="1028">
        <f t="shared" si="27"/>
        <v>30</v>
      </c>
      <c r="AD158" s="1028">
        <f>AC158*(списки!$C$56-AA158)</f>
        <v>1155</v>
      </c>
      <c r="AE158" s="1029">
        <v>-27.4</v>
      </c>
      <c r="AF158" s="1029"/>
      <c r="AG158" s="1029">
        <v>31</v>
      </c>
      <c r="AH158" s="1029">
        <f>AG158*(списки!$C$56-AE158)</f>
        <v>1469.3999999999999</v>
      </c>
      <c r="AI158" s="1030">
        <v>-29.4</v>
      </c>
      <c r="AJ158" s="1030"/>
      <c r="AK158" s="1030">
        <v>31</v>
      </c>
      <c r="AL158" s="1030">
        <f>AK158*(списки!$C$56-AI158)</f>
        <v>1531.3999999999999</v>
      </c>
      <c r="AM158" s="1031">
        <v>-25.9</v>
      </c>
      <c r="AN158" s="1031"/>
      <c r="AO158" s="1031">
        <v>28</v>
      </c>
      <c r="AP158" s="1031">
        <f>AO158*(списки!$C$56-AM158)</f>
        <v>1285.2</v>
      </c>
      <c r="AQ158" s="1026">
        <v>-14.5</v>
      </c>
      <c r="AR158" s="1026"/>
      <c r="AS158" s="1026">
        <f t="shared" si="28"/>
        <v>31</v>
      </c>
      <c r="AT158" s="1026">
        <f>AS158*(списки!$C$56-AQ158)</f>
        <v>1069.5</v>
      </c>
      <c r="AU158" s="1032">
        <v>-3.6</v>
      </c>
      <c r="AV158" s="1032"/>
      <c r="AW158" s="1032">
        <f t="shared" si="29"/>
        <v>30</v>
      </c>
      <c r="AX158" s="1032">
        <f>AW158*(списки!$C$56-AU158)</f>
        <v>708</v>
      </c>
      <c r="AY158" s="1033">
        <v>5.8</v>
      </c>
      <c r="AZ158" s="1033"/>
      <c r="BA158" s="1033">
        <f t="shared" si="30"/>
        <v>24</v>
      </c>
      <c r="BB158" s="1033">
        <f>BA158*(списки!$C$56-AY158)</f>
        <v>340.79999999999995</v>
      </c>
      <c r="BC158" s="1034">
        <v>14.3</v>
      </c>
      <c r="BD158" s="1034"/>
      <c r="BE158" s="1034">
        <f t="shared" si="31"/>
        <v>0</v>
      </c>
      <c r="BF158" s="1035">
        <f>BE158*(списки!$C$56-BC158)</f>
        <v>0</v>
      </c>
      <c r="BG158" s="1424">
        <v>8536.966071428571</v>
      </c>
      <c r="BH158" s="1424">
        <v>8125.4500000000025</v>
      </c>
    </row>
    <row r="159" spans="2:60" ht="15.75" customHeight="1" x14ac:dyDescent="0.25">
      <c r="B159" s="1014" t="s">
        <v>165</v>
      </c>
      <c r="C159" s="1014" t="s">
        <v>178</v>
      </c>
      <c r="D159" s="1015" t="str">
        <f t="shared" si="22"/>
        <v>Красноярский крайВельмо</v>
      </c>
      <c r="E159" s="1016">
        <v>264</v>
      </c>
      <c r="F159" s="1017">
        <v>-12.5</v>
      </c>
      <c r="G159" s="1017">
        <v>-49</v>
      </c>
      <c r="H159" s="1019">
        <f>H158</f>
        <v>2.4</v>
      </c>
      <c r="I159" s="1020">
        <f>E159*(списки!$C$56-F159)</f>
        <v>8580</v>
      </c>
      <c r="J159" s="1021" t="str">
        <f t="shared" si="23"/>
        <v>8000-9000</v>
      </c>
      <c r="K159" s="1022">
        <v>16.8</v>
      </c>
      <c r="L159" s="1022"/>
      <c r="M159" s="1023">
        <f t="shared" si="24"/>
        <v>0</v>
      </c>
      <c r="N159" s="1024">
        <f>M159*(списки!$C$56-K159)</f>
        <v>0</v>
      </c>
      <c r="O159" s="1025">
        <v>12.7</v>
      </c>
      <c r="P159" s="1025"/>
      <c r="Q159" s="1025">
        <f t="shared" si="25"/>
        <v>0</v>
      </c>
      <c r="R159" s="1025">
        <f>Q159*(списки!$C$56-O159)</f>
        <v>0</v>
      </c>
      <c r="S159" s="1026">
        <v>6.1</v>
      </c>
      <c r="T159" s="1026"/>
      <c r="U159" s="1026">
        <f t="shared" si="32"/>
        <v>26</v>
      </c>
      <c r="V159" s="1026">
        <f>U159*(списки!$C$56-S159)</f>
        <v>361.40000000000003</v>
      </c>
      <c r="W159" s="1027">
        <v>-3.7</v>
      </c>
      <c r="X159" s="1027"/>
      <c r="Y159" s="1027">
        <f t="shared" si="26"/>
        <v>31</v>
      </c>
      <c r="Z159" s="1027">
        <f>Y159*(списки!$C$56-W159)</f>
        <v>734.69999999999993</v>
      </c>
      <c r="AA159" s="1028">
        <v>-18.100000000000001</v>
      </c>
      <c r="AB159" s="1028"/>
      <c r="AC159" s="1028">
        <f t="shared" si="27"/>
        <v>30</v>
      </c>
      <c r="AD159" s="1028">
        <f>AC159*(списки!$C$56-AA159)</f>
        <v>1143</v>
      </c>
      <c r="AE159" s="1029">
        <v>-26.5</v>
      </c>
      <c r="AF159" s="1029"/>
      <c r="AG159" s="1029">
        <v>31</v>
      </c>
      <c r="AH159" s="1029">
        <f>AG159*(списки!$C$56-AE159)</f>
        <v>1441.5</v>
      </c>
      <c r="AI159" s="1030">
        <v>-27.6</v>
      </c>
      <c r="AJ159" s="1030"/>
      <c r="AK159" s="1030">
        <v>31</v>
      </c>
      <c r="AL159" s="1030">
        <f>AK159*(списки!$C$56-AI159)</f>
        <v>1475.6000000000001</v>
      </c>
      <c r="AM159" s="1031">
        <v>-24.8</v>
      </c>
      <c r="AN159" s="1031"/>
      <c r="AO159" s="1031">
        <v>28</v>
      </c>
      <c r="AP159" s="1031">
        <f>AO159*(списки!$C$56-AM159)</f>
        <v>1254.3999999999999</v>
      </c>
      <c r="AQ159" s="1026">
        <v>-14.8</v>
      </c>
      <c r="AR159" s="1026"/>
      <c r="AS159" s="1026">
        <f t="shared" si="28"/>
        <v>31</v>
      </c>
      <c r="AT159" s="1026">
        <f>AS159*(списки!$C$56-AQ159)</f>
        <v>1078.8</v>
      </c>
      <c r="AU159" s="1032">
        <v>-3.7</v>
      </c>
      <c r="AV159" s="1032"/>
      <c r="AW159" s="1032">
        <f t="shared" si="29"/>
        <v>30</v>
      </c>
      <c r="AX159" s="1032">
        <f>AW159*(списки!$C$56-AU159)</f>
        <v>711</v>
      </c>
      <c r="AY159" s="1033">
        <v>4.3</v>
      </c>
      <c r="AZ159" s="1033"/>
      <c r="BA159" s="1033">
        <f t="shared" si="30"/>
        <v>26</v>
      </c>
      <c r="BB159" s="1033">
        <f>BA159*(списки!$C$56-AY159)</f>
        <v>408.2</v>
      </c>
      <c r="BC159" s="1034">
        <v>13.1</v>
      </c>
      <c r="BD159" s="1034"/>
      <c r="BE159" s="1034">
        <f t="shared" si="31"/>
        <v>0</v>
      </c>
      <c r="BF159" s="1035">
        <f>BE159*(списки!$C$56-BC159)</f>
        <v>0</v>
      </c>
      <c r="BG159" s="1424">
        <v>8174.6071428571422</v>
      </c>
      <c r="BH159" s="1424">
        <v>7649.9625000000005</v>
      </c>
    </row>
    <row r="160" spans="2:60" ht="15.75" customHeight="1" x14ac:dyDescent="0.25">
      <c r="B160" s="1038" t="s">
        <v>165</v>
      </c>
      <c r="C160" s="1038" t="s">
        <v>179</v>
      </c>
      <c r="D160" s="1015" t="str">
        <f t="shared" si="22"/>
        <v>Красноярский крайВерхнеимбатск</v>
      </c>
      <c r="E160" s="1016">
        <v>265</v>
      </c>
      <c r="F160" s="1017">
        <v>-11.7</v>
      </c>
      <c r="G160" s="1017">
        <v>-48</v>
      </c>
      <c r="H160" s="1019">
        <v>3.2</v>
      </c>
      <c r="I160" s="1020">
        <f>E160*(списки!$C$56-F160)</f>
        <v>8400.5</v>
      </c>
      <c r="J160" s="1021" t="str">
        <f t="shared" si="23"/>
        <v>8000-9000</v>
      </c>
      <c r="K160" s="1022">
        <v>17.600000000000001</v>
      </c>
      <c r="L160" s="1022"/>
      <c r="M160" s="1023">
        <f t="shared" si="24"/>
        <v>0</v>
      </c>
      <c r="N160" s="1024">
        <f>M160*(списки!$C$56-K160)</f>
        <v>0</v>
      </c>
      <c r="O160" s="1025">
        <v>13.4</v>
      </c>
      <c r="P160" s="1025"/>
      <c r="Q160" s="1025">
        <f t="shared" si="25"/>
        <v>0</v>
      </c>
      <c r="R160" s="1025">
        <f>Q160*(списки!$C$56-O160)</f>
        <v>0</v>
      </c>
      <c r="S160" s="1026">
        <v>6.4</v>
      </c>
      <c r="T160" s="1026"/>
      <c r="U160" s="1026">
        <f t="shared" si="32"/>
        <v>26.5</v>
      </c>
      <c r="V160" s="1026">
        <f>U160*(списки!$C$56-S160)</f>
        <v>360.4</v>
      </c>
      <c r="W160" s="1027">
        <v>-3.5</v>
      </c>
      <c r="X160" s="1027"/>
      <c r="Y160" s="1027">
        <f t="shared" si="26"/>
        <v>31</v>
      </c>
      <c r="Z160" s="1027">
        <f>Y160*(списки!$C$56-W160)</f>
        <v>728.5</v>
      </c>
      <c r="AA160" s="1028">
        <v>-16</v>
      </c>
      <c r="AB160" s="1028"/>
      <c r="AC160" s="1028">
        <f t="shared" si="27"/>
        <v>30</v>
      </c>
      <c r="AD160" s="1028">
        <f>AC160*(списки!$C$56-AA160)</f>
        <v>1080</v>
      </c>
      <c r="AE160" s="1029">
        <v>-22.5</v>
      </c>
      <c r="AF160" s="1029"/>
      <c r="AG160" s="1029">
        <v>31</v>
      </c>
      <c r="AH160" s="1029">
        <f>AG160*(списки!$C$56-AE160)</f>
        <v>1317.5</v>
      </c>
      <c r="AI160" s="1030">
        <v>-24.7</v>
      </c>
      <c r="AJ160" s="1030"/>
      <c r="AK160" s="1030">
        <v>31</v>
      </c>
      <c r="AL160" s="1030">
        <f>AK160*(списки!$C$56-AI160)</f>
        <v>1385.7</v>
      </c>
      <c r="AM160" s="1031">
        <v>-22</v>
      </c>
      <c r="AN160" s="1031"/>
      <c r="AO160" s="1031">
        <v>28</v>
      </c>
      <c r="AP160" s="1031">
        <f>AO160*(списки!$C$56-AM160)</f>
        <v>1176</v>
      </c>
      <c r="AQ160" s="1026">
        <v>-12.8</v>
      </c>
      <c r="AR160" s="1026"/>
      <c r="AS160" s="1026">
        <f t="shared" si="28"/>
        <v>31</v>
      </c>
      <c r="AT160" s="1026">
        <f>AS160*(списки!$C$56-AQ160)</f>
        <v>1016.8</v>
      </c>
      <c r="AU160" s="1032">
        <v>-4.9000000000000004</v>
      </c>
      <c r="AV160" s="1032"/>
      <c r="AW160" s="1032">
        <f t="shared" si="29"/>
        <v>30</v>
      </c>
      <c r="AX160" s="1032">
        <f>AW160*(списки!$C$56-AU160)</f>
        <v>747</v>
      </c>
      <c r="AY160" s="1033">
        <v>3.3</v>
      </c>
      <c r="AZ160" s="1033"/>
      <c r="BA160" s="1033">
        <f t="shared" si="30"/>
        <v>26.5</v>
      </c>
      <c r="BB160" s="1033">
        <f>BA160*(списки!$C$56-AY160)</f>
        <v>442.54999999999995</v>
      </c>
      <c r="BC160" s="1034">
        <v>12.9</v>
      </c>
      <c r="BD160" s="1034"/>
      <c r="BE160" s="1034">
        <f t="shared" si="31"/>
        <v>0</v>
      </c>
      <c r="BF160" s="1035">
        <f>BE160*(списки!$C$56-BC160)</f>
        <v>0</v>
      </c>
      <c r="BG160" s="1424">
        <v>7758.7946428571431</v>
      </c>
      <c r="BH160" s="1424">
        <v>7521.9910714285688</v>
      </c>
    </row>
    <row r="161" spans="2:60" ht="15.75" customHeight="1" x14ac:dyDescent="0.25">
      <c r="B161" s="1014" t="s">
        <v>165</v>
      </c>
      <c r="C161" s="1014" t="s">
        <v>180</v>
      </c>
      <c r="D161" s="1015" t="str">
        <f t="shared" si="22"/>
        <v>Красноярский крайВолочанка</v>
      </c>
      <c r="E161" s="1016">
        <v>300</v>
      </c>
      <c r="F161" s="1017">
        <v>-17</v>
      </c>
      <c r="G161" s="1017">
        <v>-49</v>
      </c>
      <c r="H161" s="1019">
        <v>6.5</v>
      </c>
      <c r="I161" s="1020">
        <f>E161*(списки!$C$56-F161)</f>
        <v>11100</v>
      </c>
      <c r="J161" s="1021" t="str">
        <f t="shared" si="23"/>
        <v>11000-12000</v>
      </c>
      <c r="K161" s="1022">
        <v>12.8</v>
      </c>
      <c r="L161" s="1022"/>
      <c r="M161" s="1023">
        <f t="shared" si="24"/>
        <v>0</v>
      </c>
      <c r="N161" s="1024">
        <f>M161*(списки!$C$56-K161)</f>
        <v>0</v>
      </c>
      <c r="O161" s="1025">
        <v>9.8000000000000007</v>
      </c>
      <c r="P161" s="1025"/>
      <c r="Q161" s="1025">
        <f t="shared" si="25"/>
        <v>13.5</v>
      </c>
      <c r="R161" s="1025">
        <f>Q161*(списки!$C$56-O161)</f>
        <v>137.69999999999999</v>
      </c>
      <c r="S161" s="1026">
        <v>2.2999999999999998</v>
      </c>
      <c r="T161" s="1026"/>
      <c r="U161" s="1026">
        <f t="shared" si="32"/>
        <v>30</v>
      </c>
      <c r="V161" s="1026">
        <f>U161*(списки!$C$56-S161)</f>
        <v>531</v>
      </c>
      <c r="W161" s="1027">
        <v>-11.5</v>
      </c>
      <c r="X161" s="1027"/>
      <c r="Y161" s="1027">
        <f t="shared" si="26"/>
        <v>31</v>
      </c>
      <c r="Z161" s="1027">
        <f>Y161*(списки!$C$56-W161)</f>
        <v>976.5</v>
      </c>
      <c r="AA161" s="1028">
        <v>-23.7</v>
      </c>
      <c r="AB161" s="1028"/>
      <c r="AC161" s="1028">
        <f t="shared" si="27"/>
        <v>30</v>
      </c>
      <c r="AD161" s="1028">
        <f>AC161*(списки!$C$56-AA161)</f>
        <v>1311</v>
      </c>
      <c r="AE161" s="1029">
        <v>-27.8</v>
      </c>
      <c r="AF161" s="1029"/>
      <c r="AG161" s="1029">
        <v>31</v>
      </c>
      <c r="AH161" s="1029">
        <f>AG161*(списки!$C$56-AE161)</f>
        <v>1481.8</v>
      </c>
      <c r="AI161" s="1030">
        <v>-31</v>
      </c>
      <c r="AJ161" s="1030"/>
      <c r="AK161" s="1030">
        <v>31</v>
      </c>
      <c r="AL161" s="1030">
        <f>AK161*(списки!$C$56-AI161)</f>
        <v>1581</v>
      </c>
      <c r="AM161" s="1031">
        <v>-30.6</v>
      </c>
      <c r="AN161" s="1031"/>
      <c r="AO161" s="1031">
        <v>28</v>
      </c>
      <c r="AP161" s="1031">
        <f>AO161*(списки!$C$56-AM161)</f>
        <v>1416.8</v>
      </c>
      <c r="AQ161" s="1026">
        <v>-24.5</v>
      </c>
      <c r="AR161" s="1026"/>
      <c r="AS161" s="1026">
        <f t="shared" si="28"/>
        <v>31</v>
      </c>
      <c r="AT161" s="1026">
        <f>AS161*(списки!$C$56-AQ161)</f>
        <v>1379.5</v>
      </c>
      <c r="AU161" s="1032">
        <v>-16</v>
      </c>
      <c r="AV161" s="1032"/>
      <c r="AW161" s="1032">
        <f t="shared" si="29"/>
        <v>30</v>
      </c>
      <c r="AX161" s="1032">
        <f>AW161*(списки!$C$56-AU161)</f>
        <v>1080</v>
      </c>
      <c r="AY161" s="1033">
        <v>-5.9</v>
      </c>
      <c r="AZ161" s="1033"/>
      <c r="BA161" s="1033">
        <f t="shared" si="30"/>
        <v>31</v>
      </c>
      <c r="BB161" s="1033">
        <f>BA161*(списки!$C$56-AY161)</f>
        <v>802.9</v>
      </c>
      <c r="BC161" s="1034">
        <v>5.7</v>
      </c>
      <c r="BD161" s="1034"/>
      <c r="BE161" s="1034">
        <f t="shared" si="31"/>
        <v>13.5</v>
      </c>
      <c r="BF161" s="1035">
        <f>BE161*(списки!$C$56-BC161)</f>
        <v>193.05</v>
      </c>
      <c r="BG161" s="1424" t="e">
        <v>#N/A</v>
      </c>
      <c r="BH161" s="1424" t="e">
        <v>#N/A</v>
      </c>
    </row>
    <row r="162" spans="2:60" ht="15.75" customHeight="1" x14ac:dyDescent="0.25">
      <c r="B162" s="1038" t="s">
        <v>165</v>
      </c>
      <c r="C162" s="1038" t="s">
        <v>660</v>
      </c>
      <c r="D162" s="1015" t="str">
        <f t="shared" si="22"/>
        <v>Красноярский крайДиксон</v>
      </c>
      <c r="E162" s="1016">
        <v>365</v>
      </c>
      <c r="F162" s="1017">
        <v>-11.5</v>
      </c>
      <c r="G162" s="1017">
        <v>-40</v>
      </c>
      <c r="H162" s="1019">
        <v>9.6</v>
      </c>
      <c r="I162" s="1020">
        <f>E162*(списки!$C$56-F162)</f>
        <v>11497.5</v>
      </c>
      <c r="J162" s="1021" t="str">
        <f t="shared" si="23"/>
        <v>11000-12000</v>
      </c>
      <c r="K162" s="1022">
        <v>4.5</v>
      </c>
      <c r="L162" s="1022"/>
      <c r="M162" s="1023">
        <f t="shared" si="24"/>
        <v>31</v>
      </c>
      <c r="N162" s="1024">
        <f>M162*(списки!$C$56-K162)</f>
        <v>480.5</v>
      </c>
      <c r="O162" s="1025">
        <v>4.9000000000000004</v>
      </c>
      <c r="P162" s="1025"/>
      <c r="Q162" s="1025">
        <f t="shared" si="25"/>
        <v>31</v>
      </c>
      <c r="R162" s="1025">
        <f>Q162*(списки!$C$56-O162)</f>
        <v>468.09999999999997</v>
      </c>
      <c r="S162" s="1026">
        <v>1.3</v>
      </c>
      <c r="T162" s="1026"/>
      <c r="U162" s="1026">
        <f t="shared" si="32"/>
        <v>30</v>
      </c>
      <c r="V162" s="1026">
        <f>U162*(списки!$C$56-S162)</f>
        <v>561</v>
      </c>
      <c r="W162" s="1027">
        <v>-8.3000000000000007</v>
      </c>
      <c r="X162" s="1027"/>
      <c r="Y162" s="1027">
        <f t="shared" si="26"/>
        <v>31</v>
      </c>
      <c r="Z162" s="1027">
        <f>Y162*(списки!$C$56-W162)</f>
        <v>877.30000000000007</v>
      </c>
      <c r="AA162" s="1028">
        <v>-17.899999999999999</v>
      </c>
      <c r="AB162" s="1028"/>
      <c r="AC162" s="1028">
        <f t="shared" si="27"/>
        <v>30</v>
      </c>
      <c r="AD162" s="1028">
        <f>AC162*(списки!$C$56-AA162)</f>
        <v>1137</v>
      </c>
      <c r="AE162" s="1029">
        <v>-22.6</v>
      </c>
      <c r="AF162" s="1029"/>
      <c r="AG162" s="1029">
        <v>31</v>
      </c>
      <c r="AH162" s="1029">
        <f>AG162*(списки!$C$56-AE162)</f>
        <v>1320.6000000000001</v>
      </c>
      <c r="AI162" s="1030">
        <v>-25.9</v>
      </c>
      <c r="AJ162" s="1030"/>
      <c r="AK162" s="1030">
        <v>31</v>
      </c>
      <c r="AL162" s="1030">
        <f>AK162*(списки!$C$56-AI162)</f>
        <v>1422.8999999999999</v>
      </c>
      <c r="AM162" s="1031">
        <v>-25.9</v>
      </c>
      <c r="AN162" s="1031"/>
      <c r="AO162" s="1031">
        <v>28</v>
      </c>
      <c r="AP162" s="1031">
        <f>AO162*(списки!$C$56-AM162)</f>
        <v>1285.2</v>
      </c>
      <c r="AQ162" s="1026">
        <v>-22.9</v>
      </c>
      <c r="AR162" s="1026"/>
      <c r="AS162" s="1026">
        <f t="shared" si="28"/>
        <v>31</v>
      </c>
      <c r="AT162" s="1026">
        <f>AS162*(списки!$C$56-AQ162)</f>
        <v>1329.8999999999999</v>
      </c>
      <c r="AU162" s="1032">
        <v>-17.5</v>
      </c>
      <c r="AV162" s="1032"/>
      <c r="AW162" s="1032">
        <f t="shared" si="29"/>
        <v>30</v>
      </c>
      <c r="AX162" s="1032">
        <f>AW162*(списки!$C$56-AU162)</f>
        <v>1125</v>
      </c>
      <c r="AY162" s="1033">
        <v>-8.3000000000000007</v>
      </c>
      <c r="AZ162" s="1033"/>
      <c r="BA162" s="1033">
        <f t="shared" si="30"/>
        <v>31</v>
      </c>
      <c r="BB162" s="1033">
        <f>BA162*(списки!$C$56-AY162)</f>
        <v>877.30000000000007</v>
      </c>
      <c r="BC162" s="1034">
        <v>0</v>
      </c>
      <c r="BD162" s="1034"/>
      <c r="BE162" s="1034">
        <f t="shared" si="31"/>
        <v>30</v>
      </c>
      <c r="BF162" s="1035">
        <f>BE162*(списки!$C$56-BC162)</f>
        <v>600</v>
      </c>
      <c r="BG162" s="1424">
        <v>9505.5035714285696</v>
      </c>
      <c r="BH162" s="1424">
        <v>10082.728571428572</v>
      </c>
    </row>
    <row r="163" spans="2:60" ht="15.75" customHeight="1" x14ac:dyDescent="0.25">
      <c r="B163" s="1014" t="s">
        <v>165</v>
      </c>
      <c r="C163" s="1014" t="s">
        <v>661</v>
      </c>
      <c r="D163" s="1015" t="str">
        <f t="shared" si="22"/>
        <v xml:space="preserve">Красноярский крайДудинка </v>
      </c>
      <c r="E163" s="1016">
        <v>296</v>
      </c>
      <c r="F163" s="1017">
        <v>-15.2</v>
      </c>
      <c r="G163" s="1017">
        <v>-46</v>
      </c>
      <c r="H163" s="1019">
        <v>6.7</v>
      </c>
      <c r="I163" s="1020">
        <f>E163*(списки!$C$56-F163)</f>
        <v>10419.200000000001</v>
      </c>
      <c r="J163" s="1021" t="str">
        <f t="shared" si="23"/>
        <v>10000-11000</v>
      </c>
      <c r="K163" s="1022">
        <v>13.7</v>
      </c>
      <c r="L163" s="1022"/>
      <c r="M163" s="1023">
        <f t="shared" si="24"/>
        <v>0</v>
      </c>
      <c r="N163" s="1024">
        <f>M163*(списки!$C$56-K163)</f>
        <v>0</v>
      </c>
      <c r="O163" s="1025">
        <v>10.9</v>
      </c>
      <c r="P163" s="1025"/>
      <c r="Q163" s="1025">
        <f t="shared" si="25"/>
        <v>11.5</v>
      </c>
      <c r="R163" s="1025">
        <f>Q163*(списки!$C$56-O163)</f>
        <v>104.64999999999999</v>
      </c>
      <c r="S163" s="1026">
        <v>3.8</v>
      </c>
      <c r="T163" s="1026"/>
      <c r="U163" s="1026">
        <f t="shared" si="32"/>
        <v>30</v>
      </c>
      <c r="V163" s="1026">
        <f>U163*(списки!$C$56-S163)</f>
        <v>486</v>
      </c>
      <c r="W163" s="1027">
        <v>-8.5</v>
      </c>
      <c r="X163" s="1027"/>
      <c r="Y163" s="1027">
        <f t="shared" si="26"/>
        <v>31</v>
      </c>
      <c r="Z163" s="1027">
        <f>Y163*(списки!$C$56-W163)</f>
        <v>883.5</v>
      </c>
      <c r="AA163" s="1028">
        <v>-20.6</v>
      </c>
      <c r="AB163" s="1028"/>
      <c r="AC163" s="1028">
        <f t="shared" si="27"/>
        <v>30</v>
      </c>
      <c r="AD163" s="1028">
        <f>AC163*(списки!$C$56-AA163)</f>
        <v>1218</v>
      </c>
      <c r="AE163" s="1029">
        <v>-24.9</v>
      </c>
      <c r="AF163" s="1029"/>
      <c r="AG163" s="1029">
        <v>31</v>
      </c>
      <c r="AH163" s="1029">
        <f>AG163*(списки!$C$56-AE163)</f>
        <v>1391.8999999999999</v>
      </c>
      <c r="AI163" s="1030">
        <v>-28.2</v>
      </c>
      <c r="AJ163" s="1030"/>
      <c r="AK163" s="1030">
        <v>31</v>
      </c>
      <c r="AL163" s="1030">
        <f>AK163*(списки!$C$56-AI163)</f>
        <v>1494.2</v>
      </c>
      <c r="AM163" s="1031">
        <v>-27.3</v>
      </c>
      <c r="AN163" s="1031"/>
      <c r="AO163" s="1031">
        <v>28</v>
      </c>
      <c r="AP163" s="1031">
        <f>AO163*(списки!$C$56-AM163)</f>
        <v>1324.3999999999999</v>
      </c>
      <c r="AQ163" s="1026">
        <v>-21.9</v>
      </c>
      <c r="AR163" s="1026"/>
      <c r="AS163" s="1026">
        <f t="shared" si="28"/>
        <v>31</v>
      </c>
      <c r="AT163" s="1026">
        <f>AS163*(списки!$C$56-AQ163)</f>
        <v>1298.8999999999999</v>
      </c>
      <c r="AU163" s="1032">
        <v>-15.3</v>
      </c>
      <c r="AV163" s="1032"/>
      <c r="AW163" s="1032">
        <f t="shared" si="29"/>
        <v>30</v>
      </c>
      <c r="AX163" s="1032">
        <f>AW163*(списки!$C$56-AU163)</f>
        <v>1059</v>
      </c>
      <c r="AY163" s="1033">
        <v>-5.6</v>
      </c>
      <c r="AZ163" s="1033"/>
      <c r="BA163" s="1033">
        <f t="shared" si="30"/>
        <v>31</v>
      </c>
      <c r="BB163" s="1033">
        <f>BA163*(списки!$C$56-AY163)</f>
        <v>793.6</v>
      </c>
      <c r="BC163" s="1034">
        <v>5.8</v>
      </c>
      <c r="BD163" s="1034"/>
      <c r="BE163" s="1034">
        <f t="shared" si="31"/>
        <v>11.5</v>
      </c>
      <c r="BF163" s="1035">
        <f>BE163*(списки!$C$56-BC163)</f>
        <v>163.29999999999998</v>
      </c>
      <c r="BG163" s="1424">
        <v>8987.2420238095256</v>
      </c>
      <c r="BH163" s="1424">
        <v>9271.6800000000076</v>
      </c>
    </row>
    <row r="164" spans="2:60" ht="15.75" customHeight="1" x14ac:dyDescent="0.25">
      <c r="B164" s="1038" t="s">
        <v>165</v>
      </c>
      <c r="C164" s="1038" t="s">
        <v>170</v>
      </c>
      <c r="D164" s="1015" t="str">
        <f t="shared" si="22"/>
        <v>Красноярский крайЕнисейск</v>
      </c>
      <c r="E164" s="1016">
        <v>245</v>
      </c>
      <c r="F164" s="1017">
        <v>-9.6</v>
      </c>
      <c r="G164" s="1017">
        <v>-46</v>
      </c>
      <c r="H164" s="1019">
        <v>3.7</v>
      </c>
      <c r="I164" s="1020">
        <f>E164*(списки!$C$56-F164)</f>
        <v>7252</v>
      </c>
      <c r="J164" s="1021" t="str">
        <f t="shared" si="23"/>
        <v>7000-8000</v>
      </c>
      <c r="K164" s="1022">
        <v>18.5</v>
      </c>
      <c r="L164" s="1022"/>
      <c r="M164" s="1023">
        <f t="shared" si="24"/>
        <v>0</v>
      </c>
      <c r="N164" s="1024">
        <f>M164*(списки!$C$56-K164)</f>
        <v>0</v>
      </c>
      <c r="O164" s="1025">
        <v>14.9</v>
      </c>
      <c r="P164" s="1025"/>
      <c r="Q164" s="1025">
        <f t="shared" si="25"/>
        <v>0</v>
      </c>
      <c r="R164" s="1025">
        <f>Q164*(списки!$C$56-O164)</f>
        <v>0</v>
      </c>
      <c r="S164" s="1026">
        <v>8.1999999999999993</v>
      </c>
      <c r="T164" s="1026"/>
      <c r="U164" s="1026">
        <f t="shared" si="32"/>
        <v>16.5</v>
      </c>
      <c r="V164" s="1026">
        <f>U164*(списки!$C$56-S164)</f>
        <v>194.70000000000002</v>
      </c>
      <c r="W164" s="1027">
        <v>-0.5</v>
      </c>
      <c r="X164" s="1027"/>
      <c r="Y164" s="1027">
        <f t="shared" si="26"/>
        <v>31</v>
      </c>
      <c r="Z164" s="1027">
        <f>Y164*(списки!$C$56-W164)</f>
        <v>635.5</v>
      </c>
      <c r="AA164" s="1028">
        <v>-12.3</v>
      </c>
      <c r="AB164" s="1028"/>
      <c r="AC164" s="1028">
        <f t="shared" si="27"/>
        <v>30</v>
      </c>
      <c r="AD164" s="1028">
        <f>AC164*(списки!$C$56-AA164)</f>
        <v>968.99999999999989</v>
      </c>
      <c r="AE164" s="1029">
        <v>-20.7</v>
      </c>
      <c r="AF164" s="1029"/>
      <c r="AG164" s="1029">
        <v>31</v>
      </c>
      <c r="AH164" s="1029">
        <f>AG164*(списки!$C$56-AE164)</f>
        <v>1261.7</v>
      </c>
      <c r="AI164" s="1030">
        <v>-22</v>
      </c>
      <c r="AJ164" s="1030"/>
      <c r="AK164" s="1030">
        <v>31</v>
      </c>
      <c r="AL164" s="1030">
        <f>AK164*(списки!$C$56-AI164)</f>
        <v>1302</v>
      </c>
      <c r="AM164" s="1031">
        <v>-19.5</v>
      </c>
      <c r="AN164" s="1031"/>
      <c r="AO164" s="1031">
        <v>28</v>
      </c>
      <c r="AP164" s="1031">
        <f>AO164*(списки!$C$56-AM164)</f>
        <v>1106</v>
      </c>
      <c r="AQ164" s="1026">
        <v>-10.7</v>
      </c>
      <c r="AR164" s="1026"/>
      <c r="AS164" s="1026">
        <f t="shared" si="28"/>
        <v>31</v>
      </c>
      <c r="AT164" s="1026">
        <f>AS164*(списки!$C$56-AQ164)</f>
        <v>951.69999999999993</v>
      </c>
      <c r="AU164" s="1032">
        <v>-0.9</v>
      </c>
      <c r="AV164" s="1032"/>
      <c r="AW164" s="1032">
        <f t="shared" si="29"/>
        <v>30</v>
      </c>
      <c r="AX164" s="1032">
        <f>AW164*(списки!$C$56-AU164)</f>
        <v>627</v>
      </c>
      <c r="AY164" s="1033">
        <v>7.1</v>
      </c>
      <c r="AZ164" s="1033"/>
      <c r="BA164" s="1033">
        <f t="shared" si="30"/>
        <v>16.5</v>
      </c>
      <c r="BB164" s="1033">
        <f>BA164*(списки!$C$56-AY164)</f>
        <v>212.85</v>
      </c>
      <c r="BC164" s="1034">
        <v>15.1</v>
      </c>
      <c r="BD164" s="1034"/>
      <c r="BE164" s="1034">
        <f t="shared" si="31"/>
        <v>0</v>
      </c>
      <c r="BF164" s="1035">
        <f>BE164*(списки!$C$56-BC164)</f>
        <v>0</v>
      </c>
      <c r="BG164" s="1424">
        <v>6946.9928571428572</v>
      </c>
      <c r="BH164" s="1424">
        <v>6221.8875000000016</v>
      </c>
    </row>
    <row r="165" spans="2:60" ht="15.75" customHeight="1" x14ac:dyDescent="0.25">
      <c r="B165" s="1014" t="s">
        <v>165</v>
      </c>
      <c r="C165" s="1014" t="s">
        <v>662</v>
      </c>
      <c r="D165" s="1015" t="str">
        <f t="shared" si="22"/>
        <v xml:space="preserve">Красноярский крайЕссей </v>
      </c>
      <c r="E165" s="1016">
        <v>296</v>
      </c>
      <c r="F165" s="1017">
        <v>-18.399999999999999</v>
      </c>
      <c r="G165" s="1017">
        <v>-55</v>
      </c>
      <c r="H165" s="1019">
        <v>3.1</v>
      </c>
      <c r="I165" s="1020">
        <f>E165*(списки!$C$56-F165)</f>
        <v>11366.4</v>
      </c>
      <c r="J165" s="1021" t="str">
        <f t="shared" si="23"/>
        <v>11000-12000</v>
      </c>
      <c r="K165" s="1022">
        <v>13.5</v>
      </c>
      <c r="L165" s="1022"/>
      <c r="M165" s="1023">
        <f t="shared" si="24"/>
        <v>0</v>
      </c>
      <c r="N165" s="1024">
        <f>M165*(списки!$C$56-K165)</f>
        <v>0</v>
      </c>
      <c r="O165" s="1025">
        <v>10.5</v>
      </c>
      <c r="P165" s="1025"/>
      <c r="Q165" s="1025">
        <f t="shared" si="25"/>
        <v>11.5</v>
      </c>
      <c r="R165" s="1025">
        <f>Q165*(списки!$C$56-O165)</f>
        <v>109.25</v>
      </c>
      <c r="S165" s="1026">
        <v>2.4</v>
      </c>
      <c r="T165" s="1026"/>
      <c r="U165" s="1026">
        <f t="shared" si="32"/>
        <v>30</v>
      </c>
      <c r="V165" s="1026">
        <f>U165*(списки!$C$56-S165)</f>
        <v>528</v>
      </c>
      <c r="W165" s="1027">
        <v>-12.2</v>
      </c>
      <c r="X165" s="1027"/>
      <c r="Y165" s="1027">
        <f t="shared" si="26"/>
        <v>31</v>
      </c>
      <c r="Z165" s="1027">
        <f>Y165*(списки!$C$56-W165)</f>
        <v>998.2</v>
      </c>
      <c r="AA165" s="1028">
        <v>-27.6</v>
      </c>
      <c r="AB165" s="1028"/>
      <c r="AC165" s="1028">
        <f t="shared" si="27"/>
        <v>30</v>
      </c>
      <c r="AD165" s="1028">
        <f>AC165*(списки!$C$56-AA165)</f>
        <v>1428</v>
      </c>
      <c r="AE165" s="1029">
        <v>-31.6</v>
      </c>
      <c r="AF165" s="1029"/>
      <c r="AG165" s="1029">
        <v>31</v>
      </c>
      <c r="AH165" s="1029">
        <f>AG165*(списки!$C$56-AE165)</f>
        <v>1599.6000000000001</v>
      </c>
      <c r="AI165" s="1030">
        <v>-36</v>
      </c>
      <c r="AJ165" s="1030"/>
      <c r="AK165" s="1030">
        <v>31</v>
      </c>
      <c r="AL165" s="1030">
        <f>AK165*(списки!$C$56-AI165)</f>
        <v>1736</v>
      </c>
      <c r="AM165" s="1031">
        <v>-33.799999999999997</v>
      </c>
      <c r="AN165" s="1031"/>
      <c r="AO165" s="1031">
        <v>28</v>
      </c>
      <c r="AP165" s="1031">
        <f>AO165*(списки!$C$56-AM165)</f>
        <v>1506.3999999999999</v>
      </c>
      <c r="AQ165" s="1026">
        <v>-23.9</v>
      </c>
      <c r="AR165" s="1026"/>
      <c r="AS165" s="1026">
        <f t="shared" si="28"/>
        <v>31</v>
      </c>
      <c r="AT165" s="1026">
        <f>AS165*(списки!$C$56-AQ165)</f>
        <v>1360.8999999999999</v>
      </c>
      <c r="AU165" s="1032">
        <v>-13.9</v>
      </c>
      <c r="AV165" s="1032"/>
      <c r="AW165" s="1032">
        <f t="shared" si="29"/>
        <v>30</v>
      </c>
      <c r="AX165" s="1032">
        <f>AW165*(списки!$C$56-AU165)</f>
        <v>1017</v>
      </c>
      <c r="AY165" s="1033">
        <v>-3.2</v>
      </c>
      <c r="AZ165" s="1033"/>
      <c r="BA165" s="1033">
        <f t="shared" si="30"/>
        <v>31</v>
      </c>
      <c r="BB165" s="1033">
        <f>BA165*(списки!$C$56-AY165)</f>
        <v>719.19999999999993</v>
      </c>
      <c r="BC165" s="1034">
        <v>7</v>
      </c>
      <c r="BD165" s="1034"/>
      <c r="BE165" s="1034">
        <f t="shared" si="31"/>
        <v>11.5</v>
      </c>
      <c r="BF165" s="1035">
        <f>BE165*(списки!$C$56-BC165)</f>
        <v>149.5</v>
      </c>
      <c r="BG165" s="1424" t="e">
        <v>#N/A</v>
      </c>
      <c r="BH165" s="1424" t="e">
        <v>#N/A</v>
      </c>
    </row>
    <row r="166" spans="2:60" ht="15.75" customHeight="1" x14ac:dyDescent="0.25">
      <c r="B166" s="1038" t="s">
        <v>165</v>
      </c>
      <c r="C166" s="1038" t="s">
        <v>171</v>
      </c>
      <c r="D166" s="1015" t="str">
        <f t="shared" si="22"/>
        <v>Красноярский крайИгарка</v>
      </c>
      <c r="E166" s="1016">
        <v>292</v>
      </c>
      <c r="F166" s="1017">
        <v>-16.7</v>
      </c>
      <c r="G166" s="1017">
        <v>-49</v>
      </c>
      <c r="H166" s="1019">
        <v>5.4</v>
      </c>
      <c r="I166" s="1020">
        <f>E166*(списки!$C$56-F166)</f>
        <v>10716.400000000001</v>
      </c>
      <c r="J166" s="1021" t="str">
        <f t="shared" si="23"/>
        <v>10000-11000</v>
      </c>
      <c r="K166" s="1022">
        <v>15.4</v>
      </c>
      <c r="L166" s="1022"/>
      <c r="M166" s="1023">
        <f t="shared" si="24"/>
        <v>0</v>
      </c>
      <c r="N166" s="1024">
        <f>M166*(списки!$C$56-K166)</f>
        <v>0</v>
      </c>
      <c r="O166" s="1025">
        <v>12</v>
      </c>
      <c r="P166" s="1025"/>
      <c r="Q166" s="1025">
        <f t="shared" si="25"/>
        <v>9.5</v>
      </c>
      <c r="R166" s="1025">
        <f>Q166*(списки!$C$56-O166)</f>
        <v>76</v>
      </c>
      <c r="S166" s="1026">
        <v>4.8</v>
      </c>
      <c r="T166" s="1026"/>
      <c r="U166" s="1026">
        <f t="shared" si="32"/>
        <v>30</v>
      </c>
      <c r="V166" s="1026">
        <f>U166*(списки!$C$56-S166)</f>
        <v>456</v>
      </c>
      <c r="W166" s="1027">
        <v>-6.9</v>
      </c>
      <c r="X166" s="1027"/>
      <c r="Y166" s="1027">
        <f t="shared" si="26"/>
        <v>31</v>
      </c>
      <c r="Z166" s="1027">
        <f>Y166*(списки!$C$56-W166)</f>
        <v>833.9</v>
      </c>
      <c r="AA166" s="1028">
        <v>-20</v>
      </c>
      <c r="AB166" s="1028"/>
      <c r="AC166" s="1028">
        <f t="shared" si="27"/>
        <v>30</v>
      </c>
      <c r="AD166" s="1028">
        <f>AC166*(списки!$C$56-AA166)</f>
        <v>1200</v>
      </c>
      <c r="AE166" s="1029">
        <v>-25.4</v>
      </c>
      <c r="AF166" s="1029"/>
      <c r="AG166" s="1029">
        <v>31</v>
      </c>
      <c r="AH166" s="1029">
        <f>AG166*(списки!$C$56-AE166)</f>
        <v>1407.3999999999999</v>
      </c>
      <c r="AI166" s="1030">
        <v>-28.3</v>
      </c>
      <c r="AJ166" s="1030"/>
      <c r="AK166" s="1030">
        <v>31</v>
      </c>
      <c r="AL166" s="1030">
        <f>AK166*(списки!$C$56-AI166)</f>
        <v>1497.3</v>
      </c>
      <c r="AM166" s="1031">
        <v>-26.7</v>
      </c>
      <c r="AN166" s="1031"/>
      <c r="AO166" s="1031">
        <v>28</v>
      </c>
      <c r="AP166" s="1031">
        <f>AO166*(списки!$C$56-AM166)</f>
        <v>1307.6000000000001</v>
      </c>
      <c r="AQ166" s="1026">
        <v>-18.600000000000001</v>
      </c>
      <c r="AR166" s="1026"/>
      <c r="AS166" s="1026">
        <f t="shared" si="28"/>
        <v>31</v>
      </c>
      <c r="AT166" s="1026">
        <f>AS166*(списки!$C$56-AQ166)</f>
        <v>1196.6000000000001</v>
      </c>
      <c r="AU166" s="1032">
        <v>-11.1</v>
      </c>
      <c r="AV166" s="1032"/>
      <c r="AW166" s="1032">
        <f t="shared" si="29"/>
        <v>30</v>
      </c>
      <c r="AX166" s="1032">
        <f>AW166*(списки!$C$56-AU166)</f>
        <v>933</v>
      </c>
      <c r="AY166" s="1033">
        <v>-1.9</v>
      </c>
      <c r="AZ166" s="1033"/>
      <c r="BA166" s="1033">
        <f t="shared" si="30"/>
        <v>31</v>
      </c>
      <c r="BB166" s="1033">
        <f>BA166*(списки!$C$56-AY166)</f>
        <v>678.9</v>
      </c>
      <c r="BC166" s="1034">
        <v>9.1</v>
      </c>
      <c r="BD166" s="1034"/>
      <c r="BE166" s="1034">
        <f t="shared" si="31"/>
        <v>9.5</v>
      </c>
      <c r="BF166" s="1035">
        <f>BE166*(списки!$C$56-BC166)</f>
        <v>103.55</v>
      </c>
      <c r="BG166" s="1424">
        <v>8773.7696428571453</v>
      </c>
      <c r="BH166" s="1424">
        <v>8830.229761904764</v>
      </c>
    </row>
    <row r="167" spans="2:60" ht="15.75" customHeight="1" x14ac:dyDescent="0.25">
      <c r="B167" s="1014" t="s">
        <v>165</v>
      </c>
      <c r="C167" s="1014" t="s">
        <v>172</v>
      </c>
      <c r="D167" s="1015" t="str">
        <f t="shared" si="22"/>
        <v>Красноярский крайКанск</v>
      </c>
      <c r="E167" s="1016">
        <v>237</v>
      </c>
      <c r="F167" s="1017">
        <v>-8.8000000000000007</v>
      </c>
      <c r="G167" s="1017">
        <v>-42</v>
      </c>
      <c r="H167" s="1019">
        <v>7.3</v>
      </c>
      <c r="I167" s="1020">
        <f>E167*(списки!$C$56-F167)</f>
        <v>6825.6</v>
      </c>
      <c r="J167" s="1021" t="str">
        <f t="shared" si="23"/>
        <v>6000-7000</v>
      </c>
      <c r="K167" s="1022">
        <v>18.8</v>
      </c>
      <c r="L167" s="1022"/>
      <c r="M167" s="1023">
        <f t="shared" si="24"/>
        <v>0</v>
      </c>
      <c r="N167" s="1024">
        <f>M167*(списки!$C$56-K167)</f>
        <v>0</v>
      </c>
      <c r="O167" s="1025">
        <v>15.6</v>
      </c>
      <c r="P167" s="1025"/>
      <c r="Q167" s="1025">
        <f t="shared" si="25"/>
        <v>0</v>
      </c>
      <c r="R167" s="1025">
        <f>Q167*(списки!$C$56-O167)</f>
        <v>0</v>
      </c>
      <c r="S167" s="1026">
        <v>8.8000000000000007</v>
      </c>
      <c r="T167" s="1026"/>
      <c r="U167" s="1026">
        <f t="shared" si="32"/>
        <v>12.5</v>
      </c>
      <c r="V167" s="1026">
        <f>U167*(списки!$C$56-S167)</f>
        <v>140</v>
      </c>
      <c r="W167" s="1027">
        <v>0.4</v>
      </c>
      <c r="X167" s="1027"/>
      <c r="Y167" s="1027">
        <f t="shared" si="26"/>
        <v>31</v>
      </c>
      <c r="Z167" s="1027">
        <f>Y167*(списки!$C$56-W167)</f>
        <v>607.6</v>
      </c>
      <c r="AA167" s="1028">
        <v>-10.199999999999999</v>
      </c>
      <c r="AB167" s="1028"/>
      <c r="AC167" s="1028">
        <f t="shared" si="27"/>
        <v>30</v>
      </c>
      <c r="AD167" s="1028">
        <f>AC167*(списки!$C$56-AA167)</f>
        <v>906</v>
      </c>
      <c r="AE167" s="1029">
        <v>-18.600000000000001</v>
      </c>
      <c r="AF167" s="1029"/>
      <c r="AG167" s="1029">
        <v>31</v>
      </c>
      <c r="AH167" s="1029">
        <f>AG167*(списки!$C$56-AE167)</f>
        <v>1196.6000000000001</v>
      </c>
      <c r="AI167" s="1030">
        <v>-20.2</v>
      </c>
      <c r="AJ167" s="1030"/>
      <c r="AK167" s="1030">
        <v>31</v>
      </c>
      <c r="AL167" s="1030">
        <f>AK167*(списки!$C$56-AI167)</f>
        <v>1246.2</v>
      </c>
      <c r="AM167" s="1031">
        <v>-18.7</v>
      </c>
      <c r="AN167" s="1031"/>
      <c r="AO167" s="1031">
        <v>28</v>
      </c>
      <c r="AP167" s="1031">
        <f>AO167*(списки!$C$56-AM167)</f>
        <v>1083.6000000000001</v>
      </c>
      <c r="AQ167" s="1026">
        <v>-10.3</v>
      </c>
      <c r="AR167" s="1026"/>
      <c r="AS167" s="1026">
        <f t="shared" si="28"/>
        <v>31</v>
      </c>
      <c r="AT167" s="1026">
        <f>AS167*(списки!$C$56-AQ167)</f>
        <v>939.30000000000007</v>
      </c>
      <c r="AU167" s="1032">
        <v>0.7</v>
      </c>
      <c r="AV167" s="1032"/>
      <c r="AW167" s="1032">
        <f t="shared" si="29"/>
        <v>30</v>
      </c>
      <c r="AX167" s="1032">
        <f>AW167*(списки!$C$56-AU167)</f>
        <v>579</v>
      </c>
      <c r="AY167" s="1033">
        <v>8.6</v>
      </c>
      <c r="AZ167" s="1033"/>
      <c r="BA167" s="1033">
        <f t="shared" si="30"/>
        <v>12.5</v>
      </c>
      <c r="BB167" s="1033">
        <f>BA167*(списки!$C$56-AY167)</f>
        <v>142.5</v>
      </c>
      <c r="BC167" s="1034">
        <v>16</v>
      </c>
      <c r="BD167" s="1034"/>
      <c r="BE167" s="1034">
        <f t="shared" si="31"/>
        <v>0</v>
      </c>
      <c r="BF167" s="1035">
        <f>BE167*(списки!$C$56-BC167)</f>
        <v>0</v>
      </c>
      <c r="BG167" s="1424">
        <v>6986.8500000000013</v>
      </c>
      <c r="BH167" s="1424">
        <v>6009.5750000000053</v>
      </c>
    </row>
    <row r="168" spans="2:60" ht="15.75" customHeight="1" x14ac:dyDescent="0.25">
      <c r="B168" s="1038" t="s">
        <v>165</v>
      </c>
      <c r="C168" s="1038" t="s">
        <v>173</v>
      </c>
      <c r="D168" s="1015" t="str">
        <f t="shared" si="22"/>
        <v>Красноярский крайКежма</v>
      </c>
      <c r="E168" s="1016">
        <v>252</v>
      </c>
      <c r="F168" s="1017">
        <v>-12.3</v>
      </c>
      <c r="G168" s="1017">
        <v>-48</v>
      </c>
      <c r="H168" s="1019">
        <v>4.5</v>
      </c>
      <c r="I168" s="1020">
        <f>E168*(списки!$C$56-F168)</f>
        <v>8139.5999999999995</v>
      </c>
      <c r="J168" s="1021" t="str">
        <f t="shared" si="23"/>
        <v>8000-9000</v>
      </c>
      <c r="K168" s="1022">
        <v>18.100000000000001</v>
      </c>
      <c r="L168" s="1022"/>
      <c r="M168" s="1023">
        <f t="shared" si="24"/>
        <v>0</v>
      </c>
      <c r="N168" s="1024">
        <f>M168*(списки!$C$56-K168)</f>
        <v>0</v>
      </c>
      <c r="O168" s="1025">
        <v>14.2</v>
      </c>
      <c r="P168" s="1025"/>
      <c r="Q168" s="1025">
        <f t="shared" si="25"/>
        <v>0</v>
      </c>
      <c r="R168" s="1025">
        <f>Q168*(списки!$C$56-O168)</f>
        <v>0</v>
      </c>
      <c r="S168" s="1026">
        <v>7.1</v>
      </c>
      <c r="T168" s="1026"/>
      <c r="U168" s="1026">
        <f t="shared" si="32"/>
        <v>20</v>
      </c>
      <c r="V168" s="1026">
        <f>U168*(списки!$C$56-S168)</f>
        <v>258</v>
      </c>
      <c r="W168" s="1027">
        <v>-1.9</v>
      </c>
      <c r="X168" s="1027"/>
      <c r="Y168" s="1027">
        <f t="shared" si="26"/>
        <v>31</v>
      </c>
      <c r="Z168" s="1027">
        <f>Y168*(списки!$C$56-W168)</f>
        <v>678.9</v>
      </c>
      <c r="AA168" s="1028">
        <v>-15.8</v>
      </c>
      <c r="AB168" s="1028"/>
      <c r="AC168" s="1028">
        <f t="shared" si="27"/>
        <v>30</v>
      </c>
      <c r="AD168" s="1028">
        <f>AC168*(списки!$C$56-AA168)</f>
        <v>1074</v>
      </c>
      <c r="AE168" s="1029">
        <v>-25.7</v>
      </c>
      <c r="AF168" s="1029"/>
      <c r="AG168" s="1029">
        <v>31</v>
      </c>
      <c r="AH168" s="1029">
        <f>AG168*(списки!$C$56-AE168)</f>
        <v>1416.7</v>
      </c>
      <c r="AI168" s="1030">
        <v>-27.4</v>
      </c>
      <c r="AJ168" s="1030"/>
      <c r="AK168" s="1030">
        <v>31</v>
      </c>
      <c r="AL168" s="1030">
        <f>AK168*(списки!$C$56-AI168)</f>
        <v>1469.3999999999999</v>
      </c>
      <c r="AM168" s="1031">
        <v>-25.1</v>
      </c>
      <c r="AN168" s="1031"/>
      <c r="AO168" s="1031">
        <v>28</v>
      </c>
      <c r="AP168" s="1031">
        <f>AO168*(списки!$C$56-AM168)</f>
        <v>1262.8</v>
      </c>
      <c r="AQ168" s="1026">
        <v>-14.1</v>
      </c>
      <c r="AR168" s="1026"/>
      <c r="AS168" s="1026">
        <f t="shared" si="28"/>
        <v>31</v>
      </c>
      <c r="AT168" s="1026">
        <f>AS168*(списки!$C$56-AQ168)</f>
        <v>1057.1000000000001</v>
      </c>
      <c r="AU168" s="1032">
        <v>-2.2000000000000002</v>
      </c>
      <c r="AV168" s="1032"/>
      <c r="AW168" s="1032">
        <f t="shared" si="29"/>
        <v>30</v>
      </c>
      <c r="AX168" s="1032">
        <f>AW168*(списки!$C$56-AU168)</f>
        <v>666</v>
      </c>
      <c r="AY168" s="1033">
        <v>6.3</v>
      </c>
      <c r="AZ168" s="1033"/>
      <c r="BA168" s="1033">
        <f t="shared" si="30"/>
        <v>20</v>
      </c>
      <c r="BB168" s="1033">
        <f>BA168*(списки!$C$56-AY168)</f>
        <v>274</v>
      </c>
      <c r="BC168" s="1034">
        <v>14.9</v>
      </c>
      <c r="BD168" s="1034"/>
      <c r="BE168" s="1034">
        <f t="shared" si="31"/>
        <v>0</v>
      </c>
      <c r="BF168" s="1035">
        <f>BE168*(списки!$C$56-BC168)</f>
        <v>0</v>
      </c>
      <c r="BG168" s="1424" t="e">
        <v>#N/A</v>
      </c>
      <c r="BH168" s="1424" t="e">
        <v>#N/A</v>
      </c>
    </row>
    <row r="169" spans="2:60" ht="15.75" customHeight="1" x14ac:dyDescent="0.25">
      <c r="B169" s="1014" t="s">
        <v>165</v>
      </c>
      <c r="C169" s="1014" t="s">
        <v>104</v>
      </c>
      <c r="D169" s="1015" t="str">
        <f t="shared" si="22"/>
        <v>Красноярский крайКлючи</v>
      </c>
      <c r="E169" s="1016">
        <v>240</v>
      </c>
      <c r="F169" s="1017">
        <v>-7.4</v>
      </c>
      <c r="G169" s="1017">
        <v>-39</v>
      </c>
      <c r="H169" s="1019">
        <f>H170</f>
        <v>4.3</v>
      </c>
      <c r="I169" s="1020">
        <f>E169*(списки!$C$56-F169)</f>
        <v>6576</v>
      </c>
      <c r="J169" s="1021" t="str">
        <f t="shared" si="23"/>
        <v>6000-7000</v>
      </c>
      <c r="K169" s="1022">
        <v>18.100000000000001</v>
      </c>
      <c r="L169" s="1022"/>
      <c r="M169" s="1023">
        <f t="shared" si="24"/>
        <v>0</v>
      </c>
      <c r="N169" s="1024">
        <f>M169*(списки!$C$56-K169)</f>
        <v>0</v>
      </c>
      <c r="O169" s="1025">
        <v>14.8</v>
      </c>
      <c r="P169" s="1025"/>
      <c r="Q169" s="1025">
        <f t="shared" si="25"/>
        <v>0</v>
      </c>
      <c r="R169" s="1025">
        <f>Q169*(списки!$C$56-O169)</f>
        <v>0</v>
      </c>
      <c r="S169" s="1026">
        <v>8.5</v>
      </c>
      <c r="T169" s="1026"/>
      <c r="U169" s="1026">
        <f t="shared" si="32"/>
        <v>14</v>
      </c>
      <c r="V169" s="1026">
        <f>U169*(списки!$C$56-S169)</f>
        <v>161</v>
      </c>
      <c r="W169" s="1027">
        <v>0.7</v>
      </c>
      <c r="X169" s="1027"/>
      <c r="Y169" s="1027">
        <f t="shared" si="26"/>
        <v>31</v>
      </c>
      <c r="Z169" s="1027">
        <f>Y169*(списки!$C$56-W169)</f>
        <v>598.30000000000007</v>
      </c>
      <c r="AA169" s="1028">
        <v>-10.1</v>
      </c>
      <c r="AB169" s="1028"/>
      <c r="AC169" s="1028">
        <f t="shared" si="27"/>
        <v>30</v>
      </c>
      <c r="AD169" s="1028">
        <f>AC169*(списки!$C$56-AA169)</f>
        <v>903</v>
      </c>
      <c r="AE169" s="1029">
        <v>-16.899999999999999</v>
      </c>
      <c r="AF169" s="1029"/>
      <c r="AG169" s="1029">
        <v>31</v>
      </c>
      <c r="AH169" s="1029">
        <f>AG169*(списки!$C$56-AE169)</f>
        <v>1143.8999999999999</v>
      </c>
      <c r="AI169" s="1030">
        <v>-17.7</v>
      </c>
      <c r="AJ169" s="1030"/>
      <c r="AK169" s="1030">
        <v>31</v>
      </c>
      <c r="AL169" s="1030">
        <f>AK169*(списки!$C$56-AI169)</f>
        <v>1168.7</v>
      </c>
      <c r="AM169" s="1031">
        <v>-15.6</v>
      </c>
      <c r="AN169" s="1031"/>
      <c r="AO169" s="1031">
        <v>28</v>
      </c>
      <c r="AP169" s="1031">
        <f>AO169*(списки!$C$56-AM169)</f>
        <v>996.80000000000007</v>
      </c>
      <c r="AQ169" s="1026">
        <v>-8</v>
      </c>
      <c r="AR169" s="1026"/>
      <c r="AS169" s="1026">
        <f t="shared" si="28"/>
        <v>31</v>
      </c>
      <c r="AT169" s="1026">
        <f>AS169*(списки!$C$56-AQ169)</f>
        <v>868</v>
      </c>
      <c r="AU169" s="1032">
        <v>0.8</v>
      </c>
      <c r="AV169" s="1032"/>
      <c r="AW169" s="1032">
        <f t="shared" si="29"/>
        <v>30</v>
      </c>
      <c r="AX169" s="1032">
        <f>AW169*(списки!$C$56-AU169)</f>
        <v>576</v>
      </c>
      <c r="AY169" s="1033">
        <v>8.1999999999999993</v>
      </c>
      <c r="AZ169" s="1033"/>
      <c r="BA169" s="1033">
        <f t="shared" si="30"/>
        <v>14</v>
      </c>
      <c r="BB169" s="1033">
        <f>BA169*(списки!$C$56-AY169)</f>
        <v>165.20000000000002</v>
      </c>
      <c r="BC169" s="1034">
        <v>15.6</v>
      </c>
      <c r="BD169" s="1034"/>
      <c r="BE169" s="1034">
        <f t="shared" si="31"/>
        <v>0</v>
      </c>
      <c r="BF169" s="1035">
        <f>BE169*(списки!$C$56-BC169)</f>
        <v>0</v>
      </c>
      <c r="BG169" s="1424">
        <v>6598.2876190476236</v>
      </c>
      <c r="BH169" s="1424">
        <v>5702.4946428571438</v>
      </c>
    </row>
    <row r="170" spans="2:60" ht="15.75" customHeight="1" x14ac:dyDescent="0.25">
      <c r="B170" s="1038" t="s">
        <v>165</v>
      </c>
      <c r="C170" s="1038" t="s">
        <v>174</v>
      </c>
      <c r="D170" s="1015" t="str">
        <f t="shared" si="22"/>
        <v>Красноярский крайКрасноярск</v>
      </c>
      <c r="E170" s="1016">
        <v>233</v>
      </c>
      <c r="F170" s="1017">
        <v>-6.7</v>
      </c>
      <c r="G170" s="1017">
        <v>-37</v>
      </c>
      <c r="H170" s="1019">
        <v>4.3</v>
      </c>
      <c r="I170" s="1020">
        <f>E170*(списки!$C$56-F170)</f>
        <v>6221.0999999999995</v>
      </c>
      <c r="J170" s="1021" t="str">
        <f t="shared" si="23"/>
        <v>6000-7000</v>
      </c>
      <c r="K170" s="1022">
        <v>18.7</v>
      </c>
      <c r="L170" s="1022"/>
      <c r="M170" s="1023">
        <f t="shared" si="24"/>
        <v>0</v>
      </c>
      <c r="N170" s="1024">
        <f>M170*(списки!$C$56-K170)</f>
        <v>0</v>
      </c>
      <c r="O170" s="1025">
        <v>15.4</v>
      </c>
      <c r="P170" s="1025"/>
      <c r="Q170" s="1025">
        <f t="shared" si="25"/>
        <v>0</v>
      </c>
      <c r="R170" s="1025">
        <f>Q170*(списки!$C$56-O170)</f>
        <v>0</v>
      </c>
      <c r="S170" s="1026">
        <v>8.9</v>
      </c>
      <c r="T170" s="1026"/>
      <c r="U170" s="1026">
        <f t="shared" si="32"/>
        <v>10.5</v>
      </c>
      <c r="V170" s="1026">
        <f>U170*(списки!$C$56-S170)</f>
        <v>116.55</v>
      </c>
      <c r="W170" s="1027">
        <v>1.5</v>
      </c>
      <c r="X170" s="1027"/>
      <c r="Y170" s="1027">
        <f t="shared" si="26"/>
        <v>31</v>
      </c>
      <c r="Z170" s="1027">
        <f>Y170*(списки!$C$56-W170)</f>
        <v>573.5</v>
      </c>
      <c r="AA170" s="1028">
        <v>-7.5</v>
      </c>
      <c r="AB170" s="1028"/>
      <c r="AC170" s="1028">
        <f t="shared" si="27"/>
        <v>30</v>
      </c>
      <c r="AD170" s="1028">
        <f>AC170*(списки!$C$56-AA170)</f>
        <v>825</v>
      </c>
      <c r="AE170" s="1029">
        <v>-13.7</v>
      </c>
      <c r="AF170" s="1029"/>
      <c r="AG170" s="1029">
        <v>31</v>
      </c>
      <c r="AH170" s="1029">
        <f>AG170*(списки!$C$56-AE170)</f>
        <v>1044.7</v>
      </c>
      <c r="AI170" s="1030">
        <v>-16</v>
      </c>
      <c r="AJ170" s="1030"/>
      <c r="AK170" s="1030">
        <v>31</v>
      </c>
      <c r="AL170" s="1030">
        <f>AK170*(списки!$C$56-AI170)</f>
        <v>1116</v>
      </c>
      <c r="AM170" s="1031">
        <v>-14</v>
      </c>
      <c r="AN170" s="1031"/>
      <c r="AO170" s="1031">
        <v>28</v>
      </c>
      <c r="AP170" s="1031">
        <f>AO170*(списки!$C$56-AM170)</f>
        <v>952</v>
      </c>
      <c r="AQ170" s="1026">
        <v>-6.3</v>
      </c>
      <c r="AR170" s="1026"/>
      <c r="AS170" s="1026">
        <f t="shared" si="28"/>
        <v>31</v>
      </c>
      <c r="AT170" s="1026">
        <f>AS170*(списки!$C$56-AQ170)</f>
        <v>815.30000000000007</v>
      </c>
      <c r="AU170" s="1032">
        <v>1.9</v>
      </c>
      <c r="AV170" s="1032"/>
      <c r="AW170" s="1032">
        <f t="shared" si="29"/>
        <v>30</v>
      </c>
      <c r="AX170" s="1032">
        <f>AW170*(списки!$C$56-AU170)</f>
        <v>543</v>
      </c>
      <c r="AY170" s="1033">
        <v>9.6999999999999993</v>
      </c>
      <c r="AZ170" s="1033"/>
      <c r="BA170" s="1033">
        <f t="shared" si="30"/>
        <v>10.5</v>
      </c>
      <c r="BB170" s="1033">
        <f>BA170*(списки!$C$56-AY170)</f>
        <v>108.15</v>
      </c>
      <c r="BC170" s="1034">
        <v>16</v>
      </c>
      <c r="BD170" s="1034"/>
      <c r="BE170" s="1034">
        <f t="shared" si="31"/>
        <v>0</v>
      </c>
      <c r="BF170" s="1035">
        <f>BE170*(списки!$C$56-BC170)</f>
        <v>0</v>
      </c>
      <c r="BG170" s="1424" t="e">
        <v>#N/A</v>
      </c>
      <c r="BH170" s="1424" t="e">
        <v>#N/A</v>
      </c>
    </row>
    <row r="171" spans="2:60" ht="15.75" customHeight="1" x14ac:dyDescent="0.25">
      <c r="B171" s="1014" t="s">
        <v>165</v>
      </c>
      <c r="C171" s="1014" t="s">
        <v>175</v>
      </c>
      <c r="D171" s="1015" t="str">
        <f t="shared" si="22"/>
        <v>Красноярский крайМинусинск</v>
      </c>
      <c r="E171" s="1016">
        <v>221</v>
      </c>
      <c r="F171" s="1017">
        <v>-7.9</v>
      </c>
      <c r="G171" s="1017">
        <v>-40</v>
      </c>
      <c r="H171" s="1019">
        <v>4.0999999999999996</v>
      </c>
      <c r="I171" s="1020">
        <f>E171*(списки!$C$56-F171)</f>
        <v>6165.9</v>
      </c>
      <c r="J171" s="1021" t="str">
        <f t="shared" si="23"/>
        <v>6000-7000</v>
      </c>
      <c r="K171" s="1022">
        <v>19.899999999999999</v>
      </c>
      <c r="L171" s="1022"/>
      <c r="M171" s="1023">
        <f t="shared" si="24"/>
        <v>0</v>
      </c>
      <c r="N171" s="1024">
        <f>M171*(списки!$C$56-K171)</f>
        <v>0</v>
      </c>
      <c r="O171" s="1025">
        <v>16.8</v>
      </c>
      <c r="P171" s="1025"/>
      <c r="Q171" s="1025">
        <f t="shared" si="25"/>
        <v>0</v>
      </c>
      <c r="R171" s="1025">
        <f>Q171*(списки!$C$56-O171)</f>
        <v>0</v>
      </c>
      <c r="S171" s="1026">
        <v>10</v>
      </c>
      <c r="T171" s="1026"/>
      <c r="U171" s="1026">
        <f t="shared" si="32"/>
        <v>4.5</v>
      </c>
      <c r="V171" s="1026">
        <f>U171*(списки!$C$56-S171)</f>
        <v>45</v>
      </c>
      <c r="W171" s="1027">
        <v>2.2000000000000002</v>
      </c>
      <c r="X171" s="1027"/>
      <c r="Y171" s="1027">
        <f t="shared" si="26"/>
        <v>31</v>
      </c>
      <c r="Z171" s="1027">
        <f>Y171*(списки!$C$56-W171)</f>
        <v>551.80000000000007</v>
      </c>
      <c r="AA171" s="1028">
        <v>-7.3</v>
      </c>
      <c r="AB171" s="1028"/>
      <c r="AC171" s="1028">
        <f t="shared" si="27"/>
        <v>30</v>
      </c>
      <c r="AD171" s="1028">
        <f>AC171*(списки!$C$56-AA171)</f>
        <v>819</v>
      </c>
      <c r="AE171" s="1029">
        <v>-15.4</v>
      </c>
      <c r="AF171" s="1029"/>
      <c r="AG171" s="1029">
        <v>31</v>
      </c>
      <c r="AH171" s="1029">
        <f>AG171*(списки!$C$56-AE171)</f>
        <v>1097.3999999999999</v>
      </c>
      <c r="AI171" s="1030">
        <v>-18.2</v>
      </c>
      <c r="AJ171" s="1030"/>
      <c r="AK171" s="1030">
        <v>31</v>
      </c>
      <c r="AL171" s="1030">
        <f>AK171*(списки!$C$56-AI171)</f>
        <v>1184.2</v>
      </c>
      <c r="AM171" s="1031">
        <v>-16</v>
      </c>
      <c r="AN171" s="1031"/>
      <c r="AO171" s="1031">
        <v>28</v>
      </c>
      <c r="AP171" s="1031">
        <f>AO171*(списки!$C$56-AM171)</f>
        <v>1008</v>
      </c>
      <c r="AQ171" s="1026">
        <v>-6.3</v>
      </c>
      <c r="AR171" s="1026"/>
      <c r="AS171" s="1026">
        <f t="shared" si="28"/>
        <v>31</v>
      </c>
      <c r="AT171" s="1026">
        <f>AS171*(списки!$C$56-AQ171)</f>
        <v>815.30000000000007</v>
      </c>
      <c r="AU171" s="1032">
        <v>3.9</v>
      </c>
      <c r="AV171" s="1032"/>
      <c r="AW171" s="1032">
        <f t="shared" si="29"/>
        <v>30</v>
      </c>
      <c r="AX171" s="1032">
        <f>AW171*(списки!$C$56-AU171)</f>
        <v>483.00000000000006</v>
      </c>
      <c r="AY171" s="1033">
        <v>11.4</v>
      </c>
      <c r="AZ171" s="1033"/>
      <c r="BA171" s="1033">
        <f t="shared" si="30"/>
        <v>4.5</v>
      </c>
      <c r="BB171" s="1033">
        <f>BA171*(списки!$C$56-AY171)</f>
        <v>38.699999999999996</v>
      </c>
      <c r="BC171" s="1034">
        <v>17.5</v>
      </c>
      <c r="BD171" s="1034"/>
      <c r="BE171" s="1034">
        <f t="shared" si="31"/>
        <v>0</v>
      </c>
      <c r="BF171" s="1035">
        <f>BE171*(списки!$C$56-BC171)</f>
        <v>0</v>
      </c>
      <c r="BG171" s="1424">
        <v>6339.9321428571411</v>
      </c>
      <c r="BH171" s="1424">
        <v>5402.4196428571404</v>
      </c>
    </row>
    <row r="172" spans="2:60" ht="15.75" customHeight="1" x14ac:dyDescent="0.25">
      <c r="B172" s="1038" t="s">
        <v>165</v>
      </c>
      <c r="C172" s="1038" t="s">
        <v>176</v>
      </c>
      <c r="D172" s="1015" t="str">
        <f t="shared" si="22"/>
        <v>Красноярский крайТаимба</v>
      </c>
      <c r="E172" s="1016">
        <v>264</v>
      </c>
      <c r="F172" s="1017">
        <v>-13.6</v>
      </c>
      <c r="G172" s="1017">
        <v>-51</v>
      </c>
      <c r="H172" s="1019">
        <f>H171</f>
        <v>4.0999999999999996</v>
      </c>
      <c r="I172" s="1020">
        <f>E172*(списки!$C$56-F172)</f>
        <v>8870.4</v>
      </c>
      <c r="J172" s="1021" t="str">
        <f t="shared" si="23"/>
        <v>8000-9000</v>
      </c>
      <c r="K172" s="1022">
        <v>16.8</v>
      </c>
      <c r="L172" s="1022"/>
      <c r="M172" s="1023">
        <f t="shared" si="24"/>
        <v>0</v>
      </c>
      <c r="N172" s="1024">
        <f>M172*(списки!$C$56-K172)</f>
        <v>0</v>
      </c>
      <c r="O172" s="1025">
        <v>12.7</v>
      </c>
      <c r="P172" s="1025"/>
      <c r="Q172" s="1025">
        <f t="shared" si="25"/>
        <v>0</v>
      </c>
      <c r="R172" s="1025">
        <f>Q172*(списки!$C$56-O172)</f>
        <v>0</v>
      </c>
      <c r="S172" s="1026">
        <v>5.3</v>
      </c>
      <c r="T172" s="1026"/>
      <c r="U172" s="1026">
        <f t="shared" si="32"/>
        <v>26</v>
      </c>
      <c r="V172" s="1026">
        <f>U172*(списки!$C$56-S172)</f>
        <v>382.2</v>
      </c>
      <c r="W172" s="1027">
        <v>-4.2</v>
      </c>
      <c r="X172" s="1027"/>
      <c r="Y172" s="1027">
        <f t="shared" si="26"/>
        <v>31</v>
      </c>
      <c r="Z172" s="1027">
        <f>Y172*(списки!$C$56-W172)</f>
        <v>750.19999999999993</v>
      </c>
      <c r="AA172" s="1028">
        <v>-20.100000000000001</v>
      </c>
      <c r="AB172" s="1028"/>
      <c r="AC172" s="1028">
        <f t="shared" si="27"/>
        <v>30</v>
      </c>
      <c r="AD172" s="1028">
        <f>AC172*(списки!$C$56-AA172)</f>
        <v>1203</v>
      </c>
      <c r="AE172" s="1029">
        <v>-29.1</v>
      </c>
      <c r="AF172" s="1029"/>
      <c r="AG172" s="1029">
        <v>31</v>
      </c>
      <c r="AH172" s="1029">
        <f>AG172*(списки!$C$56-AE172)</f>
        <v>1522.1000000000001</v>
      </c>
      <c r="AI172" s="1030">
        <v>-30.1</v>
      </c>
      <c r="AJ172" s="1030"/>
      <c r="AK172" s="1030">
        <v>31</v>
      </c>
      <c r="AL172" s="1030">
        <f>AK172*(списки!$C$56-AI172)</f>
        <v>1553.1000000000001</v>
      </c>
      <c r="AM172" s="1031">
        <v>-26.6</v>
      </c>
      <c r="AN172" s="1031"/>
      <c r="AO172" s="1031">
        <v>28</v>
      </c>
      <c r="AP172" s="1031">
        <f>AO172*(списки!$C$56-AM172)</f>
        <v>1304.8</v>
      </c>
      <c r="AQ172" s="1026">
        <v>-15.6</v>
      </c>
      <c r="AR172" s="1026"/>
      <c r="AS172" s="1026">
        <f t="shared" si="28"/>
        <v>31</v>
      </c>
      <c r="AT172" s="1026">
        <f>AS172*(списки!$C$56-AQ172)</f>
        <v>1103.6000000000001</v>
      </c>
      <c r="AU172" s="1032">
        <v>-3.4</v>
      </c>
      <c r="AV172" s="1032"/>
      <c r="AW172" s="1032">
        <f t="shared" si="29"/>
        <v>30</v>
      </c>
      <c r="AX172" s="1032">
        <f>AW172*(списки!$C$56-AU172)</f>
        <v>702</v>
      </c>
      <c r="AY172" s="1033">
        <v>5.0999999999999996</v>
      </c>
      <c r="AZ172" s="1033"/>
      <c r="BA172" s="1033">
        <f t="shared" si="30"/>
        <v>26</v>
      </c>
      <c r="BB172" s="1033">
        <f>BA172*(списки!$C$56-AY172)</f>
        <v>387.40000000000003</v>
      </c>
      <c r="BC172" s="1034">
        <v>13.4</v>
      </c>
      <c r="BD172" s="1034"/>
      <c r="BE172" s="1034">
        <f t="shared" si="31"/>
        <v>0</v>
      </c>
      <c r="BF172" s="1035">
        <f>BE172*(списки!$C$56-BC172)</f>
        <v>0</v>
      </c>
      <c r="BG172" s="1424">
        <v>8745.3828571428585</v>
      </c>
      <c r="BH172" s="1424">
        <v>7966.7510714285763</v>
      </c>
    </row>
    <row r="173" spans="2:60" ht="15.75" customHeight="1" x14ac:dyDescent="0.25">
      <c r="B173" s="1014" t="s">
        <v>165</v>
      </c>
      <c r="C173" s="1014" t="s">
        <v>140</v>
      </c>
      <c r="D173" s="1015" t="str">
        <f t="shared" si="22"/>
        <v>Красноярский крайТроицкое</v>
      </c>
      <c r="E173" s="1016">
        <v>251</v>
      </c>
      <c r="F173" s="1017">
        <v>-9.8000000000000007</v>
      </c>
      <c r="G173" s="1017">
        <v>-47</v>
      </c>
      <c r="H173" s="1019">
        <f>H171</f>
        <v>4.0999999999999996</v>
      </c>
      <c r="I173" s="1020">
        <f>E173*(списки!$C$56-F173)</f>
        <v>7479.8</v>
      </c>
      <c r="J173" s="1021" t="str">
        <f t="shared" si="23"/>
        <v>7000-8000</v>
      </c>
      <c r="K173" s="1022">
        <v>17.5</v>
      </c>
      <c r="L173" s="1022"/>
      <c r="M173" s="1023">
        <f t="shared" si="24"/>
        <v>0</v>
      </c>
      <c r="N173" s="1024">
        <f>M173*(списки!$C$56-K173)</f>
        <v>0</v>
      </c>
      <c r="O173" s="1025">
        <v>14</v>
      </c>
      <c r="P173" s="1025"/>
      <c r="Q173" s="1025">
        <f t="shared" si="25"/>
        <v>0</v>
      </c>
      <c r="R173" s="1025">
        <f>Q173*(списки!$C$56-O173)</f>
        <v>0</v>
      </c>
      <c r="S173" s="1026">
        <v>7</v>
      </c>
      <c r="T173" s="1026"/>
      <c r="U173" s="1026">
        <f t="shared" si="32"/>
        <v>19.5</v>
      </c>
      <c r="V173" s="1026">
        <f>U173*(списки!$C$56-S173)</f>
        <v>253.5</v>
      </c>
      <c r="W173" s="1027">
        <v>-1</v>
      </c>
      <c r="X173" s="1027"/>
      <c r="Y173" s="1027">
        <f t="shared" si="26"/>
        <v>31</v>
      </c>
      <c r="Z173" s="1027">
        <f>Y173*(списки!$C$56-W173)</f>
        <v>651</v>
      </c>
      <c r="AA173" s="1028">
        <v>-12.5</v>
      </c>
      <c r="AB173" s="1028"/>
      <c r="AC173" s="1028">
        <f t="shared" si="27"/>
        <v>30</v>
      </c>
      <c r="AD173" s="1028">
        <f>AC173*(списки!$C$56-AA173)</f>
        <v>975</v>
      </c>
      <c r="AE173" s="1029">
        <v>-21.9</v>
      </c>
      <c r="AF173" s="1029"/>
      <c r="AG173" s="1029">
        <v>31</v>
      </c>
      <c r="AH173" s="1029">
        <f>AG173*(списки!$C$56-AE173)</f>
        <v>1298.8999999999999</v>
      </c>
      <c r="AI173" s="1030">
        <v>-22.8</v>
      </c>
      <c r="AJ173" s="1030"/>
      <c r="AK173" s="1030">
        <v>31</v>
      </c>
      <c r="AL173" s="1030">
        <f>AK173*(списки!$C$56-AI173)</f>
        <v>1326.8</v>
      </c>
      <c r="AM173" s="1031">
        <v>-20.3</v>
      </c>
      <c r="AN173" s="1031"/>
      <c r="AO173" s="1031">
        <v>28</v>
      </c>
      <c r="AP173" s="1031">
        <f>AO173*(списки!$C$56-AM173)</f>
        <v>1128.3999999999999</v>
      </c>
      <c r="AQ173" s="1026">
        <v>-11.5</v>
      </c>
      <c r="AR173" s="1026"/>
      <c r="AS173" s="1026">
        <f t="shared" si="28"/>
        <v>31</v>
      </c>
      <c r="AT173" s="1026">
        <f>AS173*(списки!$C$56-AQ173)</f>
        <v>976.5</v>
      </c>
      <c r="AU173" s="1032">
        <v>-0.8</v>
      </c>
      <c r="AV173" s="1032"/>
      <c r="AW173" s="1032">
        <f t="shared" si="29"/>
        <v>30</v>
      </c>
      <c r="AX173" s="1032">
        <f>AW173*(списки!$C$56-AU173)</f>
        <v>624</v>
      </c>
      <c r="AY173" s="1033">
        <v>6.9</v>
      </c>
      <c r="AZ173" s="1033"/>
      <c r="BA173" s="1033">
        <f t="shared" si="30"/>
        <v>19.5</v>
      </c>
      <c r="BB173" s="1033">
        <f>BA173*(списки!$C$56-AY173)</f>
        <v>255.45</v>
      </c>
      <c r="BC173" s="1034">
        <v>14.5</v>
      </c>
      <c r="BD173" s="1034"/>
      <c r="BE173" s="1034">
        <f t="shared" si="31"/>
        <v>0</v>
      </c>
      <c r="BF173" s="1035">
        <f>BE173*(списки!$C$56-BC173)</f>
        <v>0</v>
      </c>
      <c r="BG173" s="1424">
        <v>6679.8571428571422</v>
      </c>
      <c r="BH173" s="1424">
        <v>5672.2535714285723</v>
      </c>
    </row>
    <row r="174" spans="2:60" ht="15.75" customHeight="1" x14ac:dyDescent="0.25">
      <c r="B174" s="1038" t="s">
        <v>165</v>
      </c>
      <c r="C174" s="1038" t="s">
        <v>663</v>
      </c>
      <c r="D174" s="1015" t="str">
        <f t="shared" si="22"/>
        <v>Красноярский крайТура</v>
      </c>
      <c r="E174" s="1016">
        <v>270</v>
      </c>
      <c r="F174" s="1017">
        <v>-17.2</v>
      </c>
      <c r="G174" s="1017">
        <v>-53</v>
      </c>
      <c r="H174" s="1019">
        <v>1.9</v>
      </c>
      <c r="I174" s="1020">
        <f>E174*(списки!$C$56-F174)</f>
        <v>10044</v>
      </c>
      <c r="J174" s="1021" t="str">
        <f t="shared" si="23"/>
        <v>10000-11000</v>
      </c>
      <c r="K174" s="1022">
        <v>16.899999999999999</v>
      </c>
      <c r="L174" s="1022"/>
      <c r="M174" s="1023">
        <f t="shared" si="24"/>
        <v>0</v>
      </c>
      <c r="N174" s="1024">
        <f>M174*(списки!$C$56-K174)</f>
        <v>0</v>
      </c>
      <c r="O174" s="1025">
        <v>12.7</v>
      </c>
      <c r="P174" s="1025"/>
      <c r="Q174" s="1025">
        <f t="shared" si="25"/>
        <v>0</v>
      </c>
      <c r="R174" s="1025">
        <f>Q174*(списки!$C$56-O174)</f>
        <v>0</v>
      </c>
      <c r="S174" s="1026">
        <v>4.8</v>
      </c>
      <c r="T174" s="1026"/>
      <c r="U174" s="1026">
        <f t="shared" si="32"/>
        <v>29</v>
      </c>
      <c r="V174" s="1026">
        <f>U174*(списки!$C$56-S174)</f>
        <v>440.79999999999995</v>
      </c>
      <c r="W174" s="1027">
        <v>-7</v>
      </c>
      <c r="X174" s="1027"/>
      <c r="Y174" s="1027">
        <f t="shared" si="26"/>
        <v>31</v>
      </c>
      <c r="Z174" s="1027">
        <f>Y174*(списки!$C$56-W174)</f>
        <v>837</v>
      </c>
      <c r="AA174" s="1028">
        <v>-24.3</v>
      </c>
      <c r="AB174" s="1028"/>
      <c r="AC174" s="1028">
        <f t="shared" si="27"/>
        <v>30</v>
      </c>
      <c r="AD174" s="1028">
        <f>AC174*(списки!$C$56-AA174)</f>
        <v>1329</v>
      </c>
      <c r="AE174" s="1029">
        <v>-32.4</v>
      </c>
      <c r="AF174" s="1029"/>
      <c r="AG174" s="1029">
        <v>31</v>
      </c>
      <c r="AH174" s="1029">
        <f>AG174*(списки!$C$56-AE174)</f>
        <v>1624.3999999999999</v>
      </c>
      <c r="AI174" s="1030">
        <v>-35.700000000000003</v>
      </c>
      <c r="AJ174" s="1030"/>
      <c r="AK174" s="1030">
        <v>31</v>
      </c>
      <c r="AL174" s="1030">
        <f>AK174*(списки!$C$56-AI174)</f>
        <v>1726.7</v>
      </c>
      <c r="AM174" s="1031">
        <v>-31.8</v>
      </c>
      <c r="AN174" s="1031"/>
      <c r="AO174" s="1031">
        <v>28</v>
      </c>
      <c r="AP174" s="1031">
        <f>AO174*(списки!$C$56-AM174)</f>
        <v>1450.3999999999999</v>
      </c>
      <c r="AQ174" s="1026">
        <v>-18.3</v>
      </c>
      <c r="AR174" s="1026"/>
      <c r="AS174" s="1026">
        <f t="shared" si="28"/>
        <v>31</v>
      </c>
      <c r="AT174" s="1026">
        <f>AS174*(списки!$C$56-AQ174)</f>
        <v>1187.3</v>
      </c>
      <c r="AU174" s="1032">
        <v>-6.8</v>
      </c>
      <c r="AV174" s="1032"/>
      <c r="AW174" s="1032">
        <f t="shared" si="29"/>
        <v>30</v>
      </c>
      <c r="AX174" s="1032">
        <f>AW174*(списки!$C$56-AU174)</f>
        <v>804</v>
      </c>
      <c r="AY174" s="1033">
        <v>3.3</v>
      </c>
      <c r="AZ174" s="1033"/>
      <c r="BA174" s="1033">
        <f t="shared" si="30"/>
        <v>29</v>
      </c>
      <c r="BB174" s="1033">
        <f>BA174*(списки!$C$56-AY174)</f>
        <v>484.29999999999995</v>
      </c>
      <c r="BC174" s="1034">
        <v>12.8</v>
      </c>
      <c r="BD174" s="1034"/>
      <c r="BE174" s="1034">
        <f t="shared" si="31"/>
        <v>0</v>
      </c>
      <c r="BF174" s="1035">
        <f>BE174*(списки!$C$56-BC174)</f>
        <v>0</v>
      </c>
      <c r="BG174" s="1424">
        <v>9166.3250000000025</v>
      </c>
      <c r="BH174" s="1424">
        <v>9184.6285714285714</v>
      </c>
    </row>
    <row r="175" spans="2:60" ht="15.75" customHeight="1" x14ac:dyDescent="0.25">
      <c r="B175" s="1014" t="s">
        <v>165</v>
      </c>
      <c r="C175" s="1014" t="s">
        <v>177</v>
      </c>
      <c r="D175" s="1015" t="str">
        <f>CONCATENATE(B175,C175)</f>
        <v>Красноярский крайТуруханск</v>
      </c>
      <c r="E175" s="1016">
        <v>274</v>
      </c>
      <c r="F175" s="1017">
        <v>-13.3</v>
      </c>
      <c r="G175" s="1017">
        <v>-49</v>
      </c>
      <c r="H175" s="1019">
        <v>5.2</v>
      </c>
      <c r="I175" s="1020">
        <f>E175*(списки!$C$56-F175)</f>
        <v>9124.1999999999989</v>
      </c>
      <c r="J175" s="1021" t="str">
        <f t="shared" si="23"/>
        <v>9000-10000</v>
      </c>
      <c r="K175" s="1022">
        <v>16.5</v>
      </c>
      <c r="L175" s="1022"/>
      <c r="M175" s="1023">
        <f t="shared" si="24"/>
        <v>0</v>
      </c>
      <c r="N175" s="1024">
        <f>M175*(списки!$C$56-K175)</f>
        <v>0</v>
      </c>
      <c r="O175" s="1025">
        <v>12.7</v>
      </c>
      <c r="P175" s="1025"/>
      <c r="Q175" s="1025">
        <f t="shared" si="25"/>
        <v>0.5</v>
      </c>
      <c r="R175" s="1025">
        <f>Q175*(списки!$C$56-O175)</f>
        <v>3.6500000000000004</v>
      </c>
      <c r="S175" s="1026">
        <v>5.5</v>
      </c>
      <c r="T175" s="1026"/>
      <c r="U175" s="1026">
        <f t="shared" si="32"/>
        <v>30</v>
      </c>
      <c r="V175" s="1026">
        <f>U175*(списки!$C$56-S175)</f>
        <v>435</v>
      </c>
      <c r="W175" s="1027">
        <v>-5.7</v>
      </c>
      <c r="X175" s="1027"/>
      <c r="Y175" s="1027">
        <f t="shared" si="26"/>
        <v>31</v>
      </c>
      <c r="Z175" s="1027">
        <f>Y175*(списки!$C$56-W175)</f>
        <v>796.69999999999993</v>
      </c>
      <c r="AA175" s="1028">
        <v>-18.600000000000001</v>
      </c>
      <c r="AB175" s="1028"/>
      <c r="AC175" s="1028">
        <f t="shared" si="27"/>
        <v>30</v>
      </c>
      <c r="AD175" s="1028">
        <f>AC175*(списки!$C$56-AA175)</f>
        <v>1158</v>
      </c>
      <c r="AE175" s="1029">
        <v>-23.9</v>
      </c>
      <c r="AF175" s="1029"/>
      <c r="AG175" s="1029">
        <v>31</v>
      </c>
      <c r="AH175" s="1029">
        <f>AG175*(списки!$C$56-AE175)</f>
        <v>1360.8999999999999</v>
      </c>
      <c r="AI175" s="1030">
        <v>-26.5</v>
      </c>
      <c r="AJ175" s="1030"/>
      <c r="AK175" s="1030">
        <v>31</v>
      </c>
      <c r="AL175" s="1030">
        <f>AK175*(списки!$C$56-AI175)</f>
        <v>1441.5</v>
      </c>
      <c r="AM175" s="1031">
        <v>-24.2</v>
      </c>
      <c r="AN175" s="1031"/>
      <c r="AO175" s="1031">
        <v>28</v>
      </c>
      <c r="AP175" s="1031">
        <f>AO175*(списки!$C$56-AM175)</f>
        <v>1237.6000000000001</v>
      </c>
      <c r="AQ175" s="1026">
        <v>-15.8</v>
      </c>
      <c r="AR175" s="1026"/>
      <c r="AS175" s="1026">
        <f t="shared" si="28"/>
        <v>31</v>
      </c>
      <c r="AT175" s="1026">
        <f>AS175*(списки!$C$56-AQ175)</f>
        <v>1109.8</v>
      </c>
      <c r="AU175" s="1032">
        <v>-8.1</v>
      </c>
      <c r="AV175" s="1032"/>
      <c r="AW175" s="1032">
        <f t="shared" si="29"/>
        <v>30</v>
      </c>
      <c r="AX175" s="1032">
        <f>AW175*(списки!$C$56-AU175)</f>
        <v>843</v>
      </c>
      <c r="AY175" s="1033">
        <v>0.7</v>
      </c>
      <c r="AZ175" s="1033"/>
      <c r="BA175" s="1033">
        <f t="shared" si="30"/>
        <v>31</v>
      </c>
      <c r="BB175" s="1033">
        <f>BA175*(списки!$C$56-AY175)</f>
        <v>598.30000000000007</v>
      </c>
      <c r="BC175" s="1034">
        <v>10.9</v>
      </c>
      <c r="BD175" s="1034"/>
      <c r="BE175" s="1034">
        <f t="shared" si="31"/>
        <v>0.5</v>
      </c>
      <c r="BF175" s="1035">
        <f>BE175*(списки!$C$56-BC175)</f>
        <v>4.55</v>
      </c>
      <c r="BG175" s="1424">
        <v>8223.182142857142</v>
      </c>
      <c r="BH175" s="1424">
        <v>8113.0249999999996</v>
      </c>
    </row>
    <row r="176" spans="2:60" ht="15.75" customHeight="1" x14ac:dyDescent="0.25">
      <c r="B176" s="1038" t="s">
        <v>165</v>
      </c>
      <c r="C176" s="1038" t="s">
        <v>664</v>
      </c>
      <c r="D176" s="1015" t="str">
        <f>CONCATENATE(B176,C176)</f>
        <v>Красноярский крайХатанга</v>
      </c>
      <c r="E176" s="1016">
        <v>304</v>
      </c>
      <c r="F176" s="1017">
        <v>-18</v>
      </c>
      <c r="G176" s="1017">
        <v>-49</v>
      </c>
      <c r="H176" s="1019">
        <v>5.2</v>
      </c>
      <c r="I176" s="1020">
        <f>E176*(списки!$C$56-F176)</f>
        <v>11552</v>
      </c>
      <c r="J176" s="1021" t="str">
        <f t="shared" si="23"/>
        <v>11000-12000</v>
      </c>
      <c r="K176" s="1022">
        <v>12.6</v>
      </c>
      <c r="L176" s="1022"/>
      <c r="M176" s="1023">
        <f t="shared" si="24"/>
        <v>0</v>
      </c>
      <c r="N176" s="1024">
        <f>M176*(списки!$C$56-K176)</f>
        <v>0</v>
      </c>
      <c r="O176" s="1025">
        <v>9.3000000000000007</v>
      </c>
      <c r="P176" s="1025"/>
      <c r="Q176" s="1025">
        <f t="shared" si="25"/>
        <v>15.5</v>
      </c>
      <c r="R176" s="1025">
        <f>Q176*(списки!$C$56-O176)</f>
        <v>165.85</v>
      </c>
      <c r="S176" s="1026">
        <v>1.6</v>
      </c>
      <c r="T176" s="1026"/>
      <c r="U176" s="1026">
        <f t="shared" si="32"/>
        <v>30</v>
      </c>
      <c r="V176" s="1026">
        <f>U176*(списки!$C$56-S176)</f>
        <v>552</v>
      </c>
      <c r="W176" s="1027">
        <v>-12.3</v>
      </c>
      <c r="X176" s="1027"/>
      <c r="Y176" s="1027">
        <f t="shared" si="26"/>
        <v>31</v>
      </c>
      <c r="Z176" s="1027">
        <f>Y176*(списки!$C$56-W176)</f>
        <v>1001.3</v>
      </c>
      <c r="AA176" s="1028">
        <v>-25.5</v>
      </c>
      <c r="AB176" s="1028"/>
      <c r="AC176" s="1028">
        <f t="shared" si="27"/>
        <v>30</v>
      </c>
      <c r="AD176" s="1028">
        <f>AC176*(списки!$C$56-AA176)</f>
        <v>1365</v>
      </c>
      <c r="AE176" s="1029">
        <v>-29.3</v>
      </c>
      <c r="AF176" s="1029"/>
      <c r="AG176" s="1029">
        <v>31</v>
      </c>
      <c r="AH176" s="1029">
        <f>AG176*(списки!$C$56-AE176)</f>
        <v>1528.3</v>
      </c>
      <c r="AI176" s="1030">
        <v>-32.799999999999997</v>
      </c>
      <c r="AJ176" s="1030"/>
      <c r="AK176" s="1030">
        <v>31</v>
      </c>
      <c r="AL176" s="1030">
        <f>AK176*(списки!$C$56-AI176)</f>
        <v>1636.8</v>
      </c>
      <c r="AM176" s="1031">
        <v>-32.299999999999997</v>
      </c>
      <c r="AN176" s="1031"/>
      <c r="AO176" s="1031">
        <v>28</v>
      </c>
      <c r="AP176" s="1031">
        <f>AO176*(списки!$C$56-AM176)</f>
        <v>1464.3999999999999</v>
      </c>
      <c r="AQ176" s="1026">
        <v>-26.7</v>
      </c>
      <c r="AR176" s="1026"/>
      <c r="AS176" s="1026">
        <f t="shared" si="28"/>
        <v>31</v>
      </c>
      <c r="AT176" s="1026">
        <f>AS176*(списки!$C$56-AQ176)</f>
        <v>1447.7</v>
      </c>
      <c r="AU176" s="1032">
        <v>-17.5</v>
      </c>
      <c r="AV176" s="1032"/>
      <c r="AW176" s="1032">
        <f t="shared" si="29"/>
        <v>30</v>
      </c>
      <c r="AX176" s="1032">
        <f>AW176*(списки!$C$56-AU176)</f>
        <v>1125</v>
      </c>
      <c r="AY176" s="1033">
        <v>-6.8</v>
      </c>
      <c r="AZ176" s="1033"/>
      <c r="BA176" s="1033">
        <f t="shared" si="30"/>
        <v>31</v>
      </c>
      <c r="BB176" s="1033">
        <f>BA176*(списки!$C$56-AY176)</f>
        <v>830.80000000000007</v>
      </c>
      <c r="BC176" s="1034">
        <v>5.4</v>
      </c>
      <c r="BD176" s="1034"/>
      <c r="BE176" s="1034">
        <f t="shared" si="31"/>
        <v>15.5</v>
      </c>
      <c r="BF176" s="1035">
        <f>BE176*(списки!$C$56-BC176)</f>
        <v>226.29999999999998</v>
      </c>
      <c r="BG176" s="1424">
        <v>10631.052857142859</v>
      </c>
      <c r="BH176" s="1424">
        <v>10810.355952380951</v>
      </c>
    </row>
    <row r="177" spans="2:60" ht="15.75" customHeight="1" x14ac:dyDescent="0.25">
      <c r="B177" s="1014" t="s">
        <v>165</v>
      </c>
      <c r="C177" s="1014" t="s">
        <v>665</v>
      </c>
      <c r="D177" s="1015" t="str">
        <f>CONCATENATE(B177,C177)</f>
        <v xml:space="preserve">Красноярский крайЧелюскин, мыс </v>
      </c>
      <c r="E177" s="1016">
        <v>365</v>
      </c>
      <c r="F177" s="1017">
        <v>-14.7</v>
      </c>
      <c r="G177" s="1017">
        <v>-41</v>
      </c>
      <c r="H177" s="1019">
        <v>9.3000000000000007</v>
      </c>
      <c r="I177" s="1020">
        <f>E177*(списки!$C$56-F177)</f>
        <v>12665.500000000002</v>
      </c>
      <c r="J177" s="1021" t="str">
        <f t="shared" si="23"/>
        <v>12000-13000</v>
      </c>
      <c r="K177" s="1022">
        <v>1.5</v>
      </c>
      <c r="L177" s="1022"/>
      <c r="M177" s="1023">
        <f t="shared" si="24"/>
        <v>31</v>
      </c>
      <c r="N177" s="1024">
        <f>M177*(списки!$C$56-K177)</f>
        <v>573.5</v>
      </c>
      <c r="O177" s="1025">
        <v>0.7</v>
      </c>
      <c r="P177" s="1025"/>
      <c r="Q177" s="1025">
        <f t="shared" si="25"/>
        <v>31</v>
      </c>
      <c r="R177" s="1025">
        <f>Q177*(списки!$C$56-O177)</f>
        <v>598.30000000000007</v>
      </c>
      <c r="S177" s="1026">
        <v>-2.4</v>
      </c>
      <c r="T177" s="1026"/>
      <c r="U177" s="1026">
        <f t="shared" si="32"/>
        <v>30</v>
      </c>
      <c r="V177" s="1026">
        <f>U177*(списки!$C$56-S177)</f>
        <v>672</v>
      </c>
      <c r="W177" s="1027">
        <v>-11.5</v>
      </c>
      <c r="X177" s="1027"/>
      <c r="Y177" s="1027">
        <f t="shared" si="26"/>
        <v>31</v>
      </c>
      <c r="Z177" s="1027">
        <f>Y177*(списки!$C$56-W177)</f>
        <v>976.5</v>
      </c>
      <c r="AA177" s="1028">
        <v>-21.4</v>
      </c>
      <c r="AB177" s="1028"/>
      <c r="AC177" s="1028">
        <f t="shared" si="27"/>
        <v>30</v>
      </c>
      <c r="AD177" s="1028">
        <f>AC177*(списки!$C$56-AA177)</f>
        <v>1242</v>
      </c>
      <c r="AE177" s="1029">
        <v>-25.3</v>
      </c>
      <c r="AF177" s="1029"/>
      <c r="AG177" s="1029">
        <v>31</v>
      </c>
      <c r="AH177" s="1029">
        <f>AG177*(списки!$C$56-AE177)</f>
        <v>1404.3</v>
      </c>
      <c r="AI177" s="1030">
        <v>-28.5</v>
      </c>
      <c r="AJ177" s="1030"/>
      <c r="AK177" s="1030">
        <v>31</v>
      </c>
      <c r="AL177" s="1030">
        <f>AK177*(списки!$C$56-AI177)</f>
        <v>1503.5</v>
      </c>
      <c r="AM177" s="1031">
        <v>-28.6</v>
      </c>
      <c r="AN177" s="1031"/>
      <c r="AO177" s="1031">
        <v>28</v>
      </c>
      <c r="AP177" s="1031">
        <f>AO177*(списки!$C$56-AM177)</f>
        <v>1360.8</v>
      </c>
      <c r="AQ177" s="1026">
        <v>-28.2</v>
      </c>
      <c r="AR177" s="1026"/>
      <c r="AS177" s="1026">
        <f t="shared" si="28"/>
        <v>31</v>
      </c>
      <c r="AT177" s="1026">
        <f>AS177*(списки!$C$56-AQ177)</f>
        <v>1494.2</v>
      </c>
      <c r="AU177" s="1032">
        <v>-21</v>
      </c>
      <c r="AV177" s="1032"/>
      <c r="AW177" s="1032">
        <f t="shared" si="29"/>
        <v>30</v>
      </c>
      <c r="AX177" s="1032">
        <f>AW177*(списки!$C$56-AU177)</f>
        <v>1230</v>
      </c>
      <c r="AY177" s="1033">
        <v>-10.5</v>
      </c>
      <c r="AZ177" s="1033"/>
      <c r="BA177" s="1033">
        <f t="shared" si="30"/>
        <v>31</v>
      </c>
      <c r="BB177" s="1033">
        <f>BA177*(списки!$C$56-AY177)</f>
        <v>945.5</v>
      </c>
      <c r="BC177" s="1034">
        <v>-1.4</v>
      </c>
      <c r="BD177" s="1034"/>
      <c r="BE177" s="1034">
        <f t="shared" si="31"/>
        <v>30</v>
      </c>
      <c r="BF177" s="1035">
        <f>BE177*(списки!$C$56-BC177)</f>
        <v>642</v>
      </c>
      <c r="BG177" s="1424">
        <v>11024.548452380948</v>
      </c>
      <c r="BH177" s="1424">
        <v>11608.678571428572</v>
      </c>
    </row>
    <row r="178" spans="2:60" ht="15.75" customHeight="1" x14ac:dyDescent="0.25">
      <c r="B178" s="1038" t="s">
        <v>165</v>
      </c>
      <c r="C178" s="1038" t="s">
        <v>181</v>
      </c>
      <c r="D178" s="1015" t="str">
        <f>CONCATENATE(B178,C178)</f>
        <v>Красноярский крайЯрцево</v>
      </c>
      <c r="E178" s="1016">
        <v>254</v>
      </c>
      <c r="F178" s="1017">
        <v>-10.8</v>
      </c>
      <c r="G178" s="1017">
        <v>-47</v>
      </c>
      <c r="H178" s="1019">
        <v>4.7</v>
      </c>
      <c r="I178" s="1020">
        <f>E178*(списки!$C$56-F178)</f>
        <v>7823.2</v>
      </c>
      <c r="J178" s="1021" t="str">
        <f t="shared" si="23"/>
        <v>7000-8000</v>
      </c>
      <c r="K178" s="1022">
        <v>18.2</v>
      </c>
      <c r="L178" s="1022"/>
      <c r="M178" s="1023">
        <f t="shared" si="24"/>
        <v>0</v>
      </c>
      <c r="N178" s="1024">
        <f>M178*(списки!$C$56-K178)</f>
        <v>0</v>
      </c>
      <c r="O178" s="1025">
        <v>14</v>
      </c>
      <c r="P178" s="1025"/>
      <c r="Q178" s="1025">
        <f t="shared" si="25"/>
        <v>0</v>
      </c>
      <c r="R178" s="1025">
        <f>Q178*(списки!$C$56-O178)</f>
        <v>0</v>
      </c>
      <c r="S178" s="1026">
        <v>7.6</v>
      </c>
      <c r="T178" s="1026"/>
      <c r="U178" s="1026">
        <f t="shared" si="32"/>
        <v>21</v>
      </c>
      <c r="V178" s="1026">
        <f>U178*(списки!$C$56-S178)</f>
        <v>260.40000000000003</v>
      </c>
      <c r="W178" s="1027">
        <v>-1.8</v>
      </c>
      <c r="X178" s="1027"/>
      <c r="Y178" s="1027">
        <f t="shared" si="26"/>
        <v>31</v>
      </c>
      <c r="Z178" s="1027">
        <f>Y178*(списки!$C$56-W178)</f>
        <v>675.80000000000007</v>
      </c>
      <c r="AA178" s="1028">
        <v>-14.7</v>
      </c>
      <c r="AB178" s="1028"/>
      <c r="AC178" s="1028">
        <f t="shared" si="27"/>
        <v>30</v>
      </c>
      <c r="AD178" s="1028">
        <f>AC178*(списки!$C$56-AA178)</f>
        <v>1041</v>
      </c>
      <c r="AE178" s="1029">
        <v>-22.3</v>
      </c>
      <c r="AF178" s="1029"/>
      <c r="AG178" s="1029">
        <v>31</v>
      </c>
      <c r="AH178" s="1029">
        <f>AG178*(списки!$C$56-AE178)</f>
        <v>1311.3</v>
      </c>
      <c r="AI178" s="1030">
        <v>-23.6</v>
      </c>
      <c r="AJ178" s="1030"/>
      <c r="AK178" s="1030">
        <v>31</v>
      </c>
      <c r="AL178" s="1030">
        <f>AK178*(списки!$C$56-AI178)</f>
        <v>1351.6000000000001</v>
      </c>
      <c r="AM178" s="1031">
        <v>-21.5</v>
      </c>
      <c r="AN178" s="1031"/>
      <c r="AO178" s="1031">
        <v>28</v>
      </c>
      <c r="AP178" s="1031">
        <f>AO178*(списки!$C$56-AM178)</f>
        <v>1162</v>
      </c>
      <c r="AQ178" s="1026">
        <v>-12.9</v>
      </c>
      <c r="AR178" s="1026"/>
      <c r="AS178" s="1026">
        <f t="shared" si="28"/>
        <v>31</v>
      </c>
      <c r="AT178" s="1026">
        <f>AS178*(списки!$C$56-AQ178)</f>
        <v>1019.9</v>
      </c>
      <c r="AU178" s="1032">
        <v>-2.7</v>
      </c>
      <c r="AV178" s="1032"/>
      <c r="AW178" s="1032">
        <f t="shared" si="29"/>
        <v>30</v>
      </c>
      <c r="AX178" s="1032">
        <f>AW178*(списки!$C$56-AU178)</f>
        <v>681</v>
      </c>
      <c r="AY178" s="1033">
        <v>5.0999999999999996</v>
      </c>
      <c r="AZ178" s="1033"/>
      <c r="BA178" s="1033">
        <f t="shared" si="30"/>
        <v>21</v>
      </c>
      <c r="BB178" s="1033">
        <f>BA178*(списки!$C$56-AY178)</f>
        <v>312.90000000000003</v>
      </c>
      <c r="BC178" s="1034">
        <v>14.3</v>
      </c>
      <c r="BD178" s="1034"/>
      <c r="BE178" s="1034">
        <f t="shared" si="31"/>
        <v>0</v>
      </c>
      <c r="BF178" s="1035">
        <f>BE178*(списки!$C$56-BC178)</f>
        <v>0</v>
      </c>
      <c r="BG178" s="1424">
        <v>7583.0232142857121</v>
      </c>
      <c r="BH178" s="1424">
        <v>6945.708928571431</v>
      </c>
    </row>
    <row r="179" spans="2:60" ht="15.75" customHeight="1" x14ac:dyDescent="0.25">
      <c r="B179" s="1014" t="s">
        <v>182</v>
      </c>
      <c r="C179" s="1014" t="s">
        <v>183</v>
      </c>
      <c r="D179" s="1015" t="str">
        <f>CONCATENATE(B179,C179)</f>
        <v>Курганская областьКурган</v>
      </c>
      <c r="E179" s="1016">
        <v>212</v>
      </c>
      <c r="F179" s="1017">
        <v>-7.6</v>
      </c>
      <c r="G179" s="1017">
        <v>-36</v>
      </c>
      <c r="H179" s="1019">
        <v>5.6</v>
      </c>
      <c r="I179" s="1020">
        <f>E179*(списки!$C$56-F179)</f>
        <v>5851.2000000000007</v>
      </c>
      <c r="J179" s="1021" t="str">
        <f t="shared" si="23"/>
        <v>5000-6000</v>
      </c>
      <c r="K179" s="1022">
        <v>19.600000000000001</v>
      </c>
      <c r="L179" s="1022"/>
      <c r="M179" s="1023">
        <f t="shared" si="24"/>
        <v>0.5</v>
      </c>
      <c r="N179" s="1024">
        <f>M179*(списки!$C$56-K179)</f>
        <v>0.19999999999999929</v>
      </c>
      <c r="O179" s="1025">
        <v>16.7</v>
      </c>
      <c r="P179" s="1025"/>
      <c r="Q179" s="1025">
        <f t="shared" si="25"/>
        <v>0</v>
      </c>
      <c r="R179" s="1025">
        <f>Q179*(списки!$C$56-O179)</f>
        <v>0</v>
      </c>
      <c r="S179" s="1026">
        <v>10.8</v>
      </c>
      <c r="T179" s="1026"/>
      <c r="U179" s="1026">
        <f t="shared" si="32"/>
        <v>0</v>
      </c>
      <c r="V179" s="1026">
        <f>U179*(списки!$C$56-S179)</f>
        <v>0</v>
      </c>
      <c r="W179" s="1027">
        <v>3.2</v>
      </c>
      <c r="X179" s="1027"/>
      <c r="Y179" s="1027">
        <f t="shared" si="26"/>
        <v>30.5</v>
      </c>
      <c r="Z179" s="1027">
        <f>Y179*(списки!$C$56-W179)</f>
        <v>512.4</v>
      </c>
      <c r="AA179" s="1028">
        <v>-6.4</v>
      </c>
      <c r="AB179" s="1028"/>
      <c r="AC179" s="1028">
        <f t="shared" si="27"/>
        <v>30</v>
      </c>
      <c r="AD179" s="1028">
        <f>AC179*(списки!$C$56-AA179)</f>
        <v>792</v>
      </c>
      <c r="AE179" s="1029">
        <v>-13.4</v>
      </c>
      <c r="AF179" s="1029"/>
      <c r="AG179" s="1029">
        <v>31</v>
      </c>
      <c r="AH179" s="1029">
        <f>AG179*(списки!$C$56-AE179)</f>
        <v>1035.3999999999999</v>
      </c>
      <c r="AI179" s="1030">
        <v>-16.3</v>
      </c>
      <c r="AJ179" s="1030"/>
      <c r="AK179" s="1030">
        <v>31</v>
      </c>
      <c r="AL179" s="1030">
        <f>AK179*(списки!$C$56-AI179)</f>
        <v>1125.3</v>
      </c>
      <c r="AM179" s="1031">
        <v>-15</v>
      </c>
      <c r="AN179" s="1031"/>
      <c r="AO179" s="1031">
        <v>28</v>
      </c>
      <c r="AP179" s="1031">
        <f>AO179*(списки!$C$56-AM179)</f>
        <v>980</v>
      </c>
      <c r="AQ179" s="1026">
        <v>-6.9</v>
      </c>
      <c r="AR179" s="1026"/>
      <c r="AS179" s="1026">
        <f t="shared" si="28"/>
        <v>31</v>
      </c>
      <c r="AT179" s="1026">
        <f>AS179*(списки!$C$56-AQ179)</f>
        <v>833.9</v>
      </c>
      <c r="AU179" s="1032">
        <v>4.5999999999999996</v>
      </c>
      <c r="AV179" s="1032"/>
      <c r="AW179" s="1032">
        <f t="shared" si="29"/>
        <v>30</v>
      </c>
      <c r="AX179" s="1032">
        <f>AW179*(списки!$C$56-AU179)</f>
        <v>462</v>
      </c>
      <c r="AY179" s="1033">
        <v>12.5</v>
      </c>
      <c r="AZ179" s="1033"/>
      <c r="BA179" s="1033">
        <f t="shared" si="30"/>
        <v>0</v>
      </c>
      <c r="BB179" s="1033">
        <f>BA179*(списки!$C$56-AY179)</f>
        <v>0</v>
      </c>
      <c r="BC179" s="1034">
        <v>17.8</v>
      </c>
      <c r="BD179" s="1034"/>
      <c r="BE179" s="1034">
        <f t="shared" si="31"/>
        <v>0</v>
      </c>
      <c r="BF179" s="1035">
        <f>BE179*(списки!$C$56-BC179)</f>
        <v>0</v>
      </c>
      <c r="BG179" s="1424">
        <v>5465.3892857142873</v>
      </c>
      <c r="BH179" s="1424">
        <v>5519.7499999999991</v>
      </c>
    </row>
    <row r="180" spans="2:60" ht="15.75" customHeight="1" x14ac:dyDescent="0.25">
      <c r="B180" s="1038" t="s">
        <v>49</v>
      </c>
      <c r="C180" s="1038" t="s">
        <v>184</v>
      </c>
      <c r="D180" s="1015" t="str">
        <f t="shared" si="22"/>
        <v>Курская областьКурск</v>
      </c>
      <c r="E180" s="1016">
        <v>194</v>
      </c>
      <c r="F180" s="1017">
        <v>-2.2999999999999998</v>
      </c>
      <c r="G180" s="1017">
        <v>-24</v>
      </c>
      <c r="H180" s="1019">
        <v>3.9</v>
      </c>
      <c r="I180" s="1020">
        <f>E180*(списки!$C$56-F180)</f>
        <v>4326.2</v>
      </c>
      <c r="J180" s="1021" t="str">
        <f t="shared" si="23"/>
        <v>4000-5000</v>
      </c>
      <c r="K180" s="1022">
        <v>19</v>
      </c>
      <c r="L180" s="1022"/>
      <c r="M180" s="1023">
        <f t="shared" si="24"/>
        <v>0</v>
      </c>
      <c r="N180" s="1024">
        <f>M180*(списки!$C$56-K180)</f>
        <v>0</v>
      </c>
      <c r="O180" s="1025">
        <v>18.100000000000001</v>
      </c>
      <c r="P180" s="1025"/>
      <c r="Q180" s="1025">
        <f t="shared" si="25"/>
        <v>0</v>
      </c>
      <c r="R180" s="1025">
        <f>Q180*(списки!$C$56-O180)</f>
        <v>0</v>
      </c>
      <c r="S180" s="1026">
        <v>12.5</v>
      </c>
      <c r="T180" s="1026"/>
      <c r="U180" s="1026">
        <f t="shared" si="32"/>
        <v>0</v>
      </c>
      <c r="V180" s="1026">
        <f>U180*(списки!$C$56-S180)</f>
        <v>0</v>
      </c>
      <c r="W180" s="1027">
        <v>6.2</v>
      </c>
      <c r="X180" s="1027"/>
      <c r="Y180" s="1027">
        <f t="shared" si="26"/>
        <v>21.5</v>
      </c>
      <c r="Z180" s="1027">
        <f>Y180*(списки!$C$56-W180)</f>
        <v>296.7</v>
      </c>
      <c r="AA180" s="1028">
        <v>-0.5</v>
      </c>
      <c r="AB180" s="1028"/>
      <c r="AC180" s="1028">
        <f t="shared" si="27"/>
        <v>30</v>
      </c>
      <c r="AD180" s="1028">
        <f>AC180*(списки!$C$56-AA180)</f>
        <v>615</v>
      </c>
      <c r="AE180" s="1029">
        <v>-5.2</v>
      </c>
      <c r="AF180" s="1029"/>
      <c r="AG180" s="1029">
        <v>31</v>
      </c>
      <c r="AH180" s="1029">
        <f>AG180*(списки!$C$56-AE180)</f>
        <v>781.19999999999993</v>
      </c>
      <c r="AI180" s="1030">
        <v>-7.3</v>
      </c>
      <c r="AJ180" s="1030"/>
      <c r="AK180" s="1030">
        <v>31</v>
      </c>
      <c r="AL180" s="1030">
        <f>AK180*(списки!$C$56-AI180)</f>
        <v>846.30000000000007</v>
      </c>
      <c r="AM180" s="1031">
        <v>-6.9</v>
      </c>
      <c r="AN180" s="1031"/>
      <c r="AO180" s="1031">
        <v>28</v>
      </c>
      <c r="AP180" s="1031">
        <f>AO180*(списки!$C$56-AM180)</f>
        <v>753.19999999999993</v>
      </c>
      <c r="AQ180" s="1026">
        <v>-1.4</v>
      </c>
      <c r="AR180" s="1026"/>
      <c r="AS180" s="1026">
        <f t="shared" si="28"/>
        <v>31</v>
      </c>
      <c r="AT180" s="1026">
        <f>AS180*(списки!$C$56-AQ180)</f>
        <v>663.4</v>
      </c>
      <c r="AU180" s="1032">
        <v>7.5</v>
      </c>
      <c r="AV180" s="1032"/>
      <c r="AW180" s="1032">
        <f t="shared" si="29"/>
        <v>21.5</v>
      </c>
      <c r="AX180" s="1032">
        <f>AW180*(списки!$C$56-AU180)</f>
        <v>268.75</v>
      </c>
      <c r="AY180" s="1033">
        <v>14.2</v>
      </c>
      <c r="AZ180" s="1033"/>
      <c r="BA180" s="1033">
        <f t="shared" si="30"/>
        <v>0</v>
      </c>
      <c r="BB180" s="1033">
        <f>BA180*(списки!$C$56-AY180)</f>
        <v>0</v>
      </c>
      <c r="BC180" s="1034">
        <v>17.399999999999999</v>
      </c>
      <c r="BD180" s="1034"/>
      <c r="BE180" s="1034">
        <f t="shared" si="31"/>
        <v>0</v>
      </c>
      <c r="BF180" s="1035">
        <f>BE180*(списки!$C$56-BC180)</f>
        <v>0</v>
      </c>
      <c r="BG180" s="1424">
        <v>3933.1839285714286</v>
      </c>
      <c r="BH180" s="1424">
        <v>3999.9000000000005</v>
      </c>
    </row>
    <row r="181" spans="2:60" ht="15.75" customHeight="1" x14ac:dyDescent="0.25">
      <c r="B181" s="1014" t="s">
        <v>185</v>
      </c>
      <c r="C181" s="1014" t="s">
        <v>186</v>
      </c>
      <c r="D181" s="1015" t="str">
        <f t="shared" si="22"/>
        <v>Ленинградская областьСвирица</v>
      </c>
      <c r="E181" s="1016">
        <v>228</v>
      </c>
      <c r="F181" s="1017">
        <v>-2.9</v>
      </c>
      <c r="G181" s="1017">
        <v>-29</v>
      </c>
      <c r="H181" s="1019">
        <v>5.5</v>
      </c>
      <c r="I181" s="1020">
        <f>E181*(списки!$C$56-F181)</f>
        <v>5221.2</v>
      </c>
      <c r="J181" s="1021" t="str">
        <f t="shared" si="23"/>
        <v>5000-6000</v>
      </c>
      <c r="K181" s="1022">
        <v>16.600000000000001</v>
      </c>
      <c r="L181" s="1022"/>
      <c r="M181" s="1023">
        <f t="shared" si="24"/>
        <v>0</v>
      </c>
      <c r="N181" s="1024">
        <f>M181*(списки!$C$56-K181)</f>
        <v>0</v>
      </c>
      <c r="O181" s="1025">
        <v>14.8</v>
      </c>
      <c r="P181" s="1025"/>
      <c r="Q181" s="1025">
        <f t="shared" si="25"/>
        <v>0</v>
      </c>
      <c r="R181" s="1025">
        <f>Q181*(списки!$C$56-O181)</f>
        <v>0</v>
      </c>
      <c r="S181" s="1026">
        <v>9.5</v>
      </c>
      <c r="T181" s="1026"/>
      <c r="U181" s="1026">
        <f t="shared" si="32"/>
        <v>8</v>
      </c>
      <c r="V181" s="1026">
        <f>U181*(списки!$C$56-S181)</f>
        <v>84</v>
      </c>
      <c r="W181" s="1027">
        <v>3.6</v>
      </c>
      <c r="X181" s="1027"/>
      <c r="Y181" s="1027">
        <f t="shared" si="26"/>
        <v>31</v>
      </c>
      <c r="Z181" s="1027">
        <f>Y181*(списки!$C$56-W181)</f>
        <v>508.4</v>
      </c>
      <c r="AA181" s="1028">
        <v>-1.8</v>
      </c>
      <c r="AB181" s="1028"/>
      <c r="AC181" s="1028">
        <f t="shared" si="27"/>
        <v>30</v>
      </c>
      <c r="AD181" s="1028">
        <f>AC181*(списки!$C$56-AA181)</f>
        <v>654</v>
      </c>
      <c r="AE181" s="1029">
        <v>-6.6</v>
      </c>
      <c r="AF181" s="1029"/>
      <c r="AG181" s="1029">
        <v>31</v>
      </c>
      <c r="AH181" s="1029">
        <f>AG181*(списки!$C$56-AE181)</f>
        <v>824.6</v>
      </c>
      <c r="AI181" s="1030">
        <v>-10.5</v>
      </c>
      <c r="AJ181" s="1030"/>
      <c r="AK181" s="1030">
        <v>31</v>
      </c>
      <c r="AL181" s="1030">
        <f>AK181*(списки!$C$56-AI181)</f>
        <v>945.5</v>
      </c>
      <c r="AM181" s="1031">
        <v>-9.3000000000000007</v>
      </c>
      <c r="AN181" s="1031"/>
      <c r="AO181" s="1031">
        <v>28</v>
      </c>
      <c r="AP181" s="1031">
        <f>AO181*(списки!$C$56-AM181)</f>
        <v>820.4</v>
      </c>
      <c r="AQ181" s="1026">
        <v>-4.7</v>
      </c>
      <c r="AR181" s="1026"/>
      <c r="AS181" s="1026">
        <f t="shared" si="28"/>
        <v>31</v>
      </c>
      <c r="AT181" s="1026">
        <f>AS181*(списки!$C$56-AQ181)</f>
        <v>765.69999999999993</v>
      </c>
      <c r="AU181" s="1032">
        <v>2.8</v>
      </c>
      <c r="AV181" s="1032"/>
      <c r="AW181" s="1032">
        <f t="shared" si="29"/>
        <v>30</v>
      </c>
      <c r="AX181" s="1032">
        <f>AW181*(списки!$C$56-AU181)</f>
        <v>516</v>
      </c>
      <c r="AY181" s="1033">
        <v>9.6999999999999993</v>
      </c>
      <c r="AZ181" s="1033"/>
      <c r="BA181" s="1033">
        <f t="shared" si="30"/>
        <v>8</v>
      </c>
      <c r="BB181" s="1033">
        <f>BA181*(списки!$C$56-AY181)</f>
        <v>82.4</v>
      </c>
      <c r="BC181" s="1034">
        <v>14.7</v>
      </c>
      <c r="BD181" s="1034"/>
      <c r="BE181" s="1034">
        <f t="shared" si="31"/>
        <v>0</v>
      </c>
      <c r="BF181" s="1035">
        <f>BE181*(списки!$C$56-BC181)</f>
        <v>0</v>
      </c>
      <c r="BG181" s="1424">
        <v>4711.8767857142875</v>
      </c>
      <c r="BH181" s="1424">
        <v>4837.8214285714294</v>
      </c>
    </row>
    <row r="182" spans="2:60" ht="15.75" customHeight="1" x14ac:dyDescent="0.25">
      <c r="B182" s="1038" t="s">
        <v>185</v>
      </c>
      <c r="C182" s="1038" t="s">
        <v>187</v>
      </c>
      <c r="D182" s="1015" t="str">
        <f t="shared" si="22"/>
        <v>Ленинградская областьТихвин</v>
      </c>
      <c r="E182" s="1016">
        <v>223</v>
      </c>
      <c r="F182" s="1017">
        <v>-2.7</v>
      </c>
      <c r="G182" s="1017">
        <v>-29</v>
      </c>
      <c r="H182" s="1019">
        <v>3.3</v>
      </c>
      <c r="I182" s="1020">
        <f>E182*(списки!$C$56-F182)</f>
        <v>5062.0999999999995</v>
      </c>
      <c r="J182" s="1021" t="str">
        <f t="shared" si="23"/>
        <v>5000-6000</v>
      </c>
      <c r="K182" s="1022">
        <v>17.2</v>
      </c>
      <c r="L182" s="1022"/>
      <c r="M182" s="1023">
        <f t="shared" si="24"/>
        <v>0</v>
      </c>
      <c r="N182" s="1024">
        <f>M182*(списки!$C$56-K182)</f>
        <v>0</v>
      </c>
      <c r="O182" s="1025">
        <v>15</v>
      </c>
      <c r="P182" s="1025"/>
      <c r="Q182" s="1025">
        <f t="shared" si="25"/>
        <v>0</v>
      </c>
      <c r="R182" s="1025">
        <f>Q182*(списки!$C$56-O182)</f>
        <v>0</v>
      </c>
      <c r="S182" s="1026">
        <v>9.6999999999999993</v>
      </c>
      <c r="T182" s="1026"/>
      <c r="U182" s="1026">
        <f t="shared" si="32"/>
        <v>5.5</v>
      </c>
      <c r="V182" s="1026">
        <f>U182*(списки!$C$56-S182)</f>
        <v>56.650000000000006</v>
      </c>
      <c r="W182" s="1027">
        <v>4</v>
      </c>
      <c r="X182" s="1027"/>
      <c r="Y182" s="1027">
        <f t="shared" si="26"/>
        <v>31</v>
      </c>
      <c r="Z182" s="1027">
        <f>Y182*(списки!$C$56-W182)</f>
        <v>496</v>
      </c>
      <c r="AA182" s="1028">
        <v>-1.9</v>
      </c>
      <c r="AB182" s="1028"/>
      <c r="AC182" s="1028">
        <f t="shared" si="27"/>
        <v>30</v>
      </c>
      <c r="AD182" s="1028">
        <f>AC182*(списки!$C$56-AA182)</f>
        <v>657</v>
      </c>
      <c r="AE182" s="1029">
        <v>-6.5</v>
      </c>
      <c r="AF182" s="1029"/>
      <c r="AG182" s="1029">
        <v>31</v>
      </c>
      <c r="AH182" s="1029">
        <f>AG182*(списки!$C$56-AE182)</f>
        <v>821.5</v>
      </c>
      <c r="AI182" s="1030">
        <v>-9.3000000000000007</v>
      </c>
      <c r="AJ182" s="1030"/>
      <c r="AK182" s="1030">
        <v>31</v>
      </c>
      <c r="AL182" s="1030">
        <f>AK182*(списки!$C$56-AI182)</f>
        <v>908.30000000000007</v>
      </c>
      <c r="AM182" s="1031">
        <v>-8.4</v>
      </c>
      <c r="AN182" s="1031"/>
      <c r="AO182" s="1031">
        <v>28</v>
      </c>
      <c r="AP182" s="1031">
        <f>AO182*(списки!$C$56-AM182)</f>
        <v>795.19999999999993</v>
      </c>
      <c r="AQ182" s="1026">
        <v>-2.8</v>
      </c>
      <c r="AR182" s="1026"/>
      <c r="AS182" s="1026">
        <f t="shared" si="28"/>
        <v>31</v>
      </c>
      <c r="AT182" s="1026">
        <f>AS182*(списки!$C$56-AQ182)</f>
        <v>706.80000000000007</v>
      </c>
      <c r="AU182" s="1032">
        <v>3.7</v>
      </c>
      <c r="AV182" s="1032"/>
      <c r="AW182" s="1032">
        <f t="shared" si="29"/>
        <v>30</v>
      </c>
      <c r="AX182" s="1032">
        <f>AW182*(списки!$C$56-AU182)</f>
        <v>489</v>
      </c>
      <c r="AY182" s="1033">
        <v>10.4</v>
      </c>
      <c r="AZ182" s="1033"/>
      <c r="BA182" s="1033">
        <f t="shared" si="30"/>
        <v>5.5</v>
      </c>
      <c r="BB182" s="1033">
        <f>BA182*(списки!$C$56-AY182)</f>
        <v>52.8</v>
      </c>
      <c r="BC182" s="1034">
        <v>15.1</v>
      </c>
      <c r="BD182" s="1034"/>
      <c r="BE182" s="1034">
        <f t="shared" si="31"/>
        <v>0</v>
      </c>
      <c r="BF182" s="1035">
        <f>BE182*(списки!$C$56-BC182)</f>
        <v>0</v>
      </c>
      <c r="BG182" s="1424">
        <v>4556.2339285714297</v>
      </c>
      <c r="BH182" s="1424">
        <v>4725.762499999998</v>
      </c>
    </row>
    <row r="183" spans="2:60" ht="15.75" customHeight="1" x14ac:dyDescent="0.25">
      <c r="B183" s="1014" t="s">
        <v>188</v>
      </c>
      <c r="C183" s="1014" t="s">
        <v>189</v>
      </c>
      <c r="D183" s="1015" t="str">
        <f t="shared" si="22"/>
        <v>Липецкая областьЛипецк</v>
      </c>
      <c r="E183" s="1016">
        <v>202</v>
      </c>
      <c r="F183" s="1017">
        <v>-3.4</v>
      </c>
      <c r="G183" s="1017">
        <v>-27</v>
      </c>
      <c r="H183" s="1019">
        <v>5.9</v>
      </c>
      <c r="I183" s="1020">
        <f>E183*(списки!$C$56-F183)</f>
        <v>4726.7999999999993</v>
      </c>
      <c r="J183" s="1021" t="str">
        <f t="shared" si="23"/>
        <v>4000-5000</v>
      </c>
      <c r="K183" s="1022">
        <v>20.2</v>
      </c>
      <c r="L183" s="1022"/>
      <c r="M183" s="1023">
        <f t="shared" si="24"/>
        <v>0</v>
      </c>
      <c r="N183" s="1024">
        <f>M183*(списки!$C$56-K183)</f>
        <v>0</v>
      </c>
      <c r="O183" s="1025">
        <v>18.5</v>
      </c>
      <c r="P183" s="1025"/>
      <c r="Q183" s="1025">
        <f t="shared" si="25"/>
        <v>0</v>
      </c>
      <c r="R183" s="1025">
        <f>Q183*(списки!$C$56-O183)</f>
        <v>0</v>
      </c>
      <c r="S183" s="1026">
        <v>12.5</v>
      </c>
      <c r="T183" s="1026"/>
      <c r="U183" s="1026">
        <f t="shared" si="32"/>
        <v>0</v>
      </c>
      <c r="V183" s="1026">
        <f>U183*(списки!$C$56-S183)</f>
        <v>0</v>
      </c>
      <c r="W183" s="1027">
        <v>5.5</v>
      </c>
      <c r="X183" s="1027"/>
      <c r="Y183" s="1027">
        <f t="shared" si="26"/>
        <v>25.5</v>
      </c>
      <c r="Z183" s="1027">
        <f>Y183*(списки!$C$56-W183)</f>
        <v>369.75</v>
      </c>
      <c r="AA183" s="1028">
        <v>-1.5</v>
      </c>
      <c r="AB183" s="1028"/>
      <c r="AC183" s="1028">
        <f t="shared" si="27"/>
        <v>30</v>
      </c>
      <c r="AD183" s="1028">
        <f>AC183*(списки!$C$56-AA183)</f>
        <v>645</v>
      </c>
      <c r="AE183" s="1029">
        <v>-7.1</v>
      </c>
      <c r="AF183" s="1029"/>
      <c r="AG183" s="1029">
        <v>31</v>
      </c>
      <c r="AH183" s="1029">
        <f>AG183*(списки!$C$56-AE183)</f>
        <v>840.1</v>
      </c>
      <c r="AI183" s="1030">
        <v>-10.3</v>
      </c>
      <c r="AJ183" s="1030"/>
      <c r="AK183" s="1030">
        <v>31</v>
      </c>
      <c r="AL183" s="1030">
        <f>AK183*(списки!$C$56-AI183)</f>
        <v>939.30000000000007</v>
      </c>
      <c r="AM183" s="1031">
        <v>-9.5</v>
      </c>
      <c r="AN183" s="1031"/>
      <c r="AO183" s="1031">
        <v>28</v>
      </c>
      <c r="AP183" s="1031">
        <f>AO183*(списки!$C$56-AM183)</f>
        <v>826</v>
      </c>
      <c r="AQ183" s="1026">
        <v>-4.4000000000000004</v>
      </c>
      <c r="AR183" s="1026"/>
      <c r="AS183" s="1026">
        <f t="shared" si="28"/>
        <v>31</v>
      </c>
      <c r="AT183" s="1026">
        <f>AS183*(списки!$C$56-AQ183)</f>
        <v>756.4</v>
      </c>
      <c r="AU183" s="1032">
        <v>5.5</v>
      </c>
      <c r="AV183" s="1032"/>
      <c r="AW183" s="1032">
        <f t="shared" si="29"/>
        <v>25.5</v>
      </c>
      <c r="AX183" s="1032">
        <f>AW183*(списки!$C$56-AU183)</f>
        <v>369.75</v>
      </c>
      <c r="AY183" s="1033">
        <v>13.8</v>
      </c>
      <c r="AZ183" s="1033"/>
      <c r="BA183" s="1033">
        <f t="shared" si="30"/>
        <v>0</v>
      </c>
      <c r="BB183" s="1033">
        <f>BA183*(списки!$C$56-AY183)</f>
        <v>0</v>
      </c>
      <c r="BC183" s="1034">
        <v>18</v>
      </c>
      <c r="BD183" s="1034"/>
      <c r="BE183" s="1034">
        <f t="shared" si="31"/>
        <v>0</v>
      </c>
      <c r="BF183" s="1035">
        <f>BE183*(списки!$C$56-BC183)</f>
        <v>0</v>
      </c>
      <c r="BG183" s="1424">
        <v>4118.3857142857141</v>
      </c>
      <c r="BH183" s="1424">
        <v>4221.6499999999978</v>
      </c>
    </row>
    <row r="184" spans="2:60" ht="15.75" customHeight="1" x14ac:dyDescent="0.25">
      <c r="B184" s="1038" t="s">
        <v>190</v>
      </c>
      <c r="C184" s="1038" t="s">
        <v>191</v>
      </c>
      <c r="D184" s="1015" t="str">
        <f t="shared" si="22"/>
        <v>Магаданская областьАркагала</v>
      </c>
      <c r="E184" s="1016">
        <v>289</v>
      </c>
      <c r="F184" s="1017">
        <v>-19</v>
      </c>
      <c r="G184" s="1017">
        <v>-51</v>
      </c>
      <c r="H184" s="1019">
        <v>6.4</v>
      </c>
      <c r="I184" s="1020">
        <f>E184*(списки!$C$56-F184)</f>
        <v>11271</v>
      </c>
      <c r="J184" s="1021" t="str">
        <f t="shared" si="23"/>
        <v>11000-12000</v>
      </c>
      <c r="K184" s="1022">
        <v>11.9</v>
      </c>
      <c r="L184" s="1022"/>
      <c r="M184" s="1023">
        <f t="shared" si="24"/>
        <v>0</v>
      </c>
      <c r="N184" s="1024">
        <f>M184*(списки!$C$56-K184)</f>
        <v>0</v>
      </c>
      <c r="O184" s="1025">
        <v>12.2</v>
      </c>
      <c r="P184" s="1025"/>
      <c r="Q184" s="1025">
        <f t="shared" si="25"/>
        <v>8</v>
      </c>
      <c r="R184" s="1025">
        <f>Q184*(списки!$C$56-O184)</f>
        <v>62.400000000000006</v>
      </c>
      <c r="S184" s="1026">
        <v>7.8</v>
      </c>
      <c r="T184" s="1026"/>
      <c r="U184" s="1026">
        <f t="shared" si="32"/>
        <v>30</v>
      </c>
      <c r="V184" s="1026">
        <f>U184*(списки!$C$56-S184)</f>
        <v>366</v>
      </c>
      <c r="W184" s="1027">
        <v>-1.1000000000000001</v>
      </c>
      <c r="X184" s="1027"/>
      <c r="Y184" s="1027">
        <f t="shared" si="26"/>
        <v>31</v>
      </c>
      <c r="Z184" s="1027">
        <f>Y184*(списки!$C$56-W184)</f>
        <v>654.1</v>
      </c>
      <c r="AA184" s="1028">
        <v>-10.7</v>
      </c>
      <c r="AB184" s="1028"/>
      <c r="AC184" s="1028">
        <f t="shared" si="27"/>
        <v>30</v>
      </c>
      <c r="AD184" s="1028">
        <f>AC184*(списки!$C$56-AA184)</f>
        <v>921</v>
      </c>
      <c r="AE184" s="1029">
        <v>-15.8</v>
      </c>
      <c r="AF184" s="1029"/>
      <c r="AG184" s="1029">
        <v>31</v>
      </c>
      <c r="AH184" s="1029">
        <f>AG184*(списки!$C$56-AE184)</f>
        <v>1109.8</v>
      </c>
      <c r="AI184" s="1030">
        <v>-19.600000000000001</v>
      </c>
      <c r="AJ184" s="1030"/>
      <c r="AK184" s="1030">
        <v>31</v>
      </c>
      <c r="AL184" s="1030">
        <f>AK184*(списки!$C$56-AI184)</f>
        <v>1227.6000000000001</v>
      </c>
      <c r="AM184" s="1031">
        <v>-19.2</v>
      </c>
      <c r="AN184" s="1031"/>
      <c r="AO184" s="1031">
        <v>28</v>
      </c>
      <c r="AP184" s="1031">
        <f>AO184*(списки!$C$56-AM184)</f>
        <v>1097.6000000000001</v>
      </c>
      <c r="AQ184" s="1026">
        <v>-16.7</v>
      </c>
      <c r="AR184" s="1026"/>
      <c r="AS184" s="1026">
        <f t="shared" si="28"/>
        <v>31</v>
      </c>
      <c r="AT184" s="1026">
        <f>AS184*(списки!$C$56-AQ184)</f>
        <v>1137.7</v>
      </c>
      <c r="AU184" s="1032">
        <v>-8.6999999999999993</v>
      </c>
      <c r="AV184" s="1032"/>
      <c r="AW184" s="1032">
        <f t="shared" si="29"/>
        <v>30</v>
      </c>
      <c r="AX184" s="1032">
        <f>AW184*(списки!$C$56-AU184)</f>
        <v>861</v>
      </c>
      <c r="AY184" s="1033">
        <v>-0.5</v>
      </c>
      <c r="AZ184" s="1033"/>
      <c r="BA184" s="1033">
        <f t="shared" si="30"/>
        <v>31</v>
      </c>
      <c r="BB184" s="1033">
        <f>BA184*(списки!$C$56-AY184)</f>
        <v>635.5</v>
      </c>
      <c r="BC184" s="1034">
        <v>5.8</v>
      </c>
      <c r="BD184" s="1034"/>
      <c r="BE184" s="1034">
        <f t="shared" si="31"/>
        <v>8</v>
      </c>
      <c r="BF184" s="1035">
        <f>BE184*(списки!$C$56-BC184)</f>
        <v>113.6</v>
      </c>
      <c r="BG184" s="1424" t="e">
        <v>#N/A</v>
      </c>
      <c r="BH184" s="1424" t="e">
        <v>#N/A</v>
      </c>
    </row>
    <row r="185" spans="2:60" ht="15.75" customHeight="1" x14ac:dyDescent="0.25">
      <c r="B185" s="1014" t="s">
        <v>190</v>
      </c>
      <c r="C185" s="1014" t="s">
        <v>192</v>
      </c>
      <c r="D185" s="1015" t="str">
        <f t="shared" si="22"/>
        <v>Магаданская областьБрохово</v>
      </c>
      <c r="E185" s="1016">
        <v>278</v>
      </c>
      <c r="F185" s="1017">
        <v>-9.3000000000000007</v>
      </c>
      <c r="G185" s="1017">
        <v>-35</v>
      </c>
      <c r="H185" s="1019">
        <v>9.8000000000000007</v>
      </c>
      <c r="I185" s="1020">
        <f>E185*(списки!$C$56-F185)</f>
        <v>8145.4000000000005</v>
      </c>
      <c r="J185" s="1021" t="str">
        <f t="shared" si="23"/>
        <v>8000-9000</v>
      </c>
      <c r="K185" s="1022">
        <v>12.1</v>
      </c>
      <c r="L185" s="1022"/>
      <c r="M185" s="1023">
        <f t="shared" si="24"/>
        <v>0</v>
      </c>
      <c r="N185" s="1024">
        <f>M185*(списки!$C$56-K185)</f>
        <v>0</v>
      </c>
      <c r="O185" s="1025">
        <v>12.3</v>
      </c>
      <c r="P185" s="1025"/>
      <c r="Q185" s="1025">
        <f t="shared" si="25"/>
        <v>2.5</v>
      </c>
      <c r="R185" s="1025">
        <f>Q185*(списки!$C$56-O185)</f>
        <v>19.25</v>
      </c>
      <c r="S185" s="1026">
        <v>7.9</v>
      </c>
      <c r="T185" s="1026"/>
      <c r="U185" s="1026">
        <f t="shared" si="32"/>
        <v>30</v>
      </c>
      <c r="V185" s="1026">
        <f>U185*(списки!$C$56-S185)</f>
        <v>363</v>
      </c>
      <c r="W185" s="1027">
        <v>-0.4</v>
      </c>
      <c r="X185" s="1027"/>
      <c r="Y185" s="1027">
        <f t="shared" si="26"/>
        <v>31</v>
      </c>
      <c r="Z185" s="1027">
        <f>Y185*(списки!$C$56-W185)</f>
        <v>632.4</v>
      </c>
      <c r="AA185" s="1028">
        <v>-10.199999999999999</v>
      </c>
      <c r="AB185" s="1028"/>
      <c r="AC185" s="1028">
        <f t="shared" si="27"/>
        <v>30</v>
      </c>
      <c r="AD185" s="1028">
        <f>AC185*(списки!$C$56-AA185)</f>
        <v>906</v>
      </c>
      <c r="AE185" s="1029">
        <v>-16.3</v>
      </c>
      <c r="AF185" s="1029"/>
      <c r="AG185" s="1029">
        <v>31</v>
      </c>
      <c r="AH185" s="1029">
        <f>AG185*(списки!$C$56-AE185)</f>
        <v>1125.3</v>
      </c>
      <c r="AI185" s="1030">
        <v>-19.7</v>
      </c>
      <c r="AJ185" s="1030"/>
      <c r="AK185" s="1030">
        <v>31</v>
      </c>
      <c r="AL185" s="1030">
        <f>AK185*(списки!$C$56-AI185)</f>
        <v>1230.7</v>
      </c>
      <c r="AM185" s="1031">
        <v>-19.5</v>
      </c>
      <c r="AN185" s="1031"/>
      <c r="AO185" s="1031">
        <v>28</v>
      </c>
      <c r="AP185" s="1031">
        <f>AO185*(списки!$C$56-AM185)</f>
        <v>1106</v>
      </c>
      <c r="AQ185" s="1026">
        <v>-15.5</v>
      </c>
      <c r="AR185" s="1026"/>
      <c r="AS185" s="1026">
        <f t="shared" si="28"/>
        <v>31</v>
      </c>
      <c r="AT185" s="1026">
        <f>AS185*(списки!$C$56-AQ185)</f>
        <v>1100.5</v>
      </c>
      <c r="AU185" s="1032">
        <v>-8</v>
      </c>
      <c r="AV185" s="1032"/>
      <c r="AW185" s="1032">
        <f t="shared" si="29"/>
        <v>30</v>
      </c>
      <c r="AX185" s="1032">
        <f>AW185*(списки!$C$56-AU185)</f>
        <v>840</v>
      </c>
      <c r="AY185" s="1033">
        <v>0</v>
      </c>
      <c r="AZ185" s="1033"/>
      <c r="BA185" s="1033">
        <f t="shared" si="30"/>
        <v>31</v>
      </c>
      <c r="BB185" s="1033">
        <f>BA185*(списки!$C$56-AY185)</f>
        <v>620</v>
      </c>
      <c r="BC185" s="1034">
        <v>6.9</v>
      </c>
      <c r="BD185" s="1034"/>
      <c r="BE185" s="1034">
        <f t="shared" si="31"/>
        <v>2.5</v>
      </c>
      <c r="BF185" s="1035">
        <f>BE185*(списки!$C$56-BC185)</f>
        <v>32.75</v>
      </c>
      <c r="BG185" s="1424">
        <v>7915.7107142857139</v>
      </c>
      <c r="BH185" s="1424">
        <v>7153.9714285714272</v>
      </c>
    </row>
    <row r="186" spans="2:60" ht="15.75" customHeight="1" x14ac:dyDescent="0.25">
      <c r="B186" s="1038" t="s">
        <v>190</v>
      </c>
      <c r="C186" s="1038" t="s">
        <v>666</v>
      </c>
      <c r="D186" s="1015" t="str">
        <f t="shared" si="22"/>
        <v>Магаданская областьМагадан (Нагаева, бухта)</v>
      </c>
      <c r="E186" s="1016">
        <v>279</v>
      </c>
      <c r="F186" s="1017">
        <v>-7.5</v>
      </c>
      <c r="G186" s="1017">
        <v>-29</v>
      </c>
      <c r="H186" s="1019">
        <v>4.5999999999999996</v>
      </c>
      <c r="I186" s="1020">
        <f>E186*(списки!$C$56-F186)</f>
        <v>7672.5</v>
      </c>
      <c r="J186" s="1021" t="str">
        <f t="shared" si="23"/>
        <v>7000-8000</v>
      </c>
      <c r="K186" s="1022">
        <v>11.5</v>
      </c>
      <c r="L186" s="1022"/>
      <c r="M186" s="1023">
        <f t="shared" si="24"/>
        <v>0</v>
      </c>
      <c r="N186" s="1024">
        <f>M186*(списки!$C$56-K186)</f>
        <v>0</v>
      </c>
      <c r="O186" s="1025">
        <v>11.9</v>
      </c>
      <c r="P186" s="1025"/>
      <c r="Q186" s="1025">
        <f t="shared" si="25"/>
        <v>3</v>
      </c>
      <c r="R186" s="1025">
        <f>Q186*(списки!$C$56-O186)</f>
        <v>24.299999999999997</v>
      </c>
      <c r="S186" s="1026">
        <v>7.3</v>
      </c>
      <c r="T186" s="1026"/>
      <c r="U186" s="1026">
        <f t="shared" si="32"/>
        <v>30</v>
      </c>
      <c r="V186" s="1026">
        <f>U186*(списки!$C$56-S186)</f>
        <v>381</v>
      </c>
      <c r="W186" s="1027">
        <v>-1.3</v>
      </c>
      <c r="X186" s="1027"/>
      <c r="Y186" s="1027">
        <f t="shared" si="26"/>
        <v>31</v>
      </c>
      <c r="Z186" s="1027">
        <f>Y186*(списки!$C$56-W186)</f>
        <v>660.30000000000007</v>
      </c>
      <c r="AA186" s="1028">
        <v>-10.5</v>
      </c>
      <c r="AB186" s="1028"/>
      <c r="AC186" s="1028">
        <f t="shared" si="27"/>
        <v>30</v>
      </c>
      <c r="AD186" s="1028">
        <f>AC186*(списки!$C$56-AA186)</f>
        <v>915</v>
      </c>
      <c r="AE186" s="1029">
        <v>-15</v>
      </c>
      <c r="AF186" s="1029"/>
      <c r="AG186" s="1029">
        <v>31</v>
      </c>
      <c r="AH186" s="1029">
        <f>AG186*(списки!$C$56-AE186)</f>
        <v>1085</v>
      </c>
      <c r="AI186" s="1030">
        <v>-16.7</v>
      </c>
      <c r="AJ186" s="1030"/>
      <c r="AK186" s="1030">
        <v>31</v>
      </c>
      <c r="AL186" s="1030">
        <f>AK186*(списки!$C$56-AI186)</f>
        <v>1137.7</v>
      </c>
      <c r="AM186" s="1031">
        <v>-15.6</v>
      </c>
      <c r="AN186" s="1031"/>
      <c r="AO186" s="1031">
        <v>28</v>
      </c>
      <c r="AP186" s="1031">
        <f>AO186*(списки!$C$56-AM186)</f>
        <v>996.80000000000007</v>
      </c>
      <c r="AQ186" s="1026">
        <v>-11.5</v>
      </c>
      <c r="AR186" s="1026"/>
      <c r="AS186" s="1026">
        <f t="shared" si="28"/>
        <v>31</v>
      </c>
      <c r="AT186" s="1026">
        <f>AS186*(списки!$C$56-AQ186)</f>
        <v>976.5</v>
      </c>
      <c r="AU186" s="1032">
        <v>-4.9000000000000004</v>
      </c>
      <c r="AV186" s="1032"/>
      <c r="AW186" s="1032">
        <f t="shared" si="29"/>
        <v>30</v>
      </c>
      <c r="AX186" s="1032">
        <f>AW186*(списки!$C$56-AU186)</f>
        <v>747</v>
      </c>
      <c r="AY186" s="1033">
        <v>1.5</v>
      </c>
      <c r="AZ186" s="1033"/>
      <c r="BA186" s="1033">
        <f t="shared" si="30"/>
        <v>31</v>
      </c>
      <c r="BB186" s="1033">
        <f>BA186*(списки!$C$56-AY186)</f>
        <v>573.5</v>
      </c>
      <c r="BC186" s="1034">
        <v>7.4</v>
      </c>
      <c r="BD186" s="1034"/>
      <c r="BE186" s="1034">
        <f t="shared" si="31"/>
        <v>3</v>
      </c>
      <c r="BF186" s="1035">
        <f>BE186*(списки!$C$56-BC186)</f>
        <v>37.799999999999997</v>
      </c>
      <c r="BG186" s="1424">
        <v>7082.3089285714368</v>
      </c>
      <c r="BH186" s="1424">
        <v>6813.175000000002</v>
      </c>
    </row>
    <row r="187" spans="2:60" ht="15.75" customHeight="1" x14ac:dyDescent="0.25">
      <c r="B187" s="1014" t="s">
        <v>190</v>
      </c>
      <c r="C187" s="1014" t="s">
        <v>193</v>
      </c>
      <c r="D187" s="1015" t="str">
        <f t="shared" si="22"/>
        <v>Магаданская областьОмсукчан</v>
      </c>
      <c r="E187" s="1016">
        <v>286</v>
      </c>
      <c r="F187" s="1017">
        <v>-17.2</v>
      </c>
      <c r="G187" s="1017">
        <v>-50</v>
      </c>
      <c r="H187" s="1019">
        <v>6.9</v>
      </c>
      <c r="I187" s="1020">
        <f>E187*(списки!$C$56-F187)</f>
        <v>10639.2</v>
      </c>
      <c r="J187" s="1021" t="str">
        <f t="shared" si="23"/>
        <v>10000-11000</v>
      </c>
      <c r="K187" s="1022">
        <v>13.2</v>
      </c>
      <c r="L187" s="1022"/>
      <c r="M187" s="1023">
        <f t="shared" si="24"/>
        <v>0</v>
      </c>
      <c r="N187" s="1024">
        <f>M187*(списки!$C$56-K187)</f>
        <v>0</v>
      </c>
      <c r="O187" s="1025">
        <v>10.6</v>
      </c>
      <c r="P187" s="1025"/>
      <c r="Q187" s="1025">
        <f t="shared" si="25"/>
        <v>6.5</v>
      </c>
      <c r="R187" s="1025">
        <f>Q187*(списки!$C$56-O187)</f>
        <v>61.1</v>
      </c>
      <c r="S187" s="1026">
        <v>3.1</v>
      </c>
      <c r="T187" s="1026"/>
      <c r="U187" s="1026">
        <f t="shared" si="32"/>
        <v>30</v>
      </c>
      <c r="V187" s="1026">
        <f>U187*(списки!$C$56-S187)</f>
        <v>506.99999999999994</v>
      </c>
      <c r="W187" s="1027">
        <v>-11.3</v>
      </c>
      <c r="X187" s="1027"/>
      <c r="Y187" s="1027">
        <f t="shared" si="26"/>
        <v>31</v>
      </c>
      <c r="Z187" s="1027">
        <f>Y187*(списки!$C$56-W187)</f>
        <v>970.30000000000007</v>
      </c>
      <c r="AA187" s="1028">
        <v>-26.5</v>
      </c>
      <c r="AB187" s="1028"/>
      <c r="AC187" s="1028">
        <f t="shared" si="27"/>
        <v>30</v>
      </c>
      <c r="AD187" s="1028">
        <f>AC187*(списки!$C$56-AA187)</f>
        <v>1395</v>
      </c>
      <c r="AE187" s="1029">
        <v>-32.5</v>
      </c>
      <c r="AF187" s="1029"/>
      <c r="AG187" s="1029">
        <v>31</v>
      </c>
      <c r="AH187" s="1029">
        <f>AG187*(списки!$C$56-AE187)</f>
        <v>1627.5</v>
      </c>
      <c r="AI187" s="1030">
        <v>-33.4</v>
      </c>
      <c r="AJ187" s="1030"/>
      <c r="AK187" s="1030">
        <v>31</v>
      </c>
      <c r="AL187" s="1030">
        <f>AK187*(списки!$C$56-AI187)</f>
        <v>1655.3999999999999</v>
      </c>
      <c r="AM187" s="1031">
        <v>-31</v>
      </c>
      <c r="AN187" s="1031"/>
      <c r="AO187" s="1031">
        <v>28</v>
      </c>
      <c r="AP187" s="1031">
        <f>AO187*(списки!$C$56-AM187)</f>
        <v>1428</v>
      </c>
      <c r="AQ187" s="1026">
        <v>-24.3</v>
      </c>
      <c r="AR187" s="1026"/>
      <c r="AS187" s="1026">
        <f t="shared" si="28"/>
        <v>31</v>
      </c>
      <c r="AT187" s="1026">
        <f>AS187*(списки!$C$56-AQ187)</f>
        <v>1373.3</v>
      </c>
      <c r="AU187" s="1032">
        <v>-12.4</v>
      </c>
      <c r="AV187" s="1032"/>
      <c r="AW187" s="1032">
        <f t="shared" si="29"/>
        <v>30</v>
      </c>
      <c r="AX187" s="1032">
        <f>AW187*(списки!$C$56-AU187)</f>
        <v>972</v>
      </c>
      <c r="AY187" s="1033">
        <v>0.8</v>
      </c>
      <c r="AZ187" s="1033"/>
      <c r="BA187" s="1033">
        <f t="shared" si="30"/>
        <v>31</v>
      </c>
      <c r="BB187" s="1033">
        <f>BA187*(списки!$C$56-AY187)</f>
        <v>595.19999999999993</v>
      </c>
      <c r="BC187" s="1034">
        <v>10.1</v>
      </c>
      <c r="BD187" s="1034"/>
      <c r="BE187" s="1034">
        <f t="shared" si="31"/>
        <v>6.5</v>
      </c>
      <c r="BF187" s="1035">
        <f>BE187*(списки!$C$56-BC187)</f>
        <v>64.350000000000009</v>
      </c>
      <c r="BG187" s="1424">
        <v>9700.813571428569</v>
      </c>
      <c r="BH187" s="1424">
        <v>9687.1999999999971</v>
      </c>
    </row>
    <row r="188" spans="2:60" ht="15.75" customHeight="1" x14ac:dyDescent="0.25">
      <c r="B188" s="1038" t="s">
        <v>190</v>
      </c>
      <c r="C188" s="1038" t="s">
        <v>194</v>
      </c>
      <c r="D188" s="1015" t="str">
        <f t="shared" si="22"/>
        <v>Магаданская областьПалатка</v>
      </c>
      <c r="E188" s="1016">
        <v>280</v>
      </c>
      <c r="F188" s="1017">
        <v>-10.7</v>
      </c>
      <c r="G188" s="1017">
        <v>-38</v>
      </c>
      <c r="H188" s="1019">
        <v>7.6</v>
      </c>
      <c r="I188" s="1020">
        <f>E188*(списки!$C$56-F188)</f>
        <v>8596</v>
      </c>
      <c r="J188" s="1021" t="str">
        <f t="shared" si="23"/>
        <v>8000-9000</v>
      </c>
      <c r="K188" s="1022">
        <v>12.8</v>
      </c>
      <c r="L188" s="1022"/>
      <c r="M188" s="1023">
        <f t="shared" si="24"/>
        <v>0</v>
      </c>
      <c r="N188" s="1024">
        <f>M188*(списки!$C$56-K188)</f>
        <v>0</v>
      </c>
      <c r="O188" s="1025">
        <v>11.6</v>
      </c>
      <c r="P188" s="1025"/>
      <c r="Q188" s="1025">
        <f t="shared" si="25"/>
        <v>3.5</v>
      </c>
      <c r="R188" s="1025">
        <f>Q188*(списки!$C$56-O188)</f>
        <v>29.400000000000002</v>
      </c>
      <c r="S188" s="1026">
        <v>5.2</v>
      </c>
      <c r="T188" s="1026"/>
      <c r="U188" s="1026">
        <f t="shared" si="32"/>
        <v>30</v>
      </c>
      <c r="V188" s="1026">
        <f>U188*(списки!$C$56-S188)</f>
        <v>444</v>
      </c>
      <c r="W188" s="1027">
        <v>-6.7</v>
      </c>
      <c r="X188" s="1027"/>
      <c r="Y188" s="1027">
        <f t="shared" si="26"/>
        <v>31</v>
      </c>
      <c r="Z188" s="1027">
        <f>Y188*(списки!$C$56-W188)</f>
        <v>827.69999999999993</v>
      </c>
      <c r="AA188" s="1028">
        <v>-16.7</v>
      </c>
      <c r="AB188" s="1028"/>
      <c r="AC188" s="1028">
        <f t="shared" si="27"/>
        <v>30</v>
      </c>
      <c r="AD188" s="1028">
        <f>AC188*(списки!$C$56-AA188)</f>
        <v>1101</v>
      </c>
      <c r="AE188" s="1029">
        <v>-20.3</v>
      </c>
      <c r="AF188" s="1029"/>
      <c r="AG188" s="1029">
        <v>31</v>
      </c>
      <c r="AH188" s="1029">
        <f>AG188*(списки!$C$56-AE188)</f>
        <v>1249.3</v>
      </c>
      <c r="AI188" s="1030">
        <v>-22.1</v>
      </c>
      <c r="AJ188" s="1030"/>
      <c r="AK188" s="1030">
        <v>31</v>
      </c>
      <c r="AL188" s="1030">
        <f>AK188*(списки!$C$56-AI188)</f>
        <v>1305.1000000000001</v>
      </c>
      <c r="AM188" s="1031">
        <v>-20.2</v>
      </c>
      <c r="AN188" s="1031"/>
      <c r="AO188" s="1031">
        <v>28</v>
      </c>
      <c r="AP188" s="1031">
        <f>AO188*(списки!$C$56-AM188)</f>
        <v>1125.6000000000001</v>
      </c>
      <c r="AQ188" s="1026">
        <v>-16.3</v>
      </c>
      <c r="AR188" s="1026"/>
      <c r="AS188" s="1026">
        <f t="shared" si="28"/>
        <v>31</v>
      </c>
      <c r="AT188" s="1026">
        <f>AS188*(списки!$C$56-AQ188)</f>
        <v>1125.3</v>
      </c>
      <c r="AU188" s="1032">
        <v>-7.7</v>
      </c>
      <c r="AV188" s="1032"/>
      <c r="AW188" s="1032">
        <f t="shared" si="29"/>
        <v>30</v>
      </c>
      <c r="AX188" s="1032">
        <f>AW188*(списки!$C$56-AU188)</f>
        <v>831</v>
      </c>
      <c r="AY188" s="1033">
        <v>2.2999999999999998</v>
      </c>
      <c r="AZ188" s="1033"/>
      <c r="BA188" s="1033">
        <f t="shared" si="30"/>
        <v>31</v>
      </c>
      <c r="BB188" s="1033">
        <f>BA188*(списки!$C$56-AY188)</f>
        <v>548.69999999999993</v>
      </c>
      <c r="BC188" s="1034">
        <v>9.4</v>
      </c>
      <c r="BD188" s="1034"/>
      <c r="BE188" s="1034">
        <f t="shared" si="31"/>
        <v>3.5</v>
      </c>
      <c r="BF188" s="1035">
        <f>BE188*(списки!$C$56-BC188)</f>
        <v>37.1</v>
      </c>
      <c r="BG188" s="1424" t="e">
        <v>#N/A</v>
      </c>
      <c r="BH188" s="1424" t="e">
        <v>#N/A</v>
      </c>
    </row>
    <row r="189" spans="2:60" ht="15.75" customHeight="1" x14ac:dyDescent="0.25">
      <c r="B189" s="1014" t="s">
        <v>190</v>
      </c>
      <c r="C189" s="1014" t="s">
        <v>195</v>
      </c>
      <c r="D189" s="1015" t="str">
        <f t="shared" si="22"/>
        <v>Магаданская областьСреднекан</v>
      </c>
      <c r="E189" s="1016">
        <v>274</v>
      </c>
      <c r="F189" s="1017">
        <v>-19.3</v>
      </c>
      <c r="G189" s="1017">
        <v>-52</v>
      </c>
      <c r="H189" s="1019">
        <v>2</v>
      </c>
      <c r="I189" s="1020">
        <f>E189*(списки!$C$56-F189)</f>
        <v>10768.199999999999</v>
      </c>
      <c r="J189" s="1021" t="str">
        <f t="shared" si="23"/>
        <v>10000-11000</v>
      </c>
      <c r="K189" s="1022">
        <v>15.1</v>
      </c>
      <c r="L189" s="1022"/>
      <c r="M189" s="1023">
        <f t="shared" si="24"/>
        <v>0</v>
      </c>
      <c r="N189" s="1024">
        <f>M189*(списки!$C$56-K189)</f>
        <v>0</v>
      </c>
      <c r="O189" s="1025">
        <v>11.9</v>
      </c>
      <c r="P189" s="1025"/>
      <c r="Q189" s="1025">
        <f t="shared" si="25"/>
        <v>0.5</v>
      </c>
      <c r="R189" s="1025">
        <f>Q189*(списки!$C$56-O189)</f>
        <v>4.05</v>
      </c>
      <c r="S189" s="1026">
        <v>4</v>
      </c>
      <c r="T189" s="1026"/>
      <c r="U189" s="1026">
        <f t="shared" si="32"/>
        <v>30</v>
      </c>
      <c r="V189" s="1026">
        <f>U189*(списки!$C$56-S189)</f>
        <v>480</v>
      </c>
      <c r="W189" s="1027">
        <v>-11.3</v>
      </c>
      <c r="X189" s="1027"/>
      <c r="Y189" s="1027">
        <f t="shared" si="26"/>
        <v>31</v>
      </c>
      <c r="Z189" s="1027">
        <f>Y189*(списки!$C$56-W189)</f>
        <v>970.30000000000007</v>
      </c>
      <c r="AA189" s="1028">
        <v>-28.6</v>
      </c>
      <c r="AB189" s="1028"/>
      <c r="AC189" s="1028">
        <f t="shared" si="27"/>
        <v>30</v>
      </c>
      <c r="AD189" s="1028">
        <f>AC189*(списки!$C$56-AA189)</f>
        <v>1458</v>
      </c>
      <c r="AE189" s="1029">
        <v>-35.799999999999997</v>
      </c>
      <c r="AF189" s="1029"/>
      <c r="AG189" s="1029">
        <v>31</v>
      </c>
      <c r="AH189" s="1029">
        <f>AG189*(списки!$C$56-AE189)</f>
        <v>1729.8</v>
      </c>
      <c r="AI189" s="1030">
        <v>-36.6</v>
      </c>
      <c r="AJ189" s="1030"/>
      <c r="AK189" s="1030">
        <v>31</v>
      </c>
      <c r="AL189" s="1030">
        <f>AK189*(списки!$C$56-AI189)</f>
        <v>1754.6000000000001</v>
      </c>
      <c r="AM189" s="1031">
        <v>-33.4</v>
      </c>
      <c r="AN189" s="1031"/>
      <c r="AO189" s="1031">
        <v>28</v>
      </c>
      <c r="AP189" s="1031">
        <f>AO189*(списки!$C$56-AM189)</f>
        <v>1495.2</v>
      </c>
      <c r="AQ189" s="1026">
        <v>-25.8</v>
      </c>
      <c r="AR189" s="1026"/>
      <c r="AS189" s="1026">
        <f t="shared" si="28"/>
        <v>31</v>
      </c>
      <c r="AT189" s="1026">
        <f>AS189*(списки!$C$56-AQ189)</f>
        <v>1419.8</v>
      </c>
      <c r="AU189" s="1032">
        <v>-12</v>
      </c>
      <c r="AV189" s="1032"/>
      <c r="AW189" s="1032">
        <f t="shared" si="29"/>
        <v>30</v>
      </c>
      <c r="AX189" s="1032">
        <f>AW189*(списки!$C$56-AU189)</f>
        <v>960</v>
      </c>
      <c r="AY189" s="1033">
        <v>2.8</v>
      </c>
      <c r="AZ189" s="1033"/>
      <c r="BA189" s="1033">
        <f t="shared" si="30"/>
        <v>31</v>
      </c>
      <c r="BB189" s="1033">
        <f>BA189*(списки!$C$56-AY189)</f>
        <v>533.19999999999993</v>
      </c>
      <c r="BC189" s="1034">
        <v>13</v>
      </c>
      <c r="BD189" s="1034"/>
      <c r="BE189" s="1034">
        <f t="shared" si="31"/>
        <v>0.5</v>
      </c>
      <c r="BF189" s="1035">
        <f>BE189*(списки!$C$56-BC189)</f>
        <v>3.5</v>
      </c>
      <c r="BG189" s="1424">
        <v>9509.832142857138</v>
      </c>
      <c r="BH189" s="1424">
        <v>9870.0232142857221</v>
      </c>
    </row>
    <row r="190" spans="2:60" ht="15.75" customHeight="1" x14ac:dyDescent="0.25">
      <c r="B190" s="1038" t="s">
        <v>190</v>
      </c>
      <c r="C190" s="1038" t="s">
        <v>196</v>
      </c>
      <c r="D190" s="1015" t="str">
        <f t="shared" si="22"/>
        <v>Магаданская областьСусуман</v>
      </c>
      <c r="E190" s="1016">
        <v>274</v>
      </c>
      <c r="F190" s="1017">
        <v>-20.8</v>
      </c>
      <c r="G190" s="1017">
        <v>-54</v>
      </c>
      <c r="H190" s="1019">
        <v>3.6</v>
      </c>
      <c r="I190" s="1020">
        <f>E190*(списки!$C$56-F190)</f>
        <v>11179.199999999999</v>
      </c>
      <c r="J190" s="1021" t="str">
        <f t="shared" si="23"/>
        <v>11000-12000</v>
      </c>
      <c r="K190" s="1022">
        <v>14.1</v>
      </c>
      <c r="L190" s="1022"/>
      <c r="M190" s="1023">
        <f t="shared" si="24"/>
        <v>0</v>
      </c>
      <c r="N190" s="1024">
        <f>M190*(списки!$C$56-K190)</f>
        <v>0</v>
      </c>
      <c r="O190" s="1025">
        <v>10.4</v>
      </c>
      <c r="P190" s="1025"/>
      <c r="Q190" s="1025">
        <f t="shared" si="25"/>
        <v>0.5</v>
      </c>
      <c r="R190" s="1025">
        <f>Q190*(списки!$C$56-O190)</f>
        <v>4.8</v>
      </c>
      <c r="S190" s="1026">
        <v>2.5</v>
      </c>
      <c r="T190" s="1026"/>
      <c r="U190" s="1026">
        <f t="shared" si="32"/>
        <v>30</v>
      </c>
      <c r="V190" s="1026">
        <f>U190*(списки!$C$56-S190)</f>
        <v>525</v>
      </c>
      <c r="W190" s="1027">
        <v>-13.5</v>
      </c>
      <c r="X190" s="1027"/>
      <c r="Y190" s="1027">
        <f t="shared" si="26"/>
        <v>31</v>
      </c>
      <c r="Z190" s="1027">
        <f>Y190*(списки!$C$56-W190)</f>
        <v>1038.5</v>
      </c>
      <c r="AA190" s="1028">
        <v>-29.6</v>
      </c>
      <c r="AB190" s="1028"/>
      <c r="AC190" s="1028">
        <f t="shared" si="27"/>
        <v>30</v>
      </c>
      <c r="AD190" s="1028">
        <f>AC190*(списки!$C$56-AA190)</f>
        <v>1488</v>
      </c>
      <c r="AE190" s="1029">
        <v>-37.700000000000003</v>
      </c>
      <c r="AF190" s="1029"/>
      <c r="AG190" s="1029">
        <v>31</v>
      </c>
      <c r="AH190" s="1029">
        <f>AG190*(списки!$C$56-AE190)</f>
        <v>1788.7</v>
      </c>
      <c r="AI190" s="1030">
        <v>-37.700000000000003</v>
      </c>
      <c r="AJ190" s="1030"/>
      <c r="AK190" s="1030">
        <v>31</v>
      </c>
      <c r="AL190" s="1030">
        <f>AK190*(списки!$C$56-AI190)</f>
        <v>1788.7</v>
      </c>
      <c r="AM190" s="1031">
        <v>-33.6</v>
      </c>
      <c r="AN190" s="1031"/>
      <c r="AO190" s="1031">
        <v>28</v>
      </c>
      <c r="AP190" s="1031">
        <f>AO190*(списки!$C$56-AM190)</f>
        <v>1500.8</v>
      </c>
      <c r="AQ190" s="1026">
        <v>-24.7</v>
      </c>
      <c r="AR190" s="1026"/>
      <c r="AS190" s="1026">
        <f t="shared" si="28"/>
        <v>31</v>
      </c>
      <c r="AT190" s="1026">
        <f>AS190*(списки!$C$56-AQ190)</f>
        <v>1385.7</v>
      </c>
      <c r="AU190" s="1032">
        <v>-11.9</v>
      </c>
      <c r="AV190" s="1032"/>
      <c r="AW190" s="1032">
        <f t="shared" si="29"/>
        <v>30</v>
      </c>
      <c r="AX190" s="1032">
        <f>AW190*(списки!$C$56-AU190)</f>
        <v>957</v>
      </c>
      <c r="AY190" s="1033">
        <v>2.6</v>
      </c>
      <c r="AZ190" s="1033"/>
      <c r="BA190" s="1033">
        <f t="shared" si="30"/>
        <v>31</v>
      </c>
      <c r="BB190" s="1033">
        <f>BA190*(списки!$C$56-AY190)</f>
        <v>539.4</v>
      </c>
      <c r="BC190" s="1034">
        <v>11.9</v>
      </c>
      <c r="BD190" s="1034"/>
      <c r="BE190" s="1034">
        <f t="shared" si="31"/>
        <v>0.5</v>
      </c>
      <c r="BF190" s="1035">
        <f>BE190*(списки!$C$56-BC190)</f>
        <v>4.05</v>
      </c>
      <c r="BG190" s="1424">
        <v>10573.308928571423</v>
      </c>
      <c r="BH190" s="1424">
        <v>10492.4375</v>
      </c>
    </row>
    <row r="191" spans="2:60" ht="15.75" customHeight="1" x14ac:dyDescent="0.25">
      <c r="B191" s="1014" t="s">
        <v>617</v>
      </c>
      <c r="C191" s="1014" t="s">
        <v>199</v>
      </c>
      <c r="D191" s="1015" t="str">
        <f t="shared" si="22"/>
        <v>Москва г.Москва</v>
      </c>
      <c r="E191" s="1016">
        <v>205</v>
      </c>
      <c r="F191" s="1017">
        <v>-2.2000000000000002</v>
      </c>
      <c r="G191" s="1017">
        <v>-25</v>
      </c>
      <c r="H191" s="1019">
        <v>2</v>
      </c>
      <c r="I191" s="1020">
        <f>E191*(списки!$C$56-F191)</f>
        <v>4551</v>
      </c>
      <c r="J191" s="1021" t="str">
        <f t="shared" si="23"/>
        <v>4000-5000</v>
      </c>
      <c r="K191" s="1022">
        <v>18.7</v>
      </c>
      <c r="L191" s="1022"/>
      <c r="M191" s="1023">
        <f t="shared" si="24"/>
        <v>0</v>
      </c>
      <c r="N191" s="1024">
        <f>M191*(списки!$C$56-K191)</f>
        <v>0</v>
      </c>
      <c r="O191" s="1025">
        <v>16.8</v>
      </c>
      <c r="P191" s="1025"/>
      <c r="Q191" s="1025">
        <f t="shared" si="25"/>
        <v>0</v>
      </c>
      <c r="R191" s="1025">
        <f>Q191*(списки!$C$56-O191)</f>
        <v>0</v>
      </c>
      <c r="S191" s="1026">
        <v>11.1</v>
      </c>
      <c r="T191" s="1026"/>
      <c r="U191" s="1026">
        <f t="shared" si="32"/>
        <v>0</v>
      </c>
      <c r="V191" s="1026">
        <f>U191*(списки!$C$56-S191)</f>
        <v>0</v>
      </c>
      <c r="W191" s="1027">
        <v>5.2</v>
      </c>
      <c r="X191" s="1027"/>
      <c r="Y191" s="1027">
        <f t="shared" si="26"/>
        <v>27</v>
      </c>
      <c r="Z191" s="1027">
        <f>Y191*(списки!$C$56-W191)</f>
        <v>399.6</v>
      </c>
      <c r="AA191" s="1028">
        <v>-1.1000000000000001</v>
      </c>
      <c r="AB191" s="1028"/>
      <c r="AC191" s="1028">
        <f t="shared" si="27"/>
        <v>30</v>
      </c>
      <c r="AD191" s="1028">
        <f>AC191*(списки!$C$56-AA191)</f>
        <v>633</v>
      </c>
      <c r="AE191" s="1029">
        <v>-5.6</v>
      </c>
      <c r="AF191" s="1029"/>
      <c r="AG191" s="1029">
        <v>31</v>
      </c>
      <c r="AH191" s="1029">
        <f>AG191*(списки!$C$56-AE191)</f>
        <v>793.6</v>
      </c>
      <c r="AI191" s="1030">
        <v>-7.8</v>
      </c>
      <c r="AJ191" s="1030"/>
      <c r="AK191" s="1030">
        <v>31</v>
      </c>
      <c r="AL191" s="1030">
        <f>AK191*(списки!$C$56-AI191)</f>
        <v>861.80000000000007</v>
      </c>
      <c r="AM191" s="1031">
        <v>-7.1</v>
      </c>
      <c r="AN191" s="1031"/>
      <c r="AO191" s="1031">
        <v>28</v>
      </c>
      <c r="AP191" s="1031">
        <f>AO191*(списки!$C$56-AM191)</f>
        <v>758.80000000000007</v>
      </c>
      <c r="AQ191" s="1026">
        <v>-1.3</v>
      </c>
      <c r="AR191" s="1026"/>
      <c r="AS191" s="1026">
        <f t="shared" si="28"/>
        <v>31</v>
      </c>
      <c r="AT191" s="1026">
        <f>AS191*(списки!$C$56-AQ191)</f>
        <v>660.30000000000007</v>
      </c>
      <c r="AU191" s="1032">
        <v>6.4</v>
      </c>
      <c r="AV191" s="1032"/>
      <c r="AW191" s="1032">
        <f t="shared" si="29"/>
        <v>27</v>
      </c>
      <c r="AX191" s="1032">
        <f>AW191*(списки!$C$56-AU191)</f>
        <v>367.2</v>
      </c>
      <c r="AY191" s="1033">
        <v>13</v>
      </c>
      <c r="AZ191" s="1033"/>
      <c r="BA191" s="1033">
        <f t="shared" si="30"/>
        <v>0</v>
      </c>
      <c r="BB191" s="1033">
        <f>BA191*(списки!$C$56-AY191)</f>
        <v>0</v>
      </c>
      <c r="BC191" s="1034">
        <v>16.899999999999999</v>
      </c>
      <c r="BD191" s="1034"/>
      <c r="BE191" s="1034">
        <f t="shared" si="31"/>
        <v>0</v>
      </c>
      <c r="BF191" s="1035">
        <f>BE191*(списки!$C$56-BC191)</f>
        <v>0</v>
      </c>
      <c r="BG191" s="1424">
        <v>4253.9785714285717</v>
      </c>
      <c r="BH191" s="1424">
        <v>4025.9500000000007</v>
      </c>
    </row>
    <row r="192" spans="2:60" ht="15.75" customHeight="1" x14ac:dyDescent="0.25">
      <c r="B192" s="1038" t="s">
        <v>52</v>
      </c>
      <c r="C192" s="1038" t="s">
        <v>200</v>
      </c>
      <c r="D192" s="1015" t="str">
        <f t="shared" si="22"/>
        <v>Московская областьДмитров</v>
      </c>
      <c r="E192" s="1016">
        <v>216</v>
      </c>
      <c r="F192" s="1017">
        <v>-3.1</v>
      </c>
      <c r="G192" s="1017">
        <v>-28</v>
      </c>
      <c r="H192" s="1019">
        <v>5.2</v>
      </c>
      <c r="I192" s="1020">
        <f>E192*(списки!$C$56-F192)</f>
        <v>4989.6000000000004</v>
      </c>
      <c r="J192" s="1021" t="str">
        <f t="shared" si="23"/>
        <v>4000-5000</v>
      </c>
      <c r="K192" s="1022">
        <v>17.5</v>
      </c>
      <c r="L192" s="1022"/>
      <c r="M192" s="1023">
        <f t="shared" si="24"/>
        <v>0</v>
      </c>
      <c r="N192" s="1024">
        <f>M192*(списки!$C$56-K192)</f>
        <v>0</v>
      </c>
      <c r="O192" s="1025">
        <v>15.7</v>
      </c>
      <c r="P192" s="1025"/>
      <c r="Q192" s="1025">
        <f t="shared" si="25"/>
        <v>0</v>
      </c>
      <c r="R192" s="1025">
        <f>Q192*(списки!$C$56-O192)</f>
        <v>0</v>
      </c>
      <c r="S192" s="1026">
        <v>10.3</v>
      </c>
      <c r="T192" s="1026"/>
      <c r="U192" s="1026">
        <f t="shared" si="32"/>
        <v>2</v>
      </c>
      <c r="V192" s="1026">
        <f>U192*(списки!$C$56-S192)</f>
        <v>19.399999999999999</v>
      </c>
      <c r="W192" s="1027">
        <v>4</v>
      </c>
      <c r="X192" s="1027"/>
      <c r="Y192" s="1027">
        <f t="shared" si="26"/>
        <v>31</v>
      </c>
      <c r="Z192" s="1027">
        <f>Y192*(списки!$C$56-W192)</f>
        <v>496</v>
      </c>
      <c r="AA192" s="1028">
        <v>-2.4</v>
      </c>
      <c r="AB192" s="1028"/>
      <c r="AC192" s="1028">
        <f t="shared" si="27"/>
        <v>30</v>
      </c>
      <c r="AD192" s="1028">
        <f>AC192*(списки!$C$56-AA192)</f>
        <v>672</v>
      </c>
      <c r="AE192" s="1029">
        <v>-7.2</v>
      </c>
      <c r="AF192" s="1029"/>
      <c r="AG192" s="1029">
        <v>31</v>
      </c>
      <c r="AH192" s="1029">
        <f>AG192*(списки!$C$56-AE192)</f>
        <v>843.19999999999993</v>
      </c>
      <c r="AI192" s="1030">
        <v>-10.4</v>
      </c>
      <c r="AJ192" s="1030"/>
      <c r="AK192" s="1030">
        <v>31</v>
      </c>
      <c r="AL192" s="1030">
        <f>AK192*(списки!$C$56-AI192)</f>
        <v>942.4</v>
      </c>
      <c r="AM192" s="1031">
        <v>-9.5</v>
      </c>
      <c r="AN192" s="1031"/>
      <c r="AO192" s="1031">
        <v>28</v>
      </c>
      <c r="AP192" s="1031">
        <f>AO192*(списки!$C$56-AM192)</f>
        <v>826</v>
      </c>
      <c r="AQ192" s="1026">
        <v>-4.4000000000000004</v>
      </c>
      <c r="AR192" s="1026"/>
      <c r="AS192" s="1026">
        <f t="shared" si="28"/>
        <v>31</v>
      </c>
      <c r="AT192" s="1026">
        <f>AS192*(списки!$C$56-AQ192)</f>
        <v>756.4</v>
      </c>
      <c r="AU192" s="1032">
        <v>4.3</v>
      </c>
      <c r="AV192" s="1032"/>
      <c r="AW192" s="1032">
        <f t="shared" si="29"/>
        <v>30</v>
      </c>
      <c r="AX192" s="1032">
        <f>AW192*(списки!$C$56-AU192)</f>
        <v>471</v>
      </c>
      <c r="AY192" s="1033">
        <v>11.5</v>
      </c>
      <c r="AZ192" s="1033"/>
      <c r="BA192" s="1033">
        <f t="shared" si="30"/>
        <v>2</v>
      </c>
      <c r="BB192" s="1033">
        <f>BA192*(списки!$C$56-AY192)</f>
        <v>17</v>
      </c>
      <c r="BC192" s="1034">
        <v>15.7</v>
      </c>
      <c r="BD192" s="1034"/>
      <c r="BE192" s="1034">
        <f t="shared" si="31"/>
        <v>0</v>
      </c>
      <c r="BF192" s="1035">
        <f>BE192*(списки!$C$56-BC192)</f>
        <v>0</v>
      </c>
      <c r="BG192" s="1424" t="e">
        <v>#N/A</v>
      </c>
      <c r="BH192" s="1424" t="e">
        <v>#N/A</v>
      </c>
    </row>
    <row r="193" spans="2:60" ht="15.75" customHeight="1" x14ac:dyDescent="0.25">
      <c r="B193" s="1014" t="s">
        <v>52</v>
      </c>
      <c r="C193" s="1014" t="s">
        <v>201</v>
      </c>
      <c r="D193" s="1015" t="str">
        <f t="shared" si="22"/>
        <v>Московская областьКашира</v>
      </c>
      <c r="E193" s="1016">
        <v>212</v>
      </c>
      <c r="F193" s="1017">
        <v>-3.4</v>
      </c>
      <c r="G193" s="1017">
        <v>-27</v>
      </c>
      <c r="H193" s="1019">
        <f>H192</f>
        <v>5.2</v>
      </c>
      <c r="I193" s="1020">
        <f>E193*(списки!$C$56-F193)</f>
        <v>4960.7999999999993</v>
      </c>
      <c r="J193" s="1021" t="str">
        <f t="shared" si="23"/>
        <v>4000-5000</v>
      </c>
      <c r="K193" s="1022">
        <v>17.8</v>
      </c>
      <c r="L193" s="1022"/>
      <c r="M193" s="1023">
        <f t="shared" si="24"/>
        <v>0.5</v>
      </c>
      <c r="N193" s="1024">
        <f>M193*(списки!$C$56-K193)</f>
        <v>1.0999999999999996</v>
      </c>
      <c r="O193" s="1025">
        <v>16.5</v>
      </c>
      <c r="P193" s="1025"/>
      <c r="Q193" s="1025">
        <f t="shared" si="25"/>
        <v>0</v>
      </c>
      <c r="R193" s="1025">
        <f>Q193*(списки!$C$56-O193)</f>
        <v>0</v>
      </c>
      <c r="S193" s="1026">
        <v>11</v>
      </c>
      <c r="T193" s="1026"/>
      <c r="U193" s="1026">
        <f t="shared" si="32"/>
        <v>0</v>
      </c>
      <c r="V193" s="1026">
        <f>U193*(списки!$C$56-S193)</f>
        <v>0</v>
      </c>
      <c r="W193" s="1027">
        <v>4.0999999999999996</v>
      </c>
      <c r="X193" s="1027"/>
      <c r="Y193" s="1027">
        <f t="shared" si="26"/>
        <v>30.5</v>
      </c>
      <c r="Z193" s="1027">
        <f>Y193*(списки!$C$56-W193)</f>
        <v>484.95</v>
      </c>
      <c r="AA193" s="1028">
        <v>-2.2999999999999998</v>
      </c>
      <c r="AB193" s="1028"/>
      <c r="AC193" s="1028">
        <f t="shared" si="27"/>
        <v>30</v>
      </c>
      <c r="AD193" s="1028">
        <f>AC193*(списки!$C$56-AA193)</f>
        <v>669</v>
      </c>
      <c r="AE193" s="1029">
        <v>-7</v>
      </c>
      <c r="AF193" s="1029"/>
      <c r="AG193" s="1029">
        <v>31</v>
      </c>
      <c r="AH193" s="1029">
        <f>AG193*(списки!$C$56-AE193)</f>
        <v>837</v>
      </c>
      <c r="AI193" s="1030">
        <v>-10.9</v>
      </c>
      <c r="AJ193" s="1030"/>
      <c r="AK193" s="1030">
        <v>31</v>
      </c>
      <c r="AL193" s="1030">
        <f>AK193*(списки!$C$56-AI193)</f>
        <v>957.9</v>
      </c>
      <c r="AM193" s="1031">
        <v>-9.8000000000000007</v>
      </c>
      <c r="AN193" s="1031"/>
      <c r="AO193" s="1031">
        <v>28</v>
      </c>
      <c r="AP193" s="1031">
        <f>AO193*(списки!$C$56-AM193)</f>
        <v>834.4</v>
      </c>
      <c r="AQ193" s="1026">
        <v>-4.5999999999999996</v>
      </c>
      <c r="AR193" s="1026"/>
      <c r="AS193" s="1026">
        <f t="shared" si="28"/>
        <v>31</v>
      </c>
      <c r="AT193" s="1026">
        <f>AS193*(списки!$C$56-AQ193)</f>
        <v>762.6</v>
      </c>
      <c r="AU193" s="1032">
        <v>4.5999999999999996</v>
      </c>
      <c r="AV193" s="1032"/>
      <c r="AW193" s="1032">
        <f t="shared" si="29"/>
        <v>30</v>
      </c>
      <c r="AX193" s="1032">
        <f>AW193*(списки!$C$56-AU193)</f>
        <v>462</v>
      </c>
      <c r="AY193" s="1033">
        <v>12.2</v>
      </c>
      <c r="AZ193" s="1033"/>
      <c r="BA193" s="1033">
        <f t="shared" si="30"/>
        <v>0</v>
      </c>
      <c r="BB193" s="1033">
        <f>BA193*(списки!$C$56-AY193)</f>
        <v>0</v>
      </c>
      <c r="BC193" s="1034">
        <v>16.3</v>
      </c>
      <c r="BD193" s="1034"/>
      <c r="BE193" s="1034">
        <f t="shared" si="31"/>
        <v>0</v>
      </c>
      <c r="BF193" s="1035">
        <f>BE193*(списки!$C$56-BC193)</f>
        <v>0</v>
      </c>
      <c r="BG193" s="1424">
        <v>4421.801785714285</v>
      </c>
      <c r="BH193" s="1424">
        <v>4462.0000000000009</v>
      </c>
    </row>
    <row r="194" spans="2:60" ht="15.75" customHeight="1" x14ac:dyDescent="0.25">
      <c r="B194" s="1038" t="s">
        <v>202</v>
      </c>
      <c r="C194" s="1038" t="s">
        <v>214</v>
      </c>
      <c r="D194" s="1015" t="str">
        <f t="shared" si="22"/>
        <v>Мурманская областьВайда-Губа</v>
      </c>
      <c r="E194" s="1016">
        <v>287</v>
      </c>
      <c r="F194" s="1017">
        <v>-0.8</v>
      </c>
      <c r="G194" s="1017">
        <v>-16</v>
      </c>
      <c r="H194" s="1019">
        <v>8.8000000000000007</v>
      </c>
      <c r="I194" s="1020">
        <f>E194*(списки!$C$56-F194)</f>
        <v>5969.6</v>
      </c>
      <c r="J194" s="1021" t="str">
        <f t="shared" si="23"/>
        <v>5000-6000</v>
      </c>
      <c r="K194" s="1022">
        <v>10.7</v>
      </c>
      <c r="L194" s="1022"/>
      <c r="M194" s="1023">
        <f t="shared" si="24"/>
        <v>0</v>
      </c>
      <c r="N194" s="1024">
        <f>M194*(списки!$C$56-K194)</f>
        <v>0</v>
      </c>
      <c r="O194" s="1025">
        <v>10.199999999999999</v>
      </c>
      <c r="P194" s="1025"/>
      <c r="Q194" s="1025">
        <f t="shared" si="25"/>
        <v>7</v>
      </c>
      <c r="R194" s="1025">
        <f>Q194*(списки!$C$56-O194)</f>
        <v>68.600000000000009</v>
      </c>
      <c r="S194" s="1026">
        <v>7.1</v>
      </c>
      <c r="T194" s="1026"/>
      <c r="U194" s="1026">
        <f t="shared" si="32"/>
        <v>30</v>
      </c>
      <c r="V194" s="1026">
        <f>U194*(списки!$C$56-S194)</f>
        <v>387</v>
      </c>
      <c r="W194" s="1027">
        <v>2.4</v>
      </c>
      <c r="X194" s="1027"/>
      <c r="Y194" s="1027">
        <f t="shared" si="26"/>
        <v>31</v>
      </c>
      <c r="Z194" s="1027">
        <f>Y194*(списки!$C$56-W194)</f>
        <v>545.6</v>
      </c>
      <c r="AA194" s="1028">
        <v>-1.6</v>
      </c>
      <c r="AB194" s="1028"/>
      <c r="AC194" s="1028">
        <f t="shared" si="27"/>
        <v>30</v>
      </c>
      <c r="AD194" s="1028">
        <f>AC194*(списки!$C$56-AA194)</f>
        <v>648</v>
      </c>
      <c r="AE194" s="1029">
        <v>-3.5</v>
      </c>
      <c r="AF194" s="1029"/>
      <c r="AG194" s="1029">
        <v>31</v>
      </c>
      <c r="AH194" s="1029">
        <f>AG194*(списки!$C$56-AE194)</f>
        <v>728.5</v>
      </c>
      <c r="AI194" s="1030">
        <v>-5.3</v>
      </c>
      <c r="AJ194" s="1030"/>
      <c r="AK194" s="1030">
        <v>31</v>
      </c>
      <c r="AL194" s="1030">
        <f>AK194*(списки!$C$56-AI194)</f>
        <v>784.30000000000007</v>
      </c>
      <c r="AM194" s="1031">
        <v>-5.9</v>
      </c>
      <c r="AN194" s="1031"/>
      <c r="AO194" s="1031">
        <v>28</v>
      </c>
      <c r="AP194" s="1031">
        <f>AO194*(списки!$C$56-AM194)</f>
        <v>725.19999999999993</v>
      </c>
      <c r="AQ194" s="1026">
        <v>-3.8</v>
      </c>
      <c r="AR194" s="1026"/>
      <c r="AS194" s="1026">
        <f t="shared" si="28"/>
        <v>31</v>
      </c>
      <c r="AT194" s="1026">
        <f>AS194*(списки!$C$56-AQ194)</f>
        <v>737.80000000000007</v>
      </c>
      <c r="AU194" s="1032">
        <v>-1.2</v>
      </c>
      <c r="AV194" s="1032"/>
      <c r="AW194" s="1032">
        <f t="shared" si="29"/>
        <v>30</v>
      </c>
      <c r="AX194" s="1032">
        <f>AW194*(списки!$C$56-AU194)</f>
        <v>636</v>
      </c>
      <c r="AY194" s="1033">
        <v>2.8</v>
      </c>
      <c r="AZ194" s="1033"/>
      <c r="BA194" s="1033">
        <f t="shared" si="30"/>
        <v>31</v>
      </c>
      <c r="BB194" s="1033">
        <f>BA194*(списки!$C$56-AY194)</f>
        <v>533.19999999999993</v>
      </c>
      <c r="BC194" s="1034">
        <v>7.1</v>
      </c>
      <c r="BD194" s="1034"/>
      <c r="BE194" s="1034">
        <f t="shared" si="31"/>
        <v>7</v>
      </c>
      <c r="BF194" s="1035">
        <f>BE194*(списки!$C$56-BC194)</f>
        <v>90.3</v>
      </c>
      <c r="BG194" s="1424">
        <v>5021.2723809523795</v>
      </c>
      <c r="BH194" s="1424">
        <v>5708.3785714285723</v>
      </c>
    </row>
    <row r="195" spans="2:60" ht="15.75" customHeight="1" x14ac:dyDescent="0.25">
      <c r="B195" s="1014" t="s">
        <v>202</v>
      </c>
      <c r="C195" s="1014" t="s">
        <v>203</v>
      </c>
      <c r="D195" s="1015" t="str">
        <f t="shared" si="22"/>
        <v>Мурманская областьКандалакша</v>
      </c>
      <c r="E195" s="1016">
        <v>265</v>
      </c>
      <c r="F195" s="1017">
        <v>-4.5999999999999996</v>
      </c>
      <c r="G195" s="1017">
        <v>-30</v>
      </c>
      <c r="H195" s="1019">
        <v>3.3</v>
      </c>
      <c r="I195" s="1020">
        <f>E195*(списки!$C$56-F195)</f>
        <v>6519</v>
      </c>
      <c r="J195" s="1021" t="str">
        <f t="shared" si="23"/>
        <v>6000-7000</v>
      </c>
      <c r="K195" s="1022">
        <v>14.5</v>
      </c>
      <c r="L195" s="1022"/>
      <c r="M195" s="1023">
        <f t="shared" si="24"/>
        <v>0</v>
      </c>
      <c r="N195" s="1024">
        <f>M195*(списки!$C$56-K195)</f>
        <v>0</v>
      </c>
      <c r="O195" s="1025">
        <v>12.1</v>
      </c>
      <c r="P195" s="1025"/>
      <c r="Q195" s="1025">
        <f t="shared" si="25"/>
        <v>0</v>
      </c>
      <c r="R195" s="1025">
        <f>Q195*(списки!$C$56-O195)</f>
        <v>0</v>
      </c>
      <c r="S195" s="1026">
        <v>6.8</v>
      </c>
      <c r="T195" s="1026"/>
      <c r="U195" s="1026">
        <f t="shared" si="32"/>
        <v>26.5</v>
      </c>
      <c r="V195" s="1026">
        <f>U195*(списки!$C$56-S195)</f>
        <v>349.79999999999995</v>
      </c>
      <c r="W195" s="1027">
        <v>0.8</v>
      </c>
      <c r="X195" s="1027"/>
      <c r="Y195" s="1027">
        <f t="shared" si="26"/>
        <v>31</v>
      </c>
      <c r="Z195" s="1027">
        <f>Y195*(списки!$C$56-W195)</f>
        <v>595.19999999999993</v>
      </c>
      <c r="AA195" s="1028">
        <v>-5.5</v>
      </c>
      <c r="AB195" s="1028"/>
      <c r="AC195" s="1028">
        <f t="shared" si="27"/>
        <v>30</v>
      </c>
      <c r="AD195" s="1028">
        <f>AC195*(списки!$C$56-AA195)</f>
        <v>765</v>
      </c>
      <c r="AE195" s="1029">
        <v>-9.6999999999999993</v>
      </c>
      <c r="AF195" s="1029"/>
      <c r="AG195" s="1029">
        <v>31</v>
      </c>
      <c r="AH195" s="1029">
        <f>AG195*(списки!$C$56-AE195)</f>
        <v>920.69999999999993</v>
      </c>
      <c r="AI195" s="1030">
        <v>-12.7</v>
      </c>
      <c r="AJ195" s="1030"/>
      <c r="AK195" s="1030">
        <v>31</v>
      </c>
      <c r="AL195" s="1030">
        <f>AK195*(списки!$C$56-AI195)</f>
        <v>1013.7</v>
      </c>
      <c r="AM195" s="1031">
        <v>-12.4</v>
      </c>
      <c r="AN195" s="1031"/>
      <c r="AO195" s="1031">
        <v>28</v>
      </c>
      <c r="AP195" s="1031">
        <f>AO195*(списки!$C$56-AM195)</f>
        <v>907.19999999999993</v>
      </c>
      <c r="AQ195" s="1026">
        <v>-6.8</v>
      </c>
      <c r="AR195" s="1026"/>
      <c r="AS195" s="1026">
        <f t="shared" si="28"/>
        <v>31</v>
      </c>
      <c r="AT195" s="1026">
        <f>AS195*(списки!$C$56-AQ195)</f>
        <v>830.80000000000007</v>
      </c>
      <c r="AU195" s="1032">
        <v>-1.6</v>
      </c>
      <c r="AV195" s="1032"/>
      <c r="AW195" s="1032">
        <f t="shared" si="29"/>
        <v>30</v>
      </c>
      <c r="AX195" s="1032">
        <f>AW195*(списки!$C$56-AU195)</f>
        <v>648</v>
      </c>
      <c r="AY195" s="1033">
        <v>4.5999999999999996</v>
      </c>
      <c r="AZ195" s="1033"/>
      <c r="BA195" s="1033">
        <f t="shared" si="30"/>
        <v>26.5</v>
      </c>
      <c r="BB195" s="1033">
        <f>BA195*(списки!$C$56-AY195)</f>
        <v>408.1</v>
      </c>
      <c r="BC195" s="1034">
        <v>11.2</v>
      </c>
      <c r="BD195" s="1034"/>
      <c r="BE195" s="1034">
        <f t="shared" si="31"/>
        <v>0</v>
      </c>
      <c r="BF195" s="1035">
        <f>BE195*(списки!$C$56-BC195)</f>
        <v>0</v>
      </c>
      <c r="BG195" s="1424">
        <v>5379.9982142857143</v>
      </c>
      <c r="BH195" s="1424">
        <v>6120.1517857142808</v>
      </c>
    </row>
    <row r="196" spans="2:60" ht="15.75" customHeight="1" x14ac:dyDescent="0.25">
      <c r="B196" s="1038" t="s">
        <v>202</v>
      </c>
      <c r="C196" s="1038" t="s">
        <v>204</v>
      </c>
      <c r="D196" s="1015" t="str">
        <f t="shared" si="22"/>
        <v>Мурманская областьКовдор</v>
      </c>
      <c r="E196" s="1016">
        <v>271</v>
      </c>
      <c r="F196" s="1017">
        <v>-4.9000000000000004</v>
      </c>
      <c r="G196" s="1017">
        <v>-35</v>
      </c>
      <c r="H196" s="1019">
        <v>2.7</v>
      </c>
      <c r="I196" s="1020">
        <f>E196*(списки!$C$56-F196)</f>
        <v>6747.9</v>
      </c>
      <c r="J196" s="1021" t="str">
        <f t="shared" si="23"/>
        <v>6000-7000</v>
      </c>
      <c r="K196" s="1022">
        <v>13.7</v>
      </c>
      <c r="L196" s="1022"/>
      <c r="M196" s="1023">
        <f t="shared" si="24"/>
        <v>0</v>
      </c>
      <c r="N196" s="1024">
        <f>M196*(списки!$C$56-K196)</f>
        <v>0</v>
      </c>
      <c r="O196" s="1025">
        <v>11</v>
      </c>
      <c r="P196" s="1025"/>
      <c r="Q196" s="1025">
        <f t="shared" si="25"/>
        <v>0</v>
      </c>
      <c r="R196" s="1025">
        <f>Q196*(списки!$C$56-O196)</f>
        <v>0</v>
      </c>
      <c r="S196" s="1026">
        <v>5.8</v>
      </c>
      <c r="T196" s="1026"/>
      <c r="U196" s="1026">
        <f t="shared" si="32"/>
        <v>29.5</v>
      </c>
      <c r="V196" s="1026">
        <f>U196*(списки!$C$56-S196)</f>
        <v>418.9</v>
      </c>
      <c r="W196" s="1027">
        <v>-0.6</v>
      </c>
      <c r="X196" s="1027"/>
      <c r="Y196" s="1027">
        <f t="shared" si="26"/>
        <v>31</v>
      </c>
      <c r="Z196" s="1027">
        <f>Y196*(списки!$C$56-W196)</f>
        <v>638.6</v>
      </c>
      <c r="AA196" s="1028">
        <v>-6.6</v>
      </c>
      <c r="AB196" s="1028"/>
      <c r="AC196" s="1028">
        <f t="shared" si="27"/>
        <v>30</v>
      </c>
      <c r="AD196" s="1028">
        <f>AC196*(списки!$C$56-AA196)</f>
        <v>798</v>
      </c>
      <c r="AE196" s="1029">
        <v>-10.199999999999999</v>
      </c>
      <c r="AF196" s="1029"/>
      <c r="AG196" s="1029">
        <v>31</v>
      </c>
      <c r="AH196" s="1029">
        <f>AG196*(списки!$C$56-AE196)</f>
        <v>936.19999999999993</v>
      </c>
      <c r="AI196" s="1030">
        <v>-12.8</v>
      </c>
      <c r="AJ196" s="1030"/>
      <c r="AK196" s="1030">
        <v>31</v>
      </c>
      <c r="AL196" s="1030">
        <f>AK196*(списки!$C$56-AI196)</f>
        <v>1016.8</v>
      </c>
      <c r="AM196" s="1031">
        <v>-12.3</v>
      </c>
      <c r="AN196" s="1031"/>
      <c r="AO196" s="1031">
        <v>28</v>
      </c>
      <c r="AP196" s="1031">
        <f>AO196*(списки!$C$56-AM196)</f>
        <v>904.39999999999986</v>
      </c>
      <c r="AQ196" s="1026">
        <v>-7.2</v>
      </c>
      <c r="AR196" s="1026"/>
      <c r="AS196" s="1026">
        <f t="shared" si="28"/>
        <v>31</v>
      </c>
      <c r="AT196" s="1026">
        <f>AS196*(списки!$C$56-AQ196)</f>
        <v>843.19999999999993</v>
      </c>
      <c r="AU196" s="1032">
        <v>-2</v>
      </c>
      <c r="AV196" s="1032"/>
      <c r="AW196" s="1032">
        <f t="shared" si="29"/>
        <v>30</v>
      </c>
      <c r="AX196" s="1032">
        <f>AW196*(списки!$C$56-AU196)</f>
        <v>660</v>
      </c>
      <c r="AY196" s="1033">
        <v>4.2</v>
      </c>
      <c r="AZ196" s="1033"/>
      <c r="BA196" s="1033">
        <f t="shared" si="30"/>
        <v>29.5</v>
      </c>
      <c r="BB196" s="1033">
        <f>BA196*(списки!$C$56-AY196)</f>
        <v>466.1</v>
      </c>
      <c r="BC196" s="1034">
        <v>10.8</v>
      </c>
      <c r="BD196" s="1034"/>
      <c r="BE196" s="1034">
        <f t="shared" si="31"/>
        <v>0</v>
      </c>
      <c r="BF196" s="1035">
        <f>BE196*(списки!$C$56-BC196)</f>
        <v>0</v>
      </c>
      <c r="BG196" s="1424" t="e">
        <v>#N/A</v>
      </c>
      <c r="BH196" s="1424" t="e">
        <v>#N/A</v>
      </c>
    </row>
    <row r="197" spans="2:60" ht="15.75" customHeight="1" x14ac:dyDescent="0.25">
      <c r="B197" s="1014" t="s">
        <v>202</v>
      </c>
      <c r="C197" s="1014" t="s">
        <v>205</v>
      </c>
      <c r="D197" s="1015" t="str">
        <f t="shared" si="22"/>
        <v>Мурманская областьКраснощелье</v>
      </c>
      <c r="E197" s="1016">
        <v>279</v>
      </c>
      <c r="F197" s="1017">
        <v>-5.4</v>
      </c>
      <c r="G197" s="1017">
        <v>-35</v>
      </c>
      <c r="H197" s="1019">
        <v>3.6</v>
      </c>
      <c r="I197" s="1020">
        <f>E197*(списки!$C$56-F197)</f>
        <v>7086.5999999999995</v>
      </c>
      <c r="J197" s="1021" t="str">
        <f t="shared" si="23"/>
        <v>7000-8000</v>
      </c>
      <c r="K197" s="1022">
        <v>13.3</v>
      </c>
      <c r="L197" s="1022"/>
      <c r="M197" s="1023">
        <f t="shared" si="24"/>
        <v>0</v>
      </c>
      <c r="N197" s="1024">
        <f>M197*(списки!$C$56-K197)</f>
        <v>0</v>
      </c>
      <c r="O197" s="1025">
        <v>10.7</v>
      </c>
      <c r="P197" s="1025"/>
      <c r="Q197" s="1025">
        <f t="shared" si="25"/>
        <v>3</v>
      </c>
      <c r="R197" s="1025">
        <f>Q197*(списки!$C$56-O197)</f>
        <v>27.900000000000002</v>
      </c>
      <c r="S197" s="1026">
        <v>5.9</v>
      </c>
      <c r="T197" s="1026"/>
      <c r="U197" s="1026">
        <f t="shared" si="32"/>
        <v>30</v>
      </c>
      <c r="V197" s="1026">
        <f>U197*(списки!$C$56-S197)</f>
        <v>423</v>
      </c>
      <c r="W197" s="1027">
        <v>-0.5</v>
      </c>
      <c r="X197" s="1027"/>
      <c r="Y197" s="1027">
        <f t="shared" si="26"/>
        <v>31</v>
      </c>
      <c r="Z197" s="1027">
        <f>Y197*(списки!$C$56-W197)</f>
        <v>635.5</v>
      </c>
      <c r="AA197" s="1028">
        <v>-6.9</v>
      </c>
      <c r="AB197" s="1028"/>
      <c r="AC197" s="1028">
        <f t="shared" si="27"/>
        <v>30</v>
      </c>
      <c r="AD197" s="1028">
        <f>AC197*(списки!$C$56-AA197)</f>
        <v>807</v>
      </c>
      <c r="AE197" s="1029">
        <v>-10.6</v>
      </c>
      <c r="AF197" s="1029"/>
      <c r="AG197" s="1029">
        <v>31</v>
      </c>
      <c r="AH197" s="1029">
        <f>AG197*(списки!$C$56-AE197)</f>
        <v>948.6</v>
      </c>
      <c r="AI197" s="1030">
        <v>-13.9</v>
      </c>
      <c r="AJ197" s="1030"/>
      <c r="AK197" s="1030">
        <v>31</v>
      </c>
      <c r="AL197" s="1030">
        <f>AK197*(списки!$C$56-AI197)</f>
        <v>1050.8999999999999</v>
      </c>
      <c r="AM197" s="1031">
        <v>-13.8</v>
      </c>
      <c r="AN197" s="1031"/>
      <c r="AO197" s="1031">
        <v>28</v>
      </c>
      <c r="AP197" s="1031">
        <f>AO197*(списки!$C$56-AM197)</f>
        <v>946.39999999999986</v>
      </c>
      <c r="AQ197" s="1026">
        <v>-8.5</v>
      </c>
      <c r="AR197" s="1026"/>
      <c r="AS197" s="1026">
        <f t="shared" si="28"/>
        <v>31</v>
      </c>
      <c r="AT197" s="1026">
        <f>AS197*(списки!$C$56-AQ197)</f>
        <v>883.5</v>
      </c>
      <c r="AU197" s="1032">
        <v>-3.5</v>
      </c>
      <c r="AV197" s="1032"/>
      <c r="AW197" s="1032">
        <f t="shared" si="29"/>
        <v>30</v>
      </c>
      <c r="AX197" s="1032">
        <f>AW197*(списки!$C$56-AU197)</f>
        <v>705</v>
      </c>
      <c r="AY197" s="1033">
        <v>2.7</v>
      </c>
      <c r="AZ197" s="1033"/>
      <c r="BA197" s="1033">
        <f t="shared" si="30"/>
        <v>31</v>
      </c>
      <c r="BB197" s="1033">
        <f>BA197*(списки!$C$56-AY197)</f>
        <v>536.30000000000007</v>
      </c>
      <c r="BC197" s="1034">
        <v>9.6</v>
      </c>
      <c r="BD197" s="1034"/>
      <c r="BE197" s="1034">
        <f t="shared" si="31"/>
        <v>3</v>
      </c>
      <c r="BF197" s="1035">
        <f>BE197*(списки!$C$56-BC197)</f>
        <v>31.200000000000003</v>
      </c>
      <c r="BG197" s="1424">
        <v>5991.1625000000004</v>
      </c>
      <c r="BH197" s="1424">
        <v>6698.0696428571418</v>
      </c>
    </row>
    <row r="198" spans="2:60" ht="15.75" customHeight="1" x14ac:dyDescent="0.25">
      <c r="B198" s="1038" t="s">
        <v>202</v>
      </c>
      <c r="C198" s="1038" t="s">
        <v>206</v>
      </c>
      <c r="D198" s="1015" t="str">
        <f t="shared" si="22"/>
        <v>Мурманская областьЛовозеро</v>
      </c>
      <c r="E198" s="1016">
        <v>281</v>
      </c>
      <c r="F198" s="1017">
        <v>-5</v>
      </c>
      <c r="G198" s="1017">
        <v>-31</v>
      </c>
      <c r="H198" s="1019">
        <v>3.9</v>
      </c>
      <c r="I198" s="1020">
        <f>E198*(списки!$C$56-F198)</f>
        <v>7025</v>
      </c>
      <c r="J198" s="1021" t="str">
        <f t="shared" si="23"/>
        <v>7000-8000</v>
      </c>
      <c r="K198" s="1022">
        <v>13</v>
      </c>
      <c r="L198" s="1022"/>
      <c r="M198" s="1023">
        <f t="shared" si="24"/>
        <v>0</v>
      </c>
      <c r="N198" s="1024">
        <f>M198*(списки!$C$56-K198)</f>
        <v>0</v>
      </c>
      <c r="O198" s="1025">
        <v>11.1</v>
      </c>
      <c r="P198" s="1025"/>
      <c r="Q198" s="1025">
        <f t="shared" si="25"/>
        <v>4</v>
      </c>
      <c r="R198" s="1025">
        <f>Q198*(списки!$C$56-O198)</f>
        <v>35.6</v>
      </c>
      <c r="S198" s="1026">
        <v>5.6</v>
      </c>
      <c r="T198" s="1026"/>
      <c r="U198" s="1026">
        <f t="shared" si="32"/>
        <v>30</v>
      </c>
      <c r="V198" s="1026">
        <f>U198*(списки!$C$56-S198)</f>
        <v>432</v>
      </c>
      <c r="W198" s="1027">
        <v>-0.9</v>
      </c>
      <c r="X198" s="1027"/>
      <c r="Y198" s="1027">
        <f t="shared" si="26"/>
        <v>31</v>
      </c>
      <c r="Z198" s="1027">
        <f>Y198*(списки!$C$56-W198)</f>
        <v>647.9</v>
      </c>
      <c r="AA198" s="1028">
        <v>-6.2</v>
      </c>
      <c r="AB198" s="1028"/>
      <c r="AC198" s="1028">
        <f t="shared" si="27"/>
        <v>30</v>
      </c>
      <c r="AD198" s="1028">
        <f>AC198*(списки!$C$56-AA198)</f>
        <v>786</v>
      </c>
      <c r="AE198" s="1029">
        <v>-10.4</v>
      </c>
      <c r="AF198" s="1029"/>
      <c r="AG198" s="1029">
        <v>31</v>
      </c>
      <c r="AH198" s="1029">
        <f>AG198*(списки!$C$56-AE198)</f>
        <v>942.4</v>
      </c>
      <c r="AI198" s="1030">
        <v>-13.2</v>
      </c>
      <c r="AJ198" s="1030"/>
      <c r="AK198" s="1030">
        <v>31</v>
      </c>
      <c r="AL198" s="1030">
        <f>AK198*(списки!$C$56-AI198)</f>
        <v>1029.2</v>
      </c>
      <c r="AM198" s="1031">
        <v>-13.8</v>
      </c>
      <c r="AN198" s="1031"/>
      <c r="AO198" s="1031">
        <v>28</v>
      </c>
      <c r="AP198" s="1031">
        <f>AO198*(списки!$C$56-AM198)</f>
        <v>946.39999999999986</v>
      </c>
      <c r="AQ198" s="1026">
        <v>-10.199999999999999</v>
      </c>
      <c r="AR198" s="1026"/>
      <c r="AS198" s="1026">
        <f t="shared" si="28"/>
        <v>31</v>
      </c>
      <c r="AT198" s="1026">
        <f>AS198*(списки!$C$56-AQ198)</f>
        <v>936.19999999999993</v>
      </c>
      <c r="AU198" s="1032">
        <v>-3.8</v>
      </c>
      <c r="AV198" s="1032"/>
      <c r="AW198" s="1032">
        <f t="shared" si="29"/>
        <v>30</v>
      </c>
      <c r="AX198" s="1032">
        <f>AW198*(списки!$C$56-AU198)</f>
        <v>714</v>
      </c>
      <c r="AY198" s="1033">
        <v>2.4</v>
      </c>
      <c r="AZ198" s="1033"/>
      <c r="BA198" s="1033">
        <f t="shared" si="30"/>
        <v>31</v>
      </c>
      <c r="BB198" s="1033">
        <f>BA198*(списки!$C$56-AY198)</f>
        <v>545.6</v>
      </c>
      <c r="BC198" s="1034">
        <v>9.1</v>
      </c>
      <c r="BD198" s="1034"/>
      <c r="BE198" s="1034">
        <f t="shared" si="31"/>
        <v>4</v>
      </c>
      <c r="BF198" s="1035">
        <f>BE198*(списки!$C$56-BC198)</f>
        <v>43.6</v>
      </c>
      <c r="BG198" s="1424">
        <v>6196.0000000000009</v>
      </c>
      <c r="BH198" s="1424">
        <v>6961.2499999999936</v>
      </c>
    </row>
    <row r="199" spans="2:60" ht="15.75" customHeight="1" x14ac:dyDescent="0.25">
      <c r="B199" s="1014" t="s">
        <v>202</v>
      </c>
      <c r="C199" s="1014" t="s">
        <v>207</v>
      </c>
      <c r="D199" s="1015" t="str">
        <f t="shared" si="22"/>
        <v>Мурманская областьМончегорск</v>
      </c>
      <c r="E199" s="1016">
        <v>271</v>
      </c>
      <c r="F199" s="1017">
        <v>-4.5</v>
      </c>
      <c r="G199" s="1017">
        <v>-30</v>
      </c>
      <c r="H199" s="1019">
        <v>5.7</v>
      </c>
      <c r="I199" s="1020">
        <f>E199*(списки!$C$56-F199)</f>
        <v>6639.5</v>
      </c>
      <c r="J199" s="1021" t="str">
        <f t="shared" si="23"/>
        <v>6000-7000</v>
      </c>
      <c r="K199" s="1022">
        <v>13.8</v>
      </c>
      <c r="L199" s="1022"/>
      <c r="M199" s="1023">
        <f t="shared" si="24"/>
        <v>0</v>
      </c>
      <c r="N199" s="1024">
        <f>M199*(списки!$C$56-K199)</f>
        <v>0</v>
      </c>
      <c r="O199" s="1025">
        <v>12</v>
      </c>
      <c r="P199" s="1025"/>
      <c r="Q199" s="1025">
        <f t="shared" si="25"/>
        <v>0</v>
      </c>
      <c r="R199" s="1025">
        <f>Q199*(списки!$C$56-O199)</f>
        <v>0</v>
      </c>
      <c r="S199" s="1026">
        <v>6.6</v>
      </c>
      <c r="T199" s="1026"/>
      <c r="U199" s="1026">
        <f t="shared" si="32"/>
        <v>29.5</v>
      </c>
      <c r="V199" s="1026">
        <f>U199*(списки!$C$56-S199)</f>
        <v>395.3</v>
      </c>
      <c r="W199" s="1027">
        <v>0.2</v>
      </c>
      <c r="X199" s="1027"/>
      <c r="Y199" s="1027">
        <f t="shared" si="26"/>
        <v>31</v>
      </c>
      <c r="Z199" s="1027">
        <f>Y199*(списки!$C$56-W199)</f>
        <v>613.80000000000007</v>
      </c>
      <c r="AA199" s="1028">
        <v>-5.4</v>
      </c>
      <c r="AB199" s="1028"/>
      <c r="AC199" s="1028">
        <f t="shared" si="27"/>
        <v>30</v>
      </c>
      <c r="AD199" s="1028">
        <f>AC199*(списки!$C$56-AA199)</f>
        <v>762</v>
      </c>
      <c r="AE199" s="1029">
        <v>-9.6999999999999993</v>
      </c>
      <c r="AF199" s="1029"/>
      <c r="AG199" s="1029">
        <v>31</v>
      </c>
      <c r="AH199" s="1029">
        <f>AG199*(списки!$C$56-AE199)</f>
        <v>920.69999999999993</v>
      </c>
      <c r="AI199" s="1030">
        <v>-12.8</v>
      </c>
      <c r="AJ199" s="1030"/>
      <c r="AK199" s="1030">
        <v>31</v>
      </c>
      <c r="AL199" s="1030">
        <f>AK199*(списки!$C$56-AI199)</f>
        <v>1016.8</v>
      </c>
      <c r="AM199" s="1031">
        <v>-12.7</v>
      </c>
      <c r="AN199" s="1031"/>
      <c r="AO199" s="1031">
        <v>28</v>
      </c>
      <c r="AP199" s="1031">
        <f>AO199*(списки!$C$56-AM199)</f>
        <v>915.60000000000014</v>
      </c>
      <c r="AQ199" s="1026">
        <v>-8.6</v>
      </c>
      <c r="AR199" s="1026"/>
      <c r="AS199" s="1026">
        <f t="shared" si="28"/>
        <v>31</v>
      </c>
      <c r="AT199" s="1026">
        <f>AS199*(списки!$C$56-AQ199)</f>
        <v>886.6</v>
      </c>
      <c r="AU199" s="1032">
        <v>-2.5</v>
      </c>
      <c r="AV199" s="1032"/>
      <c r="AW199" s="1032">
        <f t="shared" si="29"/>
        <v>30</v>
      </c>
      <c r="AX199" s="1032">
        <f>AW199*(списки!$C$56-AU199)</f>
        <v>675</v>
      </c>
      <c r="AY199" s="1033">
        <v>3.4</v>
      </c>
      <c r="AZ199" s="1033"/>
      <c r="BA199" s="1033">
        <f t="shared" si="30"/>
        <v>29.5</v>
      </c>
      <c r="BB199" s="1033">
        <f>BA199*(списки!$C$56-AY199)</f>
        <v>489.70000000000005</v>
      </c>
      <c r="BC199" s="1034">
        <v>10.199999999999999</v>
      </c>
      <c r="BD199" s="1034"/>
      <c r="BE199" s="1034">
        <f t="shared" si="31"/>
        <v>0</v>
      </c>
      <c r="BF199" s="1035">
        <f>BE199*(списки!$C$56-BC199)</f>
        <v>0</v>
      </c>
      <c r="BG199" s="1424">
        <v>5911.9933333333347</v>
      </c>
      <c r="BH199" s="1424">
        <v>6589.7866666666705</v>
      </c>
    </row>
    <row r="200" spans="2:60" ht="15.75" customHeight="1" x14ac:dyDescent="0.25">
      <c r="B200" s="1038" t="s">
        <v>202</v>
      </c>
      <c r="C200" s="1038" t="s">
        <v>208</v>
      </c>
      <c r="D200" s="1015" t="str">
        <f t="shared" si="22"/>
        <v>Мурманская областьМурманск</v>
      </c>
      <c r="E200" s="1016">
        <v>275</v>
      </c>
      <c r="F200" s="1017">
        <v>-3.4</v>
      </c>
      <c r="G200" s="1017">
        <v>-30</v>
      </c>
      <c r="H200" s="1019">
        <v>5.6</v>
      </c>
      <c r="I200" s="1020">
        <f>E200*(списки!$C$56-F200)</f>
        <v>6435</v>
      </c>
      <c r="J200" s="1021" t="str">
        <f t="shared" si="23"/>
        <v>6000-7000</v>
      </c>
      <c r="K200" s="1022">
        <v>12.8</v>
      </c>
      <c r="L200" s="1022"/>
      <c r="M200" s="1023">
        <f t="shared" si="24"/>
        <v>0</v>
      </c>
      <c r="N200" s="1024">
        <f>M200*(списки!$C$56-K200)</f>
        <v>0</v>
      </c>
      <c r="O200" s="1025">
        <v>11.1</v>
      </c>
      <c r="P200" s="1025"/>
      <c r="Q200" s="1025">
        <f t="shared" si="25"/>
        <v>1</v>
      </c>
      <c r="R200" s="1025">
        <f>Q200*(списки!$C$56-O200)</f>
        <v>8.9</v>
      </c>
      <c r="S200" s="1026">
        <v>6.8</v>
      </c>
      <c r="T200" s="1026"/>
      <c r="U200" s="1026">
        <f t="shared" si="32"/>
        <v>30</v>
      </c>
      <c r="V200" s="1026">
        <f>U200*(списки!$C$56-S200)</f>
        <v>396</v>
      </c>
      <c r="W200" s="1027">
        <v>0.9</v>
      </c>
      <c r="X200" s="1027"/>
      <c r="Y200" s="1027">
        <f t="shared" si="26"/>
        <v>31</v>
      </c>
      <c r="Z200" s="1027">
        <f>Y200*(списки!$C$56-W200)</f>
        <v>592.1</v>
      </c>
      <c r="AA200" s="1028">
        <v>-4.9000000000000004</v>
      </c>
      <c r="AB200" s="1028"/>
      <c r="AC200" s="1028">
        <f t="shared" si="27"/>
        <v>30</v>
      </c>
      <c r="AD200" s="1028">
        <f>AC200*(списки!$C$56-AA200)</f>
        <v>747</v>
      </c>
      <c r="AE200" s="1029">
        <v>-8.1999999999999993</v>
      </c>
      <c r="AF200" s="1029"/>
      <c r="AG200" s="1029">
        <v>31</v>
      </c>
      <c r="AH200" s="1029">
        <f>AG200*(списки!$C$56-AE200)</f>
        <v>874.19999999999993</v>
      </c>
      <c r="AI200" s="1030">
        <v>-10.5</v>
      </c>
      <c r="AJ200" s="1030"/>
      <c r="AK200" s="1030">
        <v>31</v>
      </c>
      <c r="AL200" s="1030">
        <f>AK200*(списки!$C$56-AI200)</f>
        <v>945.5</v>
      </c>
      <c r="AM200" s="1031">
        <v>-10.4</v>
      </c>
      <c r="AN200" s="1031"/>
      <c r="AO200" s="1031">
        <v>28</v>
      </c>
      <c r="AP200" s="1031">
        <f>AO200*(списки!$C$56-AM200)</f>
        <v>851.19999999999993</v>
      </c>
      <c r="AQ200" s="1026">
        <v>-5.8</v>
      </c>
      <c r="AR200" s="1026"/>
      <c r="AS200" s="1026">
        <f t="shared" si="28"/>
        <v>31</v>
      </c>
      <c r="AT200" s="1026">
        <f>AS200*(списки!$C$56-AQ200)</f>
        <v>799.80000000000007</v>
      </c>
      <c r="AU200" s="1032">
        <v>-1.3</v>
      </c>
      <c r="AV200" s="1032"/>
      <c r="AW200" s="1032">
        <f t="shared" si="29"/>
        <v>30</v>
      </c>
      <c r="AX200" s="1032">
        <f>AW200*(списки!$C$56-AU200)</f>
        <v>639</v>
      </c>
      <c r="AY200" s="1033">
        <v>3.7</v>
      </c>
      <c r="AZ200" s="1033"/>
      <c r="BA200" s="1033">
        <f t="shared" si="30"/>
        <v>31</v>
      </c>
      <c r="BB200" s="1033">
        <f>BA200*(списки!$C$56-AY200)</f>
        <v>505.3</v>
      </c>
      <c r="BC200" s="1034">
        <v>9.1999999999999993</v>
      </c>
      <c r="BD200" s="1034"/>
      <c r="BE200" s="1034">
        <f t="shared" si="31"/>
        <v>1</v>
      </c>
      <c r="BF200" s="1035">
        <f>BE200*(списки!$C$56-BC200)</f>
        <v>10.8</v>
      </c>
      <c r="BG200" s="1424">
        <v>5525.4535714285685</v>
      </c>
      <c r="BH200" s="1424">
        <v>6372.0124999999998</v>
      </c>
    </row>
    <row r="201" spans="2:60" ht="15.75" customHeight="1" x14ac:dyDescent="0.25">
      <c r="B201" s="1014" t="s">
        <v>202</v>
      </c>
      <c r="C201" s="1014" t="s">
        <v>667</v>
      </c>
      <c r="D201" s="1015" t="str">
        <f t="shared" si="22"/>
        <v>Мурманская областьНиванкюль</v>
      </c>
      <c r="E201" s="1016">
        <v>271</v>
      </c>
      <c r="F201" s="1017">
        <v>-4.5999999999999996</v>
      </c>
      <c r="G201" s="1017">
        <v>-36</v>
      </c>
      <c r="H201" s="1019">
        <f>H200</f>
        <v>5.6</v>
      </c>
      <c r="I201" s="1020">
        <f>E201*(списки!$C$56-F201)</f>
        <v>6666.6</v>
      </c>
      <c r="J201" s="1021" t="str">
        <f t="shared" ref="J201:J264" si="33">CONCATENATE(ROUNDDOWN(I201/1000,0)*1000,"-",ROUNDUP(I201/1000,0)*1000)</f>
        <v>6000-7000</v>
      </c>
      <c r="K201" s="1022">
        <v>13.5</v>
      </c>
      <c r="L201" s="1022"/>
      <c r="M201" s="1023">
        <f t="shared" ref="M201:M264" si="34">MAX(0,E201-Q201-U201-Y201-AC201-AG201-AK201-AO201-AS201-AW201-BA201-BE201)</f>
        <v>0</v>
      </c>
      <c r="N201" s="1024">
        <f>M201*(списки!$C$56-K201)</f>
        <v>0</v>
      </c>
      <c r="O201" s="1025">
        <v>11.6</v>
      </c>
      <c r="P201" s="1025"/>
      <c r="Q201" s="1025">
        <f t="shared" ref="Q201:Q264" si="35">IF((E201-273)&gt;0,IF((E201-273)/2&gt;31,31,(E201-273)/2),0)</f>
        <v>0</v>
      </c>
      <c r="R201" s="1025">
        <f>Q201*(списки!$C$56-O201)</f>
        <v>0</v>
      </c>
      <c r="S201" s="1026">
        <v>6.3</v>
      </c>
      <c r="T201" s="1026"/>
      <c r="U201" s="1026">
        <f t="shared" si="32"/>
        <v>29.5</v>
      </c>
      <c r="V201" s="1026">
        <f>U201*(списки!$C$56-S201)</f>
        <v>404.15</v>
      </c>
      <c r="W201" s="1027">
        <v>-0.1</v>
      </c>
      <c r="X201" s="1027"/>
      <c r="Y201" s="1027">
        <f t="shared" ref="Y201:Y264" si="36">IF((E201-151)&gt;0,IF((E201-151)/2&gt;31,31,(E201-151)/2),0)</f>
        <v>31</v>
      </c>
      <c r="Z201" s="1027">
        <f>Y201*(списки!$C$56-W201)</f>
        <v>623.1</v>
      </c>
      <c r="AA201" s="1028">
        <v>-6.1</v>
      </c>
      <c r="AB201" s="1028"/>
      <c r="AC201" s="1028">
        <f t="shared" ref="AC201:AC264" si="37">IF((E201-90)/2&gt;30,30,(E201-90)/2)</f>
        <v>30</v>
      </c>
      <c r="AD201" s="1028">
        <f>AC201*(списки!$C$56-AA201)</f>
        <v>783</v>
      </c>
      <c r="AE201" s="1029">
        <v>-10.199999999999999</v>
      </c>
      <c r="AF201" s="1029"/>
      <c r="AG201" s="1029">
        <v>31</v>
      </c>
      <c r="AH201" s="1029">
        <f>AG201*(списки!$C$56-AE201)</f>
        <v>936.19999999999993</v>
      </c>
      <c r="AI201" s="1030">
        <v>-13.1</v>
      </c>
      <c r="AJ201" s="1030"/>
      <c r="AK201" s="1030">
        <v>31</v>
      </c>
      <c r="AL201" s="1030">
        <f>AK201*(списки!$C$56-AI201)</f>
        <v>1026.1000000000001</v>
      </c>
      <c r="AM201" s="1031">
        <v>-13</v>
      </c>
      <c r="AN201" s="1031"/>
      <c r="AO201" s="1031">
        <v>28</v>
      </c>
      <c r="AP201" s="1031">
        <f>AO201*(списки!$C$56-AM201)</f>
        <v>924</v>
      </c>
      <c r="AQ201" s="1026">
        <v>-8.1</v>
      </c>
      <c r="AR201" s="1026"/>
      <c r="AS201" s="1026">
        <f t="shared" ref="AS201:AS264" si="38">IF((E201-90)/2&gt;31,31,(E201-90)/2)</f>
        <v>31</v>
      </c>
      <c r="AT201" s="1026">
        <f>AS201*(списки!$C$56-AQ201)</f>
        <v>871.1</v>
      </c>
      <c r="AU201" s="1032">
        <v>-1.7</v>
      </c>
      <c r="AV201" s="1032"/>
      <c r="AW201" s="1032">
        <f t="shared" ref="AW201:AW264" si="39">IF((E201-151)&gt;0,IF((E201-151)/2&gt;30,30,(E201-151)/2),0)</f>
        <v>30</v>
      </c>
      <c r="AX201" s="1032">
        <f>AW201*(списки!$C$56-AU201)</f>
        <v>651</v>
      </c>
      <c r="AY201" s="1033">
        <v>4.2</v>
      </c>
      <c r="AZ201" s="1033"/>
      <c r="BA201" s="1033">
        <f t="shared" ref="BA201:BA264" si="40">IF((E201-212)&gt;0,IF((E201-212)/2&gt;31,31,(E201-212)/2),0)</f>
        <v>29.5</v>
      </c>
      <c r="BB201" s="1033">
        <f>BA201*(списки!$C$56-AY201)</f>
        <v>466.1</v>
      </c>
      <c r="BC201" s="1034">
        <v>10.5</v>
      </c>
      <c r="BD201" s="1034"/>
      <c r="BE201" s="1034">
        <f t="shared" ref="BE201:BE264" si="41">IF((E201-273)&gt;0,IF((E201-273)/2&gt;30,30,(E201-273)/2),0)</f>
        <v>0</v>
      </c>
      <c r="BF201" s="1035">
        <f>BE201*(списки!$C$56-BC201)</f>
        <v>0</v>
      </c>
      <c r="BG201" s="1424" t="e">
        <v>#N/A</v>
      </c>
      <c r="BH201" s="1424" t="e">
        <v>#N/A</v>
      </c>
    </row>
    <row r="202" spans="2:60" ht="15.75" customHeight="1" x14ac:dyDescent="0.25">
      <c r="B202" s="1038" t="s">
        <v>202</v>
      </c>
      <c r="C202" s="1038" t="s">
        <v>209</v>
      </c>
      <c r="D202" s="1015" t="str">
        <f t="shared" si="22"/>
        <v>Мурманская областьПулозеро</v>
      </c>
      <c r="E202" s="1016">
        <v>277</v>
      </c>
      <c r="F202" s="1017">
        <v>-4.8</v>
      </c>
      <c r="G202" s="1017">
        <v>-35</v>
      </c>
      <c r="H202" s="1019">
        <v>2.5</v>
      </c>
      <c r="I202" s="1020">
        <f>E202*(списки!$C$56-F202)</f>
        <v>6869.6</v>
      </c>
      <c r="J202" s="1021" t="str">
        <f t="shared" si="33"/>
        <v>6000-7000</v>
      </c>
      <c r="K202" s="1022">
        <v>13.4</v>
      </c>
      <c r="L202" s="1022"/>
      <c r="M202" s="1023">
        <f t="shared" si="34"/>
        <v>0</v>
      </c>
      <c r="N202" s="1024">
        <f>M202*(списки!$C$56-K202)</f>
        <v>0</v>
      </c>
      <c r="O202" s="1025">
        <v>11.4</v>
      </c>
      <c r="P202" s="1025"/>
      <c r="Q202" s="1025">
        <f t="shared" si="35"/>
        <v>2</v>
      </c>
      <c r="R202" s="1025">
        <f>Q202*(списки!$C$56-O202)</f>
        <v>17.2</v>
      </c>
      <c r="S202" s="1026">
        <v>6</v>
      </c>
      <c r="T202" s="1026"/>
      <c r="U202" s="1026">
        <f t="shared" ref="U202:U265" si="42">IF((E202-212)&gt;0,IF((E202-212)/2&gt;30,30,(E202-212)/2),0)</f>
        <v>30</v>
      </c>
      <c r="V202" s="1026">
        <f>U202*(списки!$C$56-S202)</f>
        <v>420</v>
      </c>
      <c r="W202" s="1027">
        <v>-0.3</v>
      </c>
      <c r="X202" s="1027"/>
      <c r="Y202" s="1027">
        <f t="shared" si="36"/>
        <v>31</v>
      </c>
      <c r="Z202" s="1027">
        <f>Y202*(списки!$C$56-W202)</f>
        <v>629.30000000000007</v>
      </c>
      <c r="AA202" s="1028">
        <v>-5.8</v>
      </c>
      <c r="AB202" s="1028"/>
      <c r="AC202" s="1028">
        <f t="shared" si="37"/>
        <v>30</v>
      </c>
      <c r="AD202" s="1028">
        <f>AC202*(списки!$C$56-AA202)</f>
        <v>774</v>
      </c>
      <c r="AE202" s="1029">
        <v>-10.1</v>
      </c>
      <c r="AF202" s="1029"/>
      <c r="AG202" s="1029">
        <v>31</v>
      </c>
      <c r="AH202" s="1029">
        <f>AG202*(списки!$C$56-AE202)</f>
        <v>933.1</v>
      </c>
      <c r="AI202" s="1030">
        <v>-13.4</v>
      </c>
      <c r="AJ202" s="1030"/>
      <c r="AK202" s="1030">
        <v>31</v>
      </c>
      <c r="AL202" s="1030">
        <f>AK202*(списки!$C$56-AI202)</f>
        <v>1035.3999999999999</v>
      </c>
      <c r="AM202" s="1031">
        <v>-13.6</v>
      </c>
      <c r="AN202" s="1031"/>
      <c r="AO202" s="1031">
        <v>28</v>
      </c>
      <c r="AP202" s="1031">
        <f>AO202*(списки!$C$56-AM202)</f>
        <v>940.80000000000007</v>
      </c>
      <c r="AQ202" s="1026">
        <v>-9.4</v>
      </c>
      <c r="AR202" s="1026"/>
      <c r="AS202" s="1026">
        <f t="shared" si="38"/>
        <v>31</v>
      </c>
      <c r="AT202" s="1026">
        <f>AS202*(списки!$C$56-AQ202)</f>
        <v>911.4</v>
      </c>
      <c r="AU202" s="1032">
        <v>-3</v>
      </c>
      <c r="AV202" s="1032"/>
      <c r="AW202" s="1032">
        <f t="shared" si="39"/>
        <v>30</v>
      </c>
      <c r="AX202" s="1032">
        <f>AW202*(списки!$C$56-AU202)</f>
        <v>690</v>
      </c>
      <c r="AY202" s="1033">
        <v>3.1</v>
      </c>
      <c r="AZ202" s="1033"/>
      <c r="BA202" s="1033">
        <f t="shared" si="40"/>
        <v>31</v>
      </c>
      <c r="BB202" s="1033">
        <f>BA202*(списки!$C$56-AY202)</f>
        <v>523.9</v>
      </c>
      <c r="BC202" s="1034">
        <v>9.6</v>
      </c>
      <c r="BD202" s="1034"/>
      <c r="BE202" s="1034">
        <f t="shared" si="41"/>
        <v>2</v>
      </c>
      <c r="BF202" s="1035">
        <f>BE202*(списки!$C$56-BC202)</f>
        <v>20.8</v>
      </c>
      <c r="BG202" s="1424" t="e">
        <v>#N/A</v>
      </c>
      <c r="BH202" s="1424" t="e">
        <v>#N/A</v>
      </c>
    </row>
    <row r="203" spans="2:60" ht="15.75" customHeight="1" x14ac:dyDescent="0.25">
      <c r="B203" s="1014" t="s">
        <v>202</v>
      </c>
      <c r="C203" s="1014" t="s">
        <v>210</v>
      </c>
      <c r="D203" s="1015" t="str">
        <f t="shared" si="22"/>
        <v>Мурманская областьПялица</v>
      </c>
      <c r="E203" s="1016">
        <v>298</v>
      </c>
      <c r="F203" s="1017">
        <v>-2.8</v>
      </c>
      <c r="G203" s="1017">
        <v>-25</v>
      </c>
      <c r="H203" s="1019">
        <f>H202</f>
        <v>2.5</v>
      </c>
      <c r="I203" s="1020">
        <f>E203*(списки!$C$56-F203)</f>
        <v>6794.4000000000005</v>
      </c>
      <c r="J203" s="1021" t="str">
        <f t="shared" si="33"/>
        <v>6000-7000</v>
      </c>
      <c r="K203" s="1022">
        <v>10.1</v>
      </c>
      <c r="L203" s="1022"/>
      <c r="M203" s="1023">
        <f t="shared" si="34"/>
        <v>0</v>
      </c>
      <c r="N203" s="1024">
        <f>M203*(списки!$C$56-K203)</f>
        <v>0</v>
      </c>
      <c r="O203" s="1025">
        <v>9.8000000000000007</v>
      </c>
      <c r="P203" s="1025"/>
      <c r="Q203" s="1025">
        <f t="shared" si="35"/>
        <v>12.5</v>
      </c>
      <c r="R203" s="1025">
        <f>Q203*(списки!$C$56-O203)</f>
        <v>127.49999999999999</v>
      </c>
      <c r="S203" s="1026">
        <v>6.4</v>
      </c>
      <c r="T203" s="1026"/>
      <c r="U203" s="1026">
        <f t="shared" si="42"/>
        <v>30</v>
      </c>
      <c r="V203" s="1026">
        <f>U203*(списки!$C$56-S203)</f>
        <v>408</v>
      </c>
      <c r="W203" s="1027">
        <v>1.3</v>
      </c>
      <c r="X203" s="1027"/>
      <c r="Y203" s="1027">
        <f t="shared" si="36"/>
        <v>31</v>
      </c>
      <c r="Z203" s="1027">
        <f>Y203*(списки!$C$56-W203)</f>
        <v>579.69999999999993</v>
      </c>
      <c r="AA203" s="1028">
        <v>-2.8</v>
      </c>
      <c r="AB203" s="1028"/>
      <c r="AC203" s="1028">
        <f t="shared" si="37"/>
        <v>30</v>
      </c>
      <c r="AD203" s="1028">
        <f>AC203*(списки!$C$56-AA203)</f>
        <v>684</v>
      </c>
      <c r="AE203" s="1029">
        <v>-6.4</v>
      </c>
      <c r="AF203" s="1029"/>
      <c r="AG203" s="1029">
        <v>31</v>
      </c>
      <c r="AH203" s="1029">
        <f>AG203*(списки!$C$56-AE203)</f>
        <v>818.4</v>
      </c>
      <c r="AI203" s="1030">
        <v>-10</v>
      </c>
      <c r="AJ203" s="1030"/>
      <c r="AK203" s="1030">
        <v>31</v>
      </c>
      <c r="AL203" s="1030">
        <f>AK203*(списки!$C$56-AI203)</f>
        <v>930</v>
      </c>
      <c r="AM203" s="1031">
        <v>-11.2</v>
      </c>
      <c r="AN203" s="1031"/>
      <c r="AO203" s="1031">
        <v>28</v>
      </c>
      <c r="AP203" s="1031">
        <f>AO203*(списки!$C$56-AM203)</f>
        <v>873.6</v>
      </c>
      <c r="AQ203" s="1026">
        <v>-8.9</v>
      </c>
      <c r="AR203" s="1026"/>
      <c r="AS203" s="1026">
        <f t="shared" si="38"/>
        <v>31</v>
      </c>
      <c r="AT203" s="1026">
        <f>AS203*(списки!$C$56-AQ203)</f>
        <v>895.9</v>
      </c>
      <c r="AU203" s="1032">
        <v>-3.7</v>
      </c>
      <c r="AV203" s="1032"/>
      <c r="AW203" s="1032">
        <f t="shared" si="39"/>
        <v>30</v>
      </c>
      <c r="AX203" s="1032">
        <f>AW203*(списки!$C$56-AU203)</f>
        <v>711</v>
      </c>
      <c r="AY203" s="1033">
        <v>1.4</v>
      </c>
      <c r="AZ203" s="1033"/>
      <c r="BA203" s="1033">
        <f t="shared" si="40"/>
        <v>31</v>
      </c>
      <c r="BB203" s="1033">
        <f>BA203*(списки!$C$56-AY203)</f>
        <v>576.6</v>
      </c>
      <c r="BC203" s="1034">
        <v>6.8</v>
      </c>
      <c r="BD203" s="1034"/>
      <c r="BE203" s="1034">
        <f t="shared" si="41"/>
        <v>12.5</v>
      </c>
      <c r="BF203" s="1035">
        <f>BE203*(списки!$C$56-BC203)</f>
        <v>165</v>
      </c>
      <c r="BG203" s="1424">
        <v>5623.99</v>
      </c>
      <c r="BH203" s="1424">
        <v>6081.7294047619052</v>
      </c>
    </row>
    <row r="204" spans="2:60" ht="15.75" customHeight="1" x14ac:dyDescent="0.25">
      <c r="B204" s="1038" t="s">
        <v>202</v>
      </c>
      <c r="C204" s="1038" t="s">
        <v>212</v>
      </c>
      <c r="D204" s="1015" t="str">
        <f t="shared" ref="D204:D267" si="43">CONCATENATE(B204,C204)</f>
        <v>Мурманская областьТериберка</v>
      </c>
      <c r="E204" s="1016">
        <v>282</v>
      </c>
      <c r="F204" s="1017">
        <v>-2.2000000000000002</v>
      </c>
      <c r="G204" s="1017">
        <v>-22</v>
      </c>
      <c r="H204" s="1019">
        <v>9.1999999999999993</v>
      </c>
      <c r="I204" s="1020">
        <f>E204*(списки!$C$56-F204)</f>
        <v>6260.4</v>
      </c>
      <c r="J204" s="1021" t="str">
        <f t="shared" si="33"/>
        <v>6000-7000</v>
      </c>
      <c r="K204" s="1022">
        <v>11.4</v>
      </c>
      <c r="L204" s="1022"/>
      <c r="M204" s="1023">
        <f t="shared" si="34"/>
        <v>0</v>
      </c>
      <c r="N204" s="1024">
        <f>M204*(списки!$C$56-K204)</f>
        <v>0</v>
      </c>
      <c r="O204" s="1025">
        <v>10.6</v>
      </c>
      <c r="P204" s="1025"/>
      <c r="Q204" s="1025">
        <f t="shared" si="35"/>
        <v>4.5</v>
      </c>
      <c r="R204" s="1025">
        <f>Q204*(списки!$C$56-O204)</f>
        <v>42.300000000000004</v>
      </c>
      <c r="S204" s="1026">
        <v>7.1</v>
      </c>
      <c r="T204" s="1026"/>
      <c r="U204" s="1026">
        <f t="shared" si="42"/>
        <v>30</v>
      </c>
      <c r="V204" s="1026">
        <f>U204*(списки!$C$56-S204)</f>
        <v>387</v>
      </c>
      <c r="W204" s="1027">
        <v>1.7</v>
      </c>
      <c r="X204" s="1027"/>
      <c r="Y204" s="1027">
        <f t="shared" si="36"/>
        <v>31</v>
      </c>
      <c r="Z204" s="1027">
        <f>Y204*(списки!$C$56-W204)</f>
        <v>567.30000000000007</v>
      </c>
      <c r="AA204" s="1028">
        <v>-3.2</v>
      </c>
      <c r="AB204" s="1028"/>
      <c r="AC204" s="1028">
        <f t="shared" si="37"/>
        <v>30</v>
      </c>
      <c r="AD204" s="1028">
        <f>AC204*(списки!$C$56-AA204)</f>
        <v>696</v>
      </c>
      <c r="AE204" s="1029">
        <v>-5.7</v>
      </c>
      <c r="AF204" s="1029"/>
      <c r="AG204" s="1029">
        <v>31</v>
      </c>
      <c r="AH204" s="1029">
        <f>AG204*(списки!$C$56-AE204)</f>
        <v>796.69999999999993</v>
      </c>
      <c r="AI204" s="1030">
        <v>-7.6</v>
      </c>
      <c r="AJ204" s="1030"/>
      <c r="AK204" s="1030">
        <v>31</v>
      </c>
      <c r="AL204" s="1030">
        <f>AK204*(списки!$C$56-AI204)</f>
        <v>855.6</v>
      </c>
      <c r="AM204" s="1031">
        <v>-8.1999999999999993</v>
      </c>
      <c r="AN204" s="1031"/>
      <c r="AO204" s="1031">
        <v>28</v>
      </c>
      <c r="AP204" s="1031">
        <f>AO204*(списки!$C$56-AM204)</f>
        <v>789.6</v>
      </c>
      <c r="AQ204" s="1026">
        <v>-5.2</v>
      </c>
      <c r="AR204" s="1026"/>
      <c r="AS204" s="1026">
        <f t="shared" si="38"/>
        <v>31</v>
      </c>
      <c r="AT204" s="1026">
        <f>AS204*(списки!$C$56-AQ204)</f>
        <v>781.19999999999993</v>
      </c>
      <c r="AU204" s="1032">
        <v>-1.9</v>
      </c>
      <c r="AV204" s="1032"/>
      <c r="AW204" s="1032">
        <f t="shared" si="39"/>
        <v>30</v>
      </c>
      <c r="AX204" s="1032">
        <f>AW204*(списки!$C$56-AU204)</f>
        <v>657</v>
      </c>
      <c r="AY204" s="1033">
        <v>2.6</v>
      </c>
      <c r="AZ204" s="1033"/>
      <c r="BA204" s="1033">
        <f t="shared" si="40"/>
        <v>31</v>
      </c>
      <c r="BB204" s="1033">
        <f>BA204*(списки!$C$56-AY204)</f>
        <v>539.4</v>
      </c>
      <c r="BC204" s="1034">
        <v>7.5</v>
      </c>
      <c r="BD204" s="1034"/>
      <c r="BE204" s="1034">
        <f t="shared" si="41"/>
        <v>4.5</v>
      </c>
      <c r="BF204" s="1035">
        <f>BE204*(списки!$C$56-BC204)</f>
        <v>56.25</v>
      </c>
      <c r="BG204" s="1424">
        <v>5318.9699999999966</v>
      </c>
      <c r="BH204" s="1424">
        <v>6127.9400000000023</v>
      </c>
    </row>
    <row r="205" spans="2:60" ht="15.75" customHeight="1" x14ac:dyDescent="0.25">
      <c r="B205" s="1014" t="s">
        <v>202</v>
      </c>
      <c r="C205" s="1014" t="s">
        <v>211</v>
      </c>
      <c r="D205" s="1015" t="str">
        <f t="shared" si="43"/>
        <v>Мурманская областьТерско-Орловский</v>
      </c>
      <c r="E205" s="1016">
        <v>312</v>
      </c>
      <c r="F205" s="1017">
        <v>-2.5</v>
      </c>
      <c r="G205" s="1017">
        <v>-22</v>
      </c>
      <c r="H205" s="1019">
        <f>H204</f>
        <v>9.1999999999999993</v>
      </c>
      <c r="I205" s="1020">
        <f>E205*(списки!$C$56-F205)</f>
        <v>7020</v>
      </c>
      <c r="J205" s="1021" t="str">
        <f t="shared" si="33"/>
        <v>7000-8000</v>
      </c>
      <c r="K205" s="1022">
        <v>9</v>
      </c>
      <c r="L205" s="1022"/>
      <c r="M205" s="1023">
        <f t="shared" si="34"/>
        <v>0</v>
      </c>
      <c r="N205" s="1024">
        <f>M205*(списки!$C$56-K205)</f>
        <v>0</v>
      </c>
      <c r="O205" s="1025">
        <v>9.3000000000000007</v>
      </c>
      <c r="P205" s="1025"/>
      <c r="Q205" s="1025">
        <f t="shared" si="35"/>
        <v>19.5</v>
      </c>
      <c r="R205" s="1025">
        <f>Q205*(списки!$C$56-O205)</f>
        <v>208.64999999999998</v>
      </c>
      <c r="S205" s="1026">
        <v>6.4</v>
      </c>
      <c r="T205" s="1026"/>
      <c r="U205" s="1026">
        <f t="shared" si="42"/>
        <v>30</v>
      </c>
      <c r="V205" s="1026">
        <f>U205*(списки!$C$56-S205)</f>
        <v>408</v>
      </c>
      <c r="W205" s="1027">
        <v>0.9</v>
      </c>
      <c r="X205" s="1027"/>
      <c r="Y205" s="1027">
        <f t="shared" si="36"/>
        <v>31</v>
      </c>
      <c r="Z205" s="1027">
        <f>Y205*(списки!$C$56-W205)</f>
        <v>592.1</v>
      </c>
      <c r="AA205" s="1028">
        <v>-3.3</v>
      </c>
      <c r="AB205" s="1028"/>
      <c r="AC205" s="1028">
        <f t="shared" si="37"/>
        <v>30</v>
      </c>
      <c r="AD205" s="1028">
        <f>AC205*(списки!$C$56-AA205)</f>
        <v>699</v>
      </c>
      <c r="AE205" s="1029">
        <v>-6.2</v>
      </c>
      <c r="AF205" s="1029"/>
      <c r="AG205" s="1029">
        <v>31</v>
      </c>
      <c r="AH205" s="1029">
        <f>AG205*(списки!$C$56-AE205)</f>
        <v>812.19999999999993</v>
      </c>
      <c r="AI205" s="1030">
        <v>-9.9</v>
      </c>
      <c r="AJ205" s="1030"/>
      <c r="AK205" s="1030">
        <v>31</v>
      </c>
      <c r="AL205" s="1030">
        <f>AK205*(списки!$C$56-AI205)</f>
        <v>926.9</v>
      </c>
      <c r="AM205" s="1031">
        <v>-11.1</v>
      </c>
      <c r="AN205" s="1031"/>
      <c r="AO205" s="1031">
        <v>28</v>
      </c>
      <c r="AP205" s="1031">
        <f>AO205*(списки!$C$56-AM205)</f>
        <v>870.80000000000007</v>
      </c>
      <c r="AQ205" s="1026">
        <v>-8.8000000000000007</v>
      </c>
      <c r="AR205" s="1026"/>
      <c r="AS205" s="1026">
        <f t="shared" si="38"/>
        <v>31</v>
      </c>
      <c r="AT205" s="1026">
        <f>AS205*(списки!$C$56-AQ205)</f>
        <v>892.80000000000007</v>
      </c>
      <c r="AU205" s="1032">
        <v>-3.6</v>
      </c>
      <c r="AV205" s="1032"/>
      <c r="AW205" s="1032">
        <f t="shared" si="39"/>
        <v>30</v>
      </c>
      <c r="AX205" s="1032">
        <f>AW205*(списки!$C$56-AU205)</f>
        <v>708</v>
      </c>
      <c r="AY205" s="1033">
        <v>0.7</v>
      </c>
      <c r="AZ205" s="1033"/>
      <c r="BA205" s="1033">
        <f t="shared" si="40"/>
        <v>31</v>
      </c>
      <c r="BB205" s="1033">
        <f>BA205*(списки!$C$56-AY205)</f>
        <v>598.30000000000007</v>
      </c>
      <c r="BC205" s="1034">
        <v>5.4</v>
      </c>
      <c r="BD205" s="1034"/>
      <c r="BE205" s="1034">
        <f t="shared" si="41"/>
        <v>19.5</v>
      </c>
      <c r="BF205" s="1035">
        <f>BE205*(списки!$C$56-BC205)</f>
        <v>284.7</v>
      </c>
      <c r="BG205" s="1424" t="e">
        <v>#N/A</v>
      </c>
      <c r="BH205" s="1424" t="e">
        <v>#N/A</v>
      </c>
    </row>
    <row r="206" spans="2:60" ht="15.75" customHeight="1" x14ac:dyDescent="0.25">
      <c r="B206" s="1038" t="s">
        <v>202</v>
      </c>
      <c r="C206" s="1038" t="s">
        <v>213</v>
      </c>
      <c r="D206" s="1015" t="str">
        <f t="shared" si="43"/>
        <v>Мурманская областьУмба</v>
      </c>
      <c r="E206" s="1016">
        <v>263</v>
      </c>
      <c r="F206" s="1017">
        <v>-4</v>
      </c>
      <c r="G206" s="1017">
        <v>-31</v>
      </c>
      <c r="H206" s="1019">
        <v>4.7</v>
      </c>
      <c r="I206" s="1020">
        <f>E206*(списки!$C$56-F206)</f>
        <v>6312</v>
      </c>
      <c r="J206" s="1021" t="str">
        <f t="shared" si="33"/>
        <v>6000-7000</v>
      </c>
      <c r="K206" s="1022">
        <v>14.4</v>
      </c>
      <c r="L206" s="1022"/>
      <c r="M206" s="1023">
        <f t="shared" si="34"/>
        <v>0</v>
      </c>
      <c r="N206" s="1024">
        <f>M206*(списки!$C$56-K206)</f>
        <v>0</v>
      </c>
      <c r="O206" s="1025">
        <v>12.2</v>
      </c>
      <c r="P206" s="1025"/>
      <c r="Q206" s="1025">
        <f t="shared" si="35"/>
        <v>0</v>
      </c>
      <c r="R206" s="1025">
        <f>Q206*(списки!$C$56-O206)</f>
        <v>0</v>
      </c>
      <c r="S206" s="1026">
        <v>7.5</v>
      </c>
      <c r="T206" s="1026"/>
      <c r="U206" s="1026">
        <f t="shared" si="42"/>
        <v>25.5</v>
      </c>
      <c r="V206" s="1026">
        <f>U206*(списки!$C$56-S206)</f>
        <v>318.75</v>
      </c>
      <c r="W206" s="1027">
        <v>1.4</v>
      </c>
      <c r="X206" s="1027"/>
      <c r="Y206" s="1027">
        <f t="shared" si="36"/>
        <v>31</v>
      </c>
      <c r="Z206" s="1027">
        <f>Y206*(списки!$C$56-W206)</f>
        <v>576.6</v>
      </c>
      <c r="AA206" s="1028">
        <v>-4.4000000000000004</v>
      </c>
      <c r="AB206" s="1028"/>
      <c r="AC206" s="1028">
        <f t="shared" si="37"/>
        <v>30</v>
      </c>
      <c r="AD206" s="1028">
        <f>AC206*(списки!$C$56-AA206)</f>
        <v>732</v>
      </c>
      <c r="AE206" s="1029">
        <v>-8.3000000000000007</v>
      </c>
      <c r="AF206" s="1029"/>
      <c r="AG206" s="1029">
        <v>31</v>
      </c>
      <c r="AH206" s="1029">
        <f>AG206*(списки!$C$56-AE206)</f>
        <v>877.30000000000007</v>
      </c>
      <c r="AI206" s="1030">
        <v>-11.5</v>
      </c>
      <c r="AJ206" s="1030"/>
      <c r="AK206" s="1030">
        <v>31</v>
      </c>
      <c r="AL206" s="1030">
        <f>AK206*(списки!$C$56-AI206)</f>
        <v>976.5</v>
      </c>
      <c r="AM206" s="1031">
        <v>-11.5</v>
      </c>
      <c r="AN206" s="1031"/>
      <c r="AO206" s="1031">
        <v>28</v>
      </c>
      <c r="AP206" s="1031">
        <f>AO206*(списки!$C$56-AM206)</f>
        <v>882</v>
      </c>
      <c r="AQ206" s="1026">
        <v>-6.4</v>
      </c>
      <c r="AR206" s="1026"/>
      <c r="AS206" s="1026">
        <f t="shared" si="38"/>
        <v>31</v>
      </c>
      <c r="AT206" s="1026">
        <f>AS206*(списки!$C$56-AQ206)</f>
        <v>818.4</v>
      </c>
      <c r="AU206" s="1032">
        <v>-1.5</v>
      </c>
      <c r="AV206" s="1032"/>
      <c r="AW206" s="1032">
        <f t="shared" si="39"/>
        <v>30</v>
      </c>
      <c r="AX206" s="1032">
        <f>AW206*(списки!$C$56-AU206)</f>
        <v>645</v>
      </c>
      <c r="AY206" s="1033">
        <v>4.3</v>
      </c>
      <c r="AZ206" s="1033"/>
      <c r="BA206" s="1033">
        <f t="shared" si="40"/>
        <v>25.5</v>
      </c>
      <c r="BB206" s="1033">
        <f>BA206*(списки!$C$56-AY206)</f>
        <v>400.34999999999997</v>
      </c>
      <c r="BC206" s="1034">
        <v>10.8</v>
      </c>
      <c r="BD206" s="1034"/>
      <c r="BE206" s="1034">
        <f t="shared" si="41"/>
        <v>0</v>
      </c>
      <c r="BF206" s="1035">
        <f>BE206*(списки!$C$56-BC206)</f>
        <v>0</v>
      </c>
      <c r="BG206" s="1424">
        <v>5186.814285714283</v>
      </c>
      <c r="BH206" s="1424">
        <v>6001.3160714285714</v>
      </c>
    </row>
    <row r="207" spans="2:60" ht="15.75" customHeight="1" x14ac:dyDescent="0.25">
      <c r="B207" s="1014" t="s">
        <v>202</v>
      </c>
      <c r="C207" s="1014" t="s">
        <v>215</v>
      </c>
      <c r="D207" s="1015" t="str">
        <f t="shared" si="43"/>
        <v>Мурманская областьЮкспор</v>
      </c>
      <c r="E207" s="1016">
        <v>340</v>
      </c>
      <c r="F207" s="1017">
        <v>-4.5</v>
      </c>
      <c r="G207" s="1017">
        <v>-24</v>
      </c>
      <c r="H207" s="1019">
        <f>H206</f>
        <v>4.7</v>
      </c>
      <c r="I207" s="1020">
        <f>E207*(списки!$C$56-F207)</f>
        <v>8330</v>
      </c>
      <c r="J207" s="1021" t="str">
        <f t="shared" si="33"/>
        <v>8000-9000</v>
      </c>
      <c r="K207" s="1022">
        <v>9</v>
      </c>
      <c r="L207" s="1022"/>
      <c r="M207" s="1023">
        <f t="shared" si="34"/>
        <v>6</v>
      </c>
      <c r="N207" s="1024">
        <f>M207*(списки!$C$56-K207)</f>
        <v>66</v>
      </c>
      <c r="O207" s="1025">
        <v>7.2</v>
      </c>
      <c r="P207" s="1025"/>
      <c r="Q207" s="1025">
        <f t="shared" si="35"/>
        <v>31</v>
      </c>
      <c r="R207" s="1025">
        <f>Q207*(списки!$C$56-O207)</f>
        <v>396.8</v>
      </c>
      <c r="S207" s="1026">
        <v>1.5</v>
      </c>
      <c r="T207" s="1026"/>
      <c r="U207" s="1026">
        <f t="shared" si="42"/>
        <v>30</v>
      </c>
      <c r="V207" s="1026">
        <f>U207*(списки!$C$56-S207)</f>
        <v>555</v>
      </c>
      <c r="W207" s="1027">
        <v>-4.0999999999999996</v>
      </c>
      <c r="X207" s="1027"/>
      <c r="Y207" s="1027">
        <f t="shared" si="36"/>
        <v>31</v>
      </c>
      <c r="Z207" s="1027">
        <f>Y207*(списки!$C$56-W207)</f>
        <v>747.1</v>
      </c>
      <c r="AA207" s="1028">
        <v>-7.7</v>
      </c>
      <c r="AB207" s="1028"/>
      <c r="AC207" s="1028">
        <f t="shared" si="37"/>
        <v>30</v>
      </c>
      <c r="AD207" s="1028">
        <f>AC207*(списки!$C$56-AA207)</f>
        <v>831</v>
      </c>
      <c r="AE207" s="1029">
        <v>-10.4</v>
      </c>
      <c r="AF207" s="1029"/>
      <c r="AG207" s="1029">
        <v>31</v>
      </c>
      <c r="AH207" s="1029">
        <f>AG207*(списки!$C$56-AE207)</f>
        <v>942.4</v>
      </c>
      <c r="AI207" s="1030">
        <v>-12.2</v>
      </c>
      <c r="AJ207" s="1030"/>
      <c r="AK207" s="1030">
        <v>31</v>
      </c>
      <c r="AL207" s="1030">
        <f>AK207*(списки!$C$56-AI207)</f>
        <v>998.2</v>
      </c>
      <c r="AM207" s="1031">
        <v>-12.6</v>
      </c>
      <c r="AN207" s="1031"/>
      <c r="AO207" s="1031">
        <v>28</v>
      </c>
      <c r="AP207" s="1031">
        <f>AO207*(списки!$C$56-AM207)</f>
        <v>912.80000000000007</v>
      </c>
      <c r="AQ207" s="1026">
        <v>-10.9</v>
      </c>
      <c r="AR207" s="1026"/>
      <c r="AS207" s="1026">
        <f t="shared" si="38"/>
        <v>31</v>
      </c>
      <c r="AT207" s="1026">
        <f>AS207*(списки!$C$56-AQ207)</f>
        <v>957.9</v>
      </c>
      <c r="AU207" s="1032">
        <v>-6.9</v>
      </c>
      <c r="AV207" s="1032"/>
      <c r="AW207" s="1032">
        <f t="shared" si="39"/>
        <v>30</v>
      </c>
      <c r="AX207" s="1032">
        <f>AW207*(списки!$C$56-AU207)</f>
        <v>807</v>
      </c>
      <c r="AY207" s="1033">
        <v>-1.9</v>
      </c>
      <c r="AZ207" s="1033"/>
      <c r="BA207" s="1033">
        <f t="shared" si="40"/>
        <v>31</v>
      </c>
      <c r="BB207" s="1033">
        <f>BA207*(списки!$C$56-AY207)</f>
        <v>678.9</v>
      </c>
      <c r="BC207" s="1034">
        <v>4.9000000000000004</v>
      </c>
      <c r="BD207" s="1034"/>
      <c r="BE207" s="1034">
        <f t="shared" si="41"/>
        <v>30</v>
      </c>
      <c r="BF207" s="1035">
        <f>BE207*(списки!$C$56-BC207)</f>
        <v>453</v>
      </c>
      <c r="BG207" s="1424" t="e">
        <v>#N/A</v>
      </c>
      <c r="BH207" s="1424" t="e">
        <v>#N/A</v>
      </c>
    </row>
    <row r="208" spans="2:60" ht="15.75" customHeight="1" x14ac:dyDescent="0.25">
      <c r="B208" s="1038" t="s">
        <v>618</v>
      </c>
      <c r="C208" s="1038" t="s">
        <v>222</v>
      </c>
      <c r="D208" s="1015" t="str">
        <f t="shared" si="43"/>
        <v>Ненецкий АО (Архангельская область)Варандей</v>
      </c>
      <c r="E208" s="1016">
        <v>323</v>
      </c>
      <c r="F208" s="1017">
        <v>-7.3</v>
      </c>
      <c r="G208" s="1017">
        <v>-36</v>
      </c>
      <c r="H208" s="1019">
        <f>H209</f>
        <v>10.1</v>
      </c>
      <c r="I208" s="1020">
        <f>E208*(списки!$C$56-F208)</f>
        <v>8817.9</v>
      </c>
      <c r="J208" s="1021" t="str">
        <f t="shared" si="33"/>
        <v>8000-9000</v>
      </c>
      <c r="K208" s="1022">
        <v>8.9</v>
      </c>
      <c r="L208" s="1022"/>
      <c r="M208" s="1023">
        <f t="shared" si="34"/>
        <v>0</v>
      </c>
      <c r="N208" s="1024">
        <f>M208*(списки!$C$56-K208)</f>
        <v>0</v>
      </c>
      <c r="O208" s="1025">
        <v>8.8000000000000007</v>
      </c>
      <c r="P208" s="1025"/>
      <c r="Q208" s="1025">
        <f t="shared" si="35"/>
        <v>25</v>
      </c>
      <c r="R208" s="1025">
        <f>Q208*(списки!$C$56-O208)</f>
        <v>280</v>
      </c>
      <c r="S208" s="1026">
        <v>4.9000000000000004</v>
      </c>
      <c r="T208" s="1026"/>
      <c r="U208" s="1026">
        <f t="shared" si="42"/>
        <v>30</v>
      </c>
      <c r="V208" s="1026">
        <f>U208*(списки!$C$56-S208)</f>
        <v>453</v>
      </c>
      <c r="W208" s="1027">
        <v>-2.2000000000000002</v>
      </c>
      <c r="X208" s="1027"/>
      <c r="Y208" s="1027">
        <f t="shared" si="36"/>
        <v>31</v>
      </c>
      <c r="Z208" s="1027">
        <f>Y208*(списки!$C$56-W208)</f>
        <v>688.19999999999993</v>
      </c>
      <c r="AA208" s="1028">
        <v>-9.5</v>
      </c>
      <c r="AB208" s="1028"/>
      <c r="AC208" s="1028">
        <f t="shared" si="37"/>
        <v>30</v>
      </c>
      <c r="AD208" s="1028">
        <f>AC208*(списки!$C$56-AA208)</f>
        <v>885</v>
      </c>
      <c r="AE208" s="1029">
        <v>-13.9</v>
      </c>
      <c r="AF208" s="1029"/>
      <c r="AG208" s="1029">
        <v>31</v>
      </c>
      <c r="AH208" s="1029">
        <f>AG208*(списки!$C$56-AE208)</f>
        <v>1050.8999999999999</v>
      </c>
      <c r="AI208" s="1030">
        <v>-17.8</v>
      </c>
      <c r="AJ208" s="1030"/>
      <c r="AK208" s="1030">
        <v>31</v>
      </c>
      <c r="AL208" s="1030">
        <f>AK208*(списки!$C$56-AI208)</f>
        <v>1171.8</v>
      </c>
      <c r="AM208" s="1031">
        <v>-19.2</v>
      </c>
      <c r="AN208" s="1031"/>
      <c r="AO208" s="1031">
        <v>28</v>
      </c>
      <c r="AP208" s="1031">
        <f>AO208*(списки!$C$56-AM208)</f>
        <v>1097.6000000000001</v>
      </c>
      <c r="AQ208" s="1026">
        <v>-16.600000000000001</v>
      </c>
      <c r="AR208" s="1026"/>
      <c r="AS208" s="1026">
        <f t="shared" si="38"/>
        <v>31</v>
      </c>
      <c r="AT208" s="1026">
        <f>AS208*(списки!$C$56-AQ208)</f>
        <v>1134.6000000000001</v>
      </c>
      <c r="AU208" s="1032">
        <v>-9.5</v>
      </c>
      <c r="AV208" s="1032"/>
      <c r="AW208" s="1032">
        <f t="shared" si="39"/>
        <v>30</v>
      </c>
      <c r="AX208" s="1032">
        <f>AW208*(списки!$C$56-AU208)</f>
        <v>885</v>
      </c>
      <c r="AY208" s="1033">
        <v>-3.4</v>
      </c>
      <c r="AZ208" s="1033"/>
      <c r="BA208" s="1033">
        <f t="shared" si="40"/>
        <v>31</v>
      </c>
      <c r="BB208" s="1033">
        <f>BA208*(списки!$C$56-AY208)</f>
        <v>725.4</v>
      </c>
      <c r="BC208" s="1034">
        <v>2.8</v>
      </c>
      <c r="BD208" s="1034"/>
      <c r="BE208" s="1034">
        <f t="shared" si="41"/>
        <v>25</v>
      </c>
      <c r="BF208" s="1035">
        <f>BE208*(списки!$C$56-BC208)</f>
        <v>430</v>
      </c>
      <c r="BG208" s="1424">
        <v>7196.4589285714346</v>
      </c>
      <c r="BH208" s="1424">
        <v>7589.8101190476209</v>
      </c>
    </row>
    <row r="209" spans="1:60" ht="15.75" customHeight="1" x14ac:dyDescent="0.25">
      <c r="B209" s="1014" t="s">
        <v>618</v>
      </c>
      <c r="C209" s="1014" t="s">
        <v>218</v>
      </c>
      <c r="D209" s="1015" t="str">
        <f t="shared" si="43"/>
        <v>Ненецкий АО (Архангельская область)Индига</v>
      </c>
      <c r="E209" s="1016">
        <v>298</v>
      </c>
      <c r="F209" s="1017">
        <v>-5.6</v>
      </c>
      <c r="G209" s="1017">
        <v>-34</v>
      </c>
      <c r="H209" s="1019">
        <v>10.1</v>
      </c>
      <c r="I209" s="1020">
        <f>E209*(списки!$C$56-F209)</f>
        <v>7628.8</v>
      </c>
      <c r="J209" s="1021" t="str">
        <f t="shared" si="33"/>
        <v>7000-8000</v>
      </c>
      <c r="K209" s="1022">
        <v>10.6</v>
      </c>
      <c r="L209" s="1022"/>
      <c r="M209" s="1023">
        <f t="shared" si="34"/>
        <v>0</v>
      </c>
      <c r="N209" s="1024">
        <f>M209*(списки!$C$56-K209)</f>
        <v>0</v>
      </c>
      <c r="O209" s="1025">
        <v>9.6999999999999993</v>
      </c>
      <c r="P209" s="1025"/>
      <c r="Q209" s="1025">
        <f t="shared" si="35"/>
        <v>12.5</v>
      </c>
      <c r="R209" s="1025">
        <f>Q209*(списки!$C$56-O209)</f>
        <v>128.75</v>
      </c>
      <c r="S209" s="1026">
        <v>6.4</v>
      </c>
      <c r="T209" s="1026"/>
      <c r="U209" s="1026">
        <f t="shared" si="42"/>
        <v>30</v>
      </c>
      <c r="V209" s="1026">
        <f>U209*(списки!$C$56-S209)</f>
        <v>408</v>
      </c>
      <c r="W209" s="1027">
        <v>0.2</v>
      </c>
      <c r="X209" s="1027"/>
      <c r="Y209" s="1027">
        <f t="shared" si="36"/>
        <v>31</v>
      </c>
      <c r="Z209" s="1027">
        <f>Y209*(списки!$C$56-W209)</f>
        <v>613.80000000000007</v>
      </c>
      <c r="AA209" s="1028">
        <v>-6.5</v>
      </c>
      <c r="AB209" s="1028"/>
      <c r="AC209" s="1028">
        <f t="shared" si="37"/>
        <v>30</v>
      </c>
      <c r="AD209" s="1028">
        <f>AC209*(списки!$C$56-AA209)</f>
        <v>795</v>
      </c>
      <c r="AE209" s="1029">
        <v>-10.8</v>
      </c>
      <c r="AF209" s="1029"/>
      <c r="AG209" s="1029">
        <v>31</v>
      </c>
      <c r="AH209" s="1029">
        <f>AG209*(списки!$C$56-AE209)</f>
        <v>954.80000000000007</v>
      </c>
      <c r="AI209" s="1030">
        <v>-15.2</v>
      </c>
      <c r="AJ209" s="1030"/>
      <c r="AK209" s="1030">
        <v>31</v>
      </c>
      <c r="AL209" s="1030">
        <f>AK209*(списки!$C$56-AI209)</f>
        <v>1091.2</v>
      </c>
      <c r="AM209" s="1031">
        <v>-14.9</v>
      </c>
      <c r="AN209" s="1031"/>
      <c r="AO209" s="1031">
        <v>28</v>
      </c>
      <c r="AP209" s="1031">
        <f>AO209*(списки!$C$56-AM209)</f>
        <v>977.19999999999993</v>
      </c>
      <c r="AQ209" s="1026">
        <v>-10.1</v>
      </c>
      <c r="AR209" s="1026"/>
      <c r="AS209" s="1026">
        <f t="shared" si="38"/>
        <v>31</v>
      </c>
      <c r="AT209" s="1026">
        <f>AS209*(списки!$C$56-AQ209)</f>
        <v>933.1</v>
      </c>
      <c r="AU209" s="1032">
        <v>-6.6</v>
      </c>
      <c r="AV209" s="1032"/>
      <c r="AW209" s="1032">
        <f t="shared" si="39"/>
        <v>30</v>
      </c>
      <c r="AX209" s="1032">
        <f>AW209*(списки!$C$56-AU209)</f>
        <v>798</v>
      </c>
      <c r="AY209" s="1033">
        <v>-0.4</v>
      </c>
      <c r="AZ209" s="1033"/>
      <c r="BA209" s="1033">
        <f t="shared" si="40"/>
        <v>31</v>
      </c>
      <c r="BB209" s="1033">
        <f>BA209*(списки!$C$56-AY209)</f>
        <v>632.4</v>
      </c>
      <c r="BC209" s="1034">
        <v>5.9</v>
      </c>
      <c r="BD209" s="1034"/>
      <c r="BE209" s="1034">
        <f t="shared" si="41"/>
        <v>12.5</v>
      </c>
      <c r="BF209" s="1035">
        <f>BE209*(списки!$C$56-BC209)</f>
        <v>176.25</v>
      </c>
      <c r="BG209" s="1424">
        <v>6526.0517857142822</v>
      </c>
      <c r="BH209" s="1424">
        <v>6959.4744047618997</v>
      </c>
    </row>
    <row r="210" spans="1:60" ht="15.75" customHeight="1" x14ac:dyDescent="0.25">
      <c r="B210" s="1038" t="s">
        <v>618</v>
      </c>
      <c r="C210" s="1038" t="s">
        <v>219</v>
      </c>
      <c r="D210" s="1015" t="str">
        <f t="shared" si="43"/>
        <v>Ненецкий АО (Архангельская область)Канин Нос</v>
      </c>
      <c r="E210" s="1016">
        <v>316</v>
      </c>
      <c r="F210" s="1017">
        <v>-2.4</v>
      </c>
      <c r="G210" s="1017">
        <v>-23</v>
      </c>
      <c r="H210" s="1019">
        <v>9.9</v>
      </c>
      <c r="I210" s="1020">
        <f>E210*(списки!$C$56-F210)</f>
        <v>7078.4</v>
      </c>
      <c r="J210" s="1021" t="str">
        <f t="shared" si="33"/>
        <v>7000-8000</v>
      </c>
      <c r="K210" s="1022">
        <v>8.9</v>
      </c>
      <c r="L210" s="1022"/>
      <c r="M210" s="1023">
        <f t="shared" si="34"/>
        <v>0</v>
      </c>
      <c r="N210" s="1024">
        <f>M210*(списки!$C$56-K210)</f>
        <v>0</v>
      </c>
      <c r="O210" s="1025">
        <v>8.5</v>
      </c>
      <c r="P210" s="1025"/>
      <c r="Q210" s="1025">
        <f t="shared" si="35"/>
        <v>21.5</v>
      </c>
      <c r="R210" s="1025">
        <f>Q210*(списки!$C$56-O210)</f>
        <v>247.25</v>
      </c>
      <c r="S210" s="1026">
        <v>6</v>
      </c>
      <c r="T210" s="1026"/>
      <c r="U210" s="1026">
        <f t="shared" si="42"/>
        <v>30</v>
      </c>
      <c r="V210" s="1026">
        <f>U210*(списки!$C$56-S210)</f>
        <v>420</v>
      </c>
      <c r="W210" s="1027">
        <v>1.7</v>
      </c>
      <c r="X210" s="1027"/>
      <c r="Y210" s="1027">
        <f t="shared" si="36"/>
        <v>31</v>
      </c>
      <c r="Z210" s="1027">
        <f>Y210*(списки!$C$56-W210)</f>
        <v>567.30000000000007</v>
      </c>
      <c r="AA210" s="1028">
        <v>-2.2999999999999998</v>
      </c>
      <c r="AB210" s="1028"/>
      <c r="AC210" s="1028">
        <f t="shared" si="37"/>
        <v>30</v>
      </c>
      <c r="AD210" s="1028">
        <f>AC210*(списки!$C$56-AA210)</f>
        <v>669</v>
      </c>
      <c r="AE210" s="1029">
        <v>-5.5</v>
      </c>
      <c r="AF210" s="1029"/>
      <c r="AG210" s="1029">
        <v>31</v>
      </c>
      <c r="AH210" s="1029">
        <f>AG210*(списки!$C$56-AE210)</f>
        <v>790.5</v>
      </c>
      <c r="AI210" s="1030">
        <v>-8.6999999999999993</v>
      </c>
      <c r="AJ210" s="1030"/>
      <c r="AK210" s="1030">
        <v>31</v>
      </c>
      <c r="AL210" s="1030">
        <f>AK210*(списки!$C$56-AI210)</f>
        <v>889.69999999999993</v>
      </c>
      <c r="AM210" s="1031">
        <v>-9.6999999999999993</v>
      </c>
      <c r="AN210" s="1031"/>
      <c r="AO210" s="1031">
        <v>28</v>
      </c>
      <c r="AP210" s="1031">
        <f>AO210*(списки!$C$56-AM210)</f>
        <v>831.6</v>
      </c>
      <c r="AQ210" s="1026">
        <v>-7.2</v>
      </c>
      <c r="AR210" s="1026"/>
      <c r="AS210" s="1026">
        <f t="shared" si="38"/>
        <v>31</v>
      </c>
      <c r="AT210" s="1026">
        <f>AS210*(списки!$C$56-AQ210)</f>
        <v>843.19999999999993</v>
      </c>
      <c r="AU210" s="1032">
        <v>-4.8</v>
      </c>
      <c r="AV210" s="1032"/>
      <c r="AW210" s="1032">
        <f t="shared" si="39"/>
        <v>30</v>
      </c>
      <c r="AX210" s="1032">
        <f>AW210*(списки!$C$56-AU210)</f>
        <v>744</v>
      </c>
      <c r="AY210" s="1033">
        <v>-0.7</v>
      </c>
      <c r="AZ210" s="1033"/>
      <c r="BA210" s="1033">
        <f t="shared" si="40"/>
        <v>31</v>
      </c>
      <c r="BB210" s="1033">
        <f>BA210*(списки!$C$56-AY210)</f>
        <v>641.69999999999993</v>
      </c>
      <c r="BC210" s="1034">
        <v>4.4000000000000004</v>
      </c>
      <c r="BD210" s="1034"/>
      <c r="BE210" s="1034">
        <f t="shared" si="41"/>
        <v>21.5</v>
      </c>
      <c r="BF210" s="1035">
        <f>BE210*(списки!$C$56-BC210)</f>
        <v>335.4</v>
      </c>
      <c r="BG210" s="1424">
        <v>5616.0605952380911</v>
      </c>
      <c r="BH210" s="1424">
        <v>6234.3376190476174</v>
      </c>
    </row>
    <row r="211" spans="1:60" ht="15.75" customHeight="1" x14ac:dyDescent="0.25">
      <c r="B211" s="1014" t="s">
        <v>618</v>
      </c>
      <c r="C211" s="1014" t="s">
        <v>220</v>
      </c>
      <c r="D211" s="1015" t="str">
        <f t="shared" si="43"/>
        <v>Ненецкий АО (Архангельская область)Коткино</v>
      </c>
      <c r="E211" s="1016">
        <v>285</v>
      </c>
      <c r="F211" s="1017">
        <v>-7.1</v>
      </c>
      <c r="G211" s="1017">
        <v>-41</v>
      </c>
      <c r="H211" s="1019">
        <f>H212</f>
        <v>4.3</v>
      </c>
      <c r="I211" s="1020">
        <f>E211*(списки!$C$56-F211)</f>
        <v>7723.5</v>
      </c>
      <c r="J211" s="1021" t="str">
        <f t="shared" si="33"/>
        <v>7000-8000</v>
      </c>
      <c r="K211" s="1022">
        <v>12.9</v>
      </c>
      <c r="L211" s="1022"/>
      <c r="M211" s="1023">
        <f t="shared" si="34"/>
        <v>0</v>
      </c>
      <c r="N211" s="1024">
        <f>M211*(списки!$C$56-K211)</f>
        <v>0</v>
      </c>
      <c r="O211" s="1025">
        <v>10.9</v>
      </c>
      <c r="P211" s="1025"/>
      <c r="Q211" s="1025">
        <f t="shared" si="35"/>
        <v>6</v>
      </c>
      <c r="R211" s="1025">
        <f>Q211*(списки!$C$56-O211)</f>
        <v>54.599999999999994</v>
      </c>
      <c r="S211" s="1026">
        <v>5.6</v>
      </c>
      <c r="T211" s="1026"/>
      <c r="U211" s="1026">
        <f t="shared" si="42"/>
        <v>30</v>
      </c>
      <c r="V211" s="1026">
        <f>U211*(списки!$C$56-S211)</f>
        <v>432</v>
      </c>
      <c r="W211" s="1027">
        <v>-1.8</v>
      </c>
      <c r="X211" s="1027"/>
      <c r="Y211" s="1027">
        <f t="shared" si="36"/>
        <v>31</v>
      </c>
      <c r="Z211" s="1027">
        <f>Y211*(списки!$C$56-W211)</f>
        <v>675.80000000000007</v>
      </c>
      <c r="AA211" s="1028">
        <v>-9</v>
      </c>
      <c r="AB211" s="1028"/>
      <c r="AC211" s="1028">
        <f t="shared" si="37"/>
        <v>30</v>
      </c>
      <c r="AD211" s="1028">
        <f>AC211*(списки!$C$56-AA211)</f>
        <v>870</v>
      </c>
      <c r="AE211" s="1029">
        <v>-13.5</v>
      </c>
      <c r="AF211" s="1029"/>
      <c r="AG211" s="1029">
        <v>31</v>
      </c>
      <c r="AH211" s="1029">
        <f>AG211*(списки!$C$56-AE211)</f>
        <v>1038.5</v>
      </c>
      <c r="AI211" s="1030">
        <v>-17.3</v>
      </c>
      <c r="AJ211" s="1030"/>
      <c r="AK211" s="1030">
        <v>31</v>
      </c>
      <c r="AL211" s="1030">
        <f>AK211*(списки!$C$56-AI211)</f>
        <v>1156.3</v>
      </c>
      <c r="AM211" s="1031">
        <v>-17.8</v>
      </c>
      <c r="AN211" s="1031"/>
      <c r="AO211" s="1031">
        <v>28</v>
      </c>
      <c r="AP211" s="1031">
        <f>AO211*(списки!$C$56-AM211)</f>
        <v>1058.3999999999999</v>
      </c>
      <c r="AQ211" s="1026">
        <v>-12.6</v>
      </c>
      <c r="AR211" s="1026"/>
      <c r="AS211" s="1026">
        <f t="shared" si="38"/>
        <v>31</v>
      </c>
      <c r="AT211" s="1026">
        <f>AS211*(списки!$C$56-AQ211)</f>
        <v>1010.6</v>
      </c>
      <c r="AU211" s="1032">
        <v>-5.4</v>
      </c>
      <c r="AV211" s="1032"/>
      <c r="AW211" s="1032">
        <f t="shared" si="39"/>
        <v>30</v>
      </c>
      <c r="AX211" s="1032">
        <f>AW211*(списки!$C$56-AU211)</f>
        <v>762</v>
      </c>
      <c r="AY211" s="1033">
        <v>0.9</v>
      </c>
      <c r="AZ211" s="1033"/>
      <c r="BA211" s="1033">
        <f t="shared" si="40"/>
        <v>31</v>
      </c>
      <c r="BB211" s="1033">
        <f>BA211*(списки!$C$56-AY211)</f>
        <v>592.1</v>
      </c>
      <c r="BC211" s="1034">
        <v>8.4</v>
      </c>
      <c r="BD211" s="1034"/>
      <c r="BE211" s="1034">
        <f t="shared" si="41"/>
        <v>6</v>
      </c>
      <c r="BF211" s="1035">
        <f>BE211*(списки!$C$56-BC211)</f>
        <v>69.599999999999994</v>
      </c>
      <c r="BG211" s="1424" t="e">
        <v>#N/A</v>
      </c>
      <c r="BH211" s="1424" t="e">
        <v>#N/A</v>
      </c>
    </row>
    <row r="212" spans="1:60" ht="15.75" customHeight="1" x14ac:dyDescent="0.25">
      <c r="B212" s="1038" t="s">
        <v>618</v>
      </c>
      <c r="C212" s="1038" t="s">
        <v>221</v>
      </c>
      <c r="D212" s="1015" t="str">
        <f t="shared" si="43"/>
        <v>Ненецкий АО (Архангельская область)Нарьян-Мар</v>
      </c>
      <c r="E212" s="1016">
        <v>289</v>
      </c>
      <c r="F212" s="1017">
        <v>-7.5</v>
      </c>
      <c r="G212" s="1017">
        <v>-39</v>
      </c>
      <c r="H212" s="1019">
        <v>4.3</v>
      </c>
      <c r="I212" s="1020">
        <f>E212*(списки!$C$56-F212)</f>
        <v>7947.5</v>
      </c>
      <c r="J212" s="1021" t="str">
        <f t="shared" si="33"/>
        <v>7000-8000</v>
      </c>
      <c r="K212" s="1022">
        <v>13.3</v>
      </c>
      <c r="L212" s="1022"/>
      <c r="M212" s="1023">
        <f t="shared" si="34"/>
        <v>0</v>
      </c>
      <c r="N212" s="1024">
        <f>M212*(списки!$C$56-K212)</f>
        <v>0</v>
      </c>
      <c r="O212" s="1025">
        <v>10.4</v>
      </c>
      <c r="P212" s="1025"/>
      <c r="Q212" s="1025">
        <f t="shared" si="35"/>
        <v>8</v>
      </c>
      <c r="R212" s="1025">
        <f>Q212*(списки!$C$56-O212)</f>
        <v>76.8</v>
      </c>
      <c r="S212" s="1026">
        <v>5.8</v>
      </c>
      <c r="T212" s="1026"/>
      <c r="U212" s="1026">
        <f t="shared" si="42"/>
        <v>30</v>
      </c>
      <c r="V212" s="1026">
        <f>U212*(списки!$C$56-S212)</f>
        <v>426</v>
      </c>
      <c r="W212" s="1027">
        <v>-1.6</v>
      </c>
      <c r="X212" s="1027"/>
      <c r="Y212" s="1027">
        <f t="shared" si="36"/>
        <v>31</v>
      </c>
      <c r="Z212" s="1027">
        <f>Y212*(списки!$C$56-W212)</f>
        <v>669.6</v>
      </c>
      <c r="AA212" s="1028">
        <v>-9.5</v>
      </c>
      <c r="AB212" s="1028"/>
      <c r="AC212" s="1028">
        <f t="shared" si="37"/>
        <v>30</v>
      </c>
      <c r="AD212" s="1028">
        <f>AC212*(списки!$C$56-AA212)</f>
        <v>885</v>
      </c>
      <c r="AE212" s="1029">
        <v>-13.8</v>
      </c>
      <c r="AF212" s="1029"/>
      <c r="AG212" s="1029">
        <v>31</v>
      </c>
      <c r="AH212" s="1029">
        <f>AG212*(списки!$C$56-AE212)</f>
        <v>1047.8</v>
      </c>
      <c r="AI212" s="1030">
        <v>-18.100000000000001</v>
      </c>
      <c r="AJ212" s="1030"/>
      <c r="AK212" s="1030">
        <v>31</v>
      </c>
      <c r="AL212" s="1030">
        <f>AK212*(списки!$C$56-AI212)</f>
        <v>1181.1000000000001</v>
      </c>
      <c r="AM212" s="1031">
        <v>-17.399999999999999</v>
      </c>
      <c r="AN212" s="1031"/>
      <c r="AO212" s="1031">
        <v>28</v>
      </c>
      <c r="AP212" s="1031">
        <f>AO212*(списки!$C$56-AM212)</f>
        <v>1047.2</v>
      </c>
      <c r="AQ212" s="1026">
        <v>-11.2</v>
      </c>
      <c r="AR212" s="1026"/>
      <c r="AS212" s="1026">
        <f t="shared" si="38"/>
        <v>31</v>
      </c>
      <c r="AT212" s="1026">
        <f>AS212*(списки!$C$56-AQ212)</f>
        <v>967.19999999999993</v>
      </c>
      <c r="AU212" s="1032">
        <v>-7</v>
      </c>
      <c r="AV212" s="1032"/>
      <c r="AW212" s="1032">
        <f t="shared" si="39"/>
        <v>30</v>
      </c>
      <c r="AX212" s="1032">
        <f>AW212*(списки!$C$56-AU212)</f>
        <v>810</v>
      </c>
      <c r="AY212" s="1033">
        <v>0</v>
      </c>
      <c r="AZ212" s="1033"/>
      <c r="BA212" s="1033">
        <f t="shared" si="40"/>
        <v>31</v>
      </c>
      <c r="BB212" s="1033">
        <f>BA212*(списки!$C$56-AY212)</f>
        <v>620</v>
      </c>
      <c r="BC212" s="1034">
        <v>8</v>
      </c>
      <c r="BD212" s="1034"/>
      <c r="BE212" s="1034">
        <f t="shared" si="41"/>
        <v>8</v>
      </c>
      <c r="BF212" s="1035">
        <f>BE212*(списки!$C$56-BC212)</f>
        <v>96</v>
      </c>
      <c r="BG212" s="1424">
        <v>6623.6803571428563</v>
      </c>
      <c r="BH212" s="1424">
        <v>7105.1821428571429</v>
      </c>
    </row>
    <row r="213" spans="1:60" ht="15.75" customHeight="1" x14ac:dyDescent="0.25">
      <c r="B213" s="1014" t="s">
        <v>618</v>
      </c>
      <c r="C213" s="1014" t="s">
        <v>216</v>
      </c>
      <c r="D213" s="1015" t="str">
        <f t="shared" si="43"/>
        <v>Ненецкий АО (Архангельская область)Ходовариха</v>
      </c>
      <c r="E213" s="1016">
        <v>330</v>
      </c>
      <c r="F213" s="1017">
        <v>-6.2</v>
      </c>
      <c r="G213" s="1017">
        <v>-32</v>
      </c>
      <c r="H213" s="1019">
        <f>H214</f>
        <v>7.2</v>
      </c>
      <c r="I213" s="1020">
        <f>E213*(списки!$C$56-F213)</f>
        <v>8646</v>
      </c>
      <c r="J213" s="1021" t="str">
        <f t="shared" si="33"/>
        <v>8000-9000</v>
      </c>
      <c r="K213" s="1022">
        <v>8.3000000000000007</v>
      </c>
      <c r="L213" s="1022"/>
      <c r="M213" s="1023">
        <f t="shared" si="34"/>
        <v>0</v>
      </c>
      <c r="N213" s="1024">
        <f>M213*(списки!$C$56-K213)</f>
        <v>0</v>
      </c>
      <c r="O213" s="1025">
        <v>8.4</v>
      </c>
      <c r="P213" s="1025"/>
      <c r="Q213" s="1025">
        <f t="shared" si="35"/>
        <v>28.5</v>
      </c>
      <c r="R213" s="1025">
        <f>Q213*(списки!$C$56-O213)</f>
        <v>330.59999999999997</v>
      </c>
      <c r="S213" s="1026">
        <v>5.0999999999999996</v>
      </c>
      <c r="T213" s="1026"/>
      <c r="U213" s="1026">
        <f t="shared" si="42"/>
        <v>30</v>
      </c>
      <c r="V213" s="1026">
        <f>U213*(списки!$C$56-S213)</f>
        <v>447</v>
      </c>
      <c r="W213" s="1027">
        <v>-1</v>
      </c>
      <c r="X213" s="1027"/>
      <c r="Y213" s="1027">
        <f t="shared" si="36"/>
        <v>31</v>
      </c>
      <c r="Z213" s="1027">
        <f>Y213*(списки!$C$56-W213)</f>
        <v>651</v>
      </c>
      <c r="AA213" s="1028">
        <v>-6.9</v>
      </c>
      <c r="AB213" s="1028"/>
      <c r="AC213" s="1028">
        <f t="shared" si="37"/>
        <v>30</v>
      </c>
      <c r="AD213" s="1028">
        <f>AC213*(списки!$C$56-AA213)</f>
        <v>807</v>
      </c>
      <c r="AE213" s="1029">
        <v>-11.7</v>
      </c>
      <c r="AF213" s="1029"/>
      <c r="AG213" s="1029">
        <v>31</v>
      </c>
      <c r="AH213" s="1029">
        <f>AG213*(списки!$C$56-AE213)</f>
        <v>982.69999999999993</v>
      </c>
      <c r="AI213" s="1030">
        <v>-15.5</v>
      </c>
      <c r="AJ213" s="1030"/>
      <c r="AK213" s="1030">
        <v>31</v>
      </c>
      <c r="AL213" s="1030">
        <f>AK213*(списки!$C$56-AI213)</f>
        <v>1100.5</v>
      </c>
      <c r="AM213" s="1031">
        <v>-16.899999999999999</v>
      </c>
      <c r="AN213" s="1031"/>
      <c r="AO213" s="1031">
        <v>28</v>
      </c>
      <c r="AP213" s="1031">
        <f>AO213*(списки!$C$56-AM213)</f>
        <v>1033.2</v>
      </c>
      <c r="AQ213" s="1026">
        <v>-14.6</v>
      </c>
      <c r="AR213" s="1026"/>
      <c r="AS213" s="1026">
        <f t="shared" si="38"/>
        <v>31</v>
      </c>
      <c r="AT213" s="1026">
        <f>AS213*(списки!$C$56-AQ213)</f>
        <v>1072.6000000000001</v>
      </c>
      <c r="AU213" s="1032">
        <v>-8.6</v>
      </c>
      <c r="AV213" s="1032"/>
      <c r="AW213" s="1032">
        <f t="shared" si="39"/>
        <v>30</v>
      </c>
      <c r="AX213" s="1032">
        <f>AW213*(списки!$C$56-AU213)</f>
        <v>858</v>
      </c>
      <c r="AY213" s="1033">
        <v>-2.9</v>
      </c>
      <c r="AZ213" s="1033"/>
      <c r="BA213" s="1033">
        <f t="shared" si="40"/>
        <v>31</v>
      </c>
      <c r="BB213" s="1033">
        <f>BA213*(списки!$C$56-AY213)</f>
        <v>709.9</v>
      </c>
      <c r="BC213" s="1034">
        <v>-2.5</v>
      </c>
      <c r="BD213" s="1034"/>
      <c r="BE213" s="1034">
        <f t="shared" si="41"/>
        <v>28.5</v>
      </c>
      <c r="BF213" s="1035">
        <f>BE213*(списки!$C$56-BC213)</f>
        <v>641.25</v>
      </c>
      <c r="BG213" s="1424">
        <v>6911.0641666666697</v>
      </c>
      <c r="BH213" s="1424">
        <v>7359.5742857142877</v>
      </c>
    </row>
    <row r="214" spans="1:60" ht="15.75" customHeight="1" x14ac:dyDescent="0.25">
      <c r="B214" s="1038" t="s">
        <v>618</v>
      </c>
      <c r="C214" s="1038" t="s">
        <v>217</v>
      </c>
      <c r="D214" s="1015" t="str">
        <f t="shared" si="43"/>
        <v>Ненецкий АО (Архангельская область)Хоседа-Хард</v>
      </c>
      <c r="E214" s="1016">
        <v>296</v>
      </c>
      <c r="F214" s="1017">
        <v>-8.6</v>
      </c>
      <c r="G214" s="1017">
        <v>-42</v>
      </c>
      <c r="H214" s="1019">
        <v>7.2</v>
      </c>
      <c r="I214" s="1020">
        <f>E214*(списки!$C$56-F214)</f>
        <v>8465.6</v>
      </c>
      <c r="J214" s="1021" t="str">
        <f t="shared" si="33"/>
        <v>8000-9000</v>
      </c>
      <c r="K214" s="1022">
        <v>13.3</v>
      </c>
      <c r="L214" s="1022"/>
      <c r="M214" s="1023">
        <f t="shared" si="34"/>
        <v>0</v>
      </c>
      <c r="N214" s="1024">
        <f>M214*(списки!$C$56-K214)</f>
        <v>0</v>
      </c>
      <c r="O214" s="1025">
        <v>9.9</v>
      </c>
      <c r="P214" s="1025"/>
      <c r="Q214" s="1025">
        <f t="shared" si="35"/>
        <v>11.5</v>
      </c>
      <c r="R214" s="1025">
        <f>Q214*(списки!$C$56-O214)</f>
        <v>116.14999999999999</v>
      </c>
      <c r="S214" s="1026">
        <v>4.9000000000000004</v>
      </c>
      <c r="T214" s="1026"/>
      <c r="U214" s="1026">
        <f t="shared" si="42"/>
        <v>30</v>
      </c>
      <c r="V214" s="1026">
        <f>U214*(списки!$C$56-S214)</f>
        <v>453</v>
      </c>
      <c r="W214" s="1027">
        <v>-3.4</v>
      </c>
      <c r="X214" s="1027"/>
      <c r="Y214" s="1027">
        <f t="shared" si="36"/>
        <v>31</v>
      </c>
      <c r="Z214" s="1027">
        <f>Y214*(списки!$C$56-W214)</f>
        <v>725.4</v>
      </c>
      <c r="AA214" s="1028">
        <v>-12.1</v>
      </c>
      <c r="AB214" s="1028"/>
      <c r="AC214" s="1028">
        <f t="shared" si="37"/>
        <v>30</v>
      </c>
      <c r="AD214" s="1028">
        <f>AC214*(списки!$C$56-AA214)</f>
        <v>963</v>
      </c>
      <c r="AE214" s="1029">
        <v>-16.600000000000001</v>
      </c>
      <c r="AF214" s="1029"/>
      <c r="AG214" s="1029">
        <v>31</v>
      </c>
      <c r="AH214" s="1029">
        <f>AG214*(списки!$C$56-AE214)</f>
        <v>1134.6000000000001</v>
      </c>
      <c r="AI214" s="1030">
        <v>-20.399999999999999</v>
      </c>
      <c r="AJ214" s="1030"/>
      <c r="AK214" s="1030">
        <v>31</v>
      </c>
      <c r="AL214" s="1030">
        <f>AK214*(списки!$C$56-AI214)</f>
        <v>1252.3999999999999</v>
      </c>
      <c r="AM214" s="1031">
        <v>-19.7</v>
      </c>
      <c r="AN214" s="1031"/>
      <c r="AO214" s="1031">
        <v>28</v>
      </c>
      <c r="AP214" s="1031">
        <f>AO214*(списки!$C$56-AM214)</f>
        <v>1111.6000000000001</v>
      </c>
      <c r="AQ214" s="1026">
        <v>-13</v>
      </c>
      <c r="AR214" s="1026"/>
      <c r="AS214" s="1026">
        <f t="shared" si="38"/>
        <v>31</v>
      </c>
      <c r="AT214" s="1026">
        <f>AS214*(списки!$C$56-AQ214)</f>
        <v>1023</v>
      </c>
      <c r="AU214" s="1032">
        <v>-8.6</v>
      </c>
      <c r="AV214" s="1032"/>
      <c r="AW214" s="1032">
        <f t="shared" si="39"/>
        <v>30</v>
      </c>
      <c r="AX214" s="1032">
        <f>AW214*(списки!$C$56-AU214)</f>
        <v>858</v>
      </c>
      <c r="AY214" s="1033">
        <v>-0.8</v>
      </c>
      <c r="AZ214" s="1033"/>
      <c r="BA214" s="1033">
        <f t="shared" si="40"/>
        <v>31</v>
      </c>
      <c r="BB214" s="1033">
        <f>BA214*(списки!$C$56-AY214)</f>
        <v>644.80000000000007</v>
      </c>
      <c r="BC214" s="1034">
        <v>8.1</v>
      </c>
      <c r="BD214" s="1034"/>
      <c r="BE214" s="1034">
        <f t="shared" si="41"/>
        <v>11.5</v>
      </c>
      <c r="BF214" s="1035">
        <f>BE214*(списки!$C$56-BC214)</f>
        <v>136.85</v>
      </c>
      <c r="BG214" s="1424" t="e">
        <v>#N/A</v>
      </c>
      <c r="BH214" s="1424" t="e">
        <v>#N/A</v>
      </c>
    </row>
    <row r="215" spans="1:60" ht="15.75" customHeight="1" x14ac:dyDescent="0.25">
      <c r="B215" s="1014" t="s">
        <v>67</v>
      </c>
      <c r="C215" s="1014" t="s">
        <v>223</v>
      </c>
      <c r="D215" s="1015" t="str">
        <f t="shared" si="43"/>
        <v>Нижегородская областьАрзамас</v>
      </c>
      <c r="E215" s="1016">
        <v>216</v>
      </c>
      <c r="F215" s="1017">
        <v>-4.7</v>
      </c>
      <c r="G215" s="1017">
        <v>-32</v>
      </c>
      <c r="H215" s="1019">
        <v>7.5</v>
      </c>
      <c r="I215" s="1020">
        <f>E215*(списки!$C$56-F215)</f>
        <v>5335.2</v>
      </c>
      <c r="J215" s="1021" t="str">
        <f t="shared" si="33"/>
        <v>5000-6000</v>
      </c>
      <c r="K215" s="1022">
        <v>18.8</v>
      </c>
      <c r="L215" s="1022"/>
      <c r="M215" s="1023">
        <f t="shared" si="34"/>
        <v>0</v>
      </c>
      <c r="N215" s="1024">
        <f>M215*(списки!$C$56-K215)</f>
        <v>0</v>
      </c>
      <c r="O215" s="1025">
        <v>17.2</v>
      </c>
      <c r="P215" s="1025"/>
      <c r="Q215" s="1025">
        <f t="shared" si="35"/>
        <v>0</v>
      </c>
      <c r="R215" s="1025">
        <f>Q215*(списки!$C$56-O215)</f>
        <v>0</v>
      </c>
      <c r="S215" s="1026">
        <v>10.8</v>
      </c>
      <c r="T215" s="1026"/>
      <c r="U215" s="1026">
        <f t="shared" si="42"/>
        <v>2</v>
      </c>
      <c r="V215" s="1026">
        <f>U215*(списки!$C$56-S215)</f>
        <v>18.399999999999999</v>
      </c>
      <c r="W215" s="1027">
        <v>3.5</v>
      </c>
      <c r="X215" s="1027"/>
      <c r="Y215" s="1027">
        <f t="shared" si="36"/>
        <v>31</v>
      </c>
      <c r="Z215" s="1027">
        <f>Y215*(списки!$C$56-W215)</f>
        <v>511.5</v>
      </c>
      <c r="AA215" s="1028">
        <v>-3.6</v>
      </c>
      <c r="AB215" s="1028"/>
      <c r="AC215" s="1028">
        <f t="shared" si="37"/>
        <v>30</v>
      </c>
      <c r="AD215" s="1028">
        <f>AC215*(списки!$C$56-AA215)</f>
        <v>708</v>
      </c>
      <c r="AE215" s="1029">
        <v>-9.4</v>
      </c>
      <c r="AF215" s="1029"/>
      <c r="AG215" s="1029">
        <v>31</v>
      </c>
      <c r="AH215" s="1029">
        <f>AG215*(списки!$C$56-AE215)</f>
        <v>911.4</v>
      </c>
      <c r="AI215" s="1030">
        <v>-12.4</v>
      </c>
      <c r="AJ215" s="1030"/>
      <c r="AK215" s="1030">
        <v>31</v>
      </c>
      <c r="AL215" s="1030">
        <f>AK215*(списки!$C$56-AI215)</f>
        <v>1004.4</v>
      </c>
      <c r="AM215" s="1031">
        <v>-11.9</v>
      </c>
      <c r="AN215" s="1031"/>
      <c r="AO215" s="1031">
        <v>28</v>
      </c>
      <c r="AP215" s="1031">
        <f>AO215*(списки!$C$56-AM215)</f>
        <v>893.19999999999993</v>
      </c>
      <c r="AQ215" s="1026">
        <v>-6.5</v>
      </c>
      <c r="AR215" s="1026"/>
      <c r="AS215" s="1026">
        <f t="shared" si="38"/>
        <v>31</v>
      </c>
      <c r="AT215" s="1026">
        <f>AS215*(списки!$C$56-AQ215)</f>
        <v>821.5</v>
      </c>
      <c r="AU215" s="1032">
        <v>3.5</v>
      </c>
      <c r="AV215" s="1032"/>
      <c r="AW215" s="1032">
        <f t="shared" si="39"/>
        <v>30</v>
      </c>
      <c r="AX215" s="1032">
        <f>AW215*(списки!$C$56-AU215)</f>
        <v>495</v>
      </c>
      <c r="AY215" s="1033">
        <v>12</v>
      </c>
      <c r="AZ215" s="1033"/>
      <c r="BA215" s="1033">
        <f t="shared" si="40"/>
        <v>2</v>
      </c>
      <c r="BB215" s="1033">
        <f>BA215*(списки!$C$56-AY215)</f>
        <v>16</v>
      </c>
      <c r="BC215" s="1034">
        <v>16.899999999999999</v>
      </c>
      <c r="BD215" s="1034"/>
      <c r="BE215" s="1034">
        <f t="shared" si="41"/>
        <v>0</v>
      </c>
      <c r="BF215" s="1035">
        <f>BE215*(списки!$C$56-BC215)</f>
        <v>0</v>
      </c>
      <c r="BG215" s="1424">
        <v>4539.9767857142861</v>
      </c>
      <c r="BH215" s="1424">
        <v>4518.3249999999989</v>
      </c>
    </row>
    <row r="216" spans="1:60" ht="15.75" customHeight="1" x14ac:dyDescent="0.25">
      <c r="B216" s="1038" t="s">
        <v>67</v>
      </c>
      <c r="C216" s="1038" t="s">
        <v>225</v>
      </c>
      <c r="D216" s="1015" t="str">
        <f t="shared" si="43"/>
        <v>Нижегородская областьВыкса</v>
      </c>
      <c r="E216" s="1016">
        <v>212</v>
      </c>
      <c r="F216" s="1017">
        <v>-4</v>
      </c>
      <c r="G216" s="1017">
        <v>-30</v>
      </c>
      <c r="H216" s="1019">
        <f>H217</f>
        <v>5.0999999999999996</v>
      </c>
      <c r="I216" s="1020">
        <f>E216*(списки!$C$56-F216)</f>
        <v>5088</v>
      </c>
      <c r="J216" s="1021" t="str">
        <f t="shared" si="33"/>
        <v>5000-6000</v>
      </c>
      <c r="K216" s="1022">
        <v>18.899999999999999</v>
      </c>
      <c r="L216" s="1022"/>
      <c r="M216" s="1023">
        <f t="shared" si="34"/>
        <v>0.5</v>
      </c>
      <c r="N216" s="1024">
        <f>M216*(списки!$C$56-K216)</f>
        <v>0.55000000000000071</v>
      </c>
      <c r="O216" s="1025">
        <v>17</v>
      </c>
      <c r="P216" s="1025"/>
      <c r="Q216" s="1025">
        <f t="shared" si="35"/>
        <v>0</v>
      </c>
      <c r="R216" s="1025">
        <f>Q216*(списки!$C$56-O216)</f>
        <v>0</v>
      </c>
      <c r="S216" s="1026">
        <v>11.1</v>
      </c>
      <c r="T216" s="1026"/>
      <c r="U216" s="1026">
        <f t="shared" si="42"/>
        <v>0</v>
      </c>
      <c r="V216" s="1026">
        <f>U216*(списки!$C$56-S216)</f>
        <v>0</v>
      </c>
      <c r="W216" s="1027">
        <v>4</v>
      </c>
      <c r="X216" s="1027"/>
      <c r="Y216" s="1027">
        <f t="shared" si="36"/>
        <v>30.5</v>
      </c>
      <c r="Z216" s="1027">
        <f>Y216*(списки!$C$56-W216)</f>
        <v>488</v>
      </c>
      <c r="AA216" s="1028">
        <v>-2.8</v>
      </c>
      <c r="AB216" s="1028"/>
      <c r="AC216" s="1028">
        <f t="shared" si="37"/>
        <v>30</v>
      </c>
      <c r="AD216" s="1028">
        <f>AC216*(списки!$C$56-AA216)</f>
        <v>684</v>
      </c>
      <c r="AE216" s="1029">
        <v>-8.5</v>
      </c>
      <c r="AF216" s="1029"/>
      <c r="AG216" s="1029">
        <v>31</v>
      </c>
      <c r="AH216" s="1029">
        <f>AG216*(списки!$C$56-AE216)</f>
        <v>883.5</v>
      </c>
      <c r="AI216" s="1030">
        <v>-11.3</v>
      </c>
      <c r="AJ216" s="1030"/>
      <c r="AK216" s="1030">
        <v>31</v>
      </c>
      <c r="AL216" s="1030">
        <f>AK216*(списки!$C$56-AI216)</f>
        <v>970.30000000000007</v>
      </c>
      <c r="AM216" s="1031">
        <v>-10.8</v>
      </c>
      <c r="AN216" s="1031"/>
      <c r="AO216" s="1031">
        <v>28</v>
      </c>
      <c r="AP216" s="1031">
        <f>AO216*(списки!$C$56-AM216)</f>
        <v>862.4</v>
      </c>
      <c r="AQ216" s="1026">
        <v>-5.0999999999999996</v>
      </c>
      <c r="AR216" s="1026"/>
      <c r="AS216" s="1026">
        <f t="shared" si="38"/>
        <v>31</v>
      </c>
      <c r="AT216" s="1026">
        <f>AS216*(списки!$C$56-AQ216)</f>
        <v>778.1</v>
      </c>
      <c r="AU216" s="1032">
        <v>4.4000000000000004</v>
      </c>
      <c r="AV216" s="1032"/>
      <c r="AW216" s="1032">
        <f t="shared" si="39"/>
        <v>30</v>
      </c>
      <c r="AX216" s="1032">
        <f>AW216*(списки!$C$56-AU216)</f>
        <v>468</v>
      </c>
      <c r="AY216" s="1033">
        <v>12.5</v>
      </c>
      <c r="AZ216" s="1033"/>
      <c r="BA216" s="1033">
        <f t="shared" si="40"/>
        <v>0</v>
      </c>
      <c r="BB216" s="1033">
        <f>BA216*(списки!$C$56-AY216)</f>
        <v>0</v>
      </c>
      <c r="BC216" s="1034">
        <v>16.8</v>
      </c>
      <c r="BD216" s="1034"/>
      <c r="BE216" s="1034">
        <f t="shared" si="41"/>
        <v>0</v>
      </c>
      <c r="BF216" s="1035">
        <f>BE216*(списки!$C$56-BC216)</f>
        <v>0</v>
      </c>
      <c r="BG216" s="1424">
        <v>4408.7232142857119</v>
      </c>
      <c r="BH216" s="1424">
        <v>4477.3160714285741</v>
      </c>
    </row>
    <row r="217" spans="1:60" ht="15.75" customHeight="1" x14ac:dyDescent="0.25">
      <c r="B217" s="1014" t="s">
        <v>67</v>
      </c>
      <c r="C217" s="1014" t="s">
        <v>224</v>
      </c>
      <c r="D217" s="1015" t="str">
        <f t="shared" si="43"/>
        <v>Нижегородская областьНижний Новгород</v>
      </c>
      <c r="E217" s="1016">
        <v>215</v>
      </c>
      <c r="F217" s="1017">
        <v>-4.0999999999999996</v>
      </c>
      <c r="G217" s="1017">
        <v>-31</v>
      </c>
      <c r="H217" s="1019">
        <v>5.0999999999999996</v>
      </c>
      <c r="I217" s="1020">
        <f>E217*(списки!$C$56-F217)</f>
        <v>5181.5</v>
      </c>
      <c r="J217" s="1021" t="str">
        <f t="shared" si="33"/>
        <v>5000-6000</v>
      </c>
      <c r="K217" s="1022">
        <v>18.399999999999999</v>
      </c>
      <c r="L217" s="1022"/>
      <c r="M217" s="1023">
        <f t="shared" si="34"/>
        <v>0</v>
      </c>
      <c r="N217" s="1024">
        <f>M217*(списки!$C$56-K217)</f>
        <v>0</v>
      </c>
      <c r="O217" s="1025">
        <v>16.899999999999999</v>
      </c>
      <c r="P217" s="1025"/>
      <c r="Q217" s="1025">
        <f t="shared" si="35"/>
        <v>0</v>
      </c>
      <c r="R217" s="1025">
        <f>Q217*(списки!$C$56-O217)</f>
        <v>0</v>
      </c>
      <c r="S217" s="1026">
        <v>11</v>
      </c>
      <c r="T217" s="1026"/>
      <c r="U217" s="1026">
        <f t="shared" si="42"/>
        <v>1.5</v>
      </c>
      <c r="V217" s="1026">
        <f>U217*(списки!$C$56-S217)</f>
        <v>13.5</v>
      </c>
      <c r="W217" s="1027">
        <v>3.6</v>
      </c>
      <c r="X217" s="1027"/>
      <c r="Y217" s="1027">
        <f t="shared" si="36"/>
        <v>31</v>
      </c>
      <c r="Z217" s="1027">
        <f>Y217*(списки!$C$56-W217)</f>
        <v>508.4</v>
      </c>
      <c r="AA217" s="1028">
        <v>-2.8</v>
      </c>
      <c r="AB217" s="1028"/>
      <c r="AC217" s="1028">
        <f t="shared" si="37"/>
        <v>30</v>
      </c>
      <c r="AD217" s="1028">
        <f>AC217*(списки!$C$56-AA217)</f>
        <v>684</v>
      </c>
      <c r="AE217" s="1029">
        <v>-8.9</v>
      </c>
      <c r="AF217" s="1029"/>
      <c r="AG217" s="1029">
        <v>31</v>
      </c>
      <c r="AH217" s="1029">
        <f>AG217*(списки!$C$56-AE217)</f>
        <v>895.9</v>
      </c>
      <c r="AI217" s="1030">
        <v>-11.8</v>
      </c>
      <c r="AJ217" s="1030"/>
      <c r="AK217" s="1030">
        <v>31</v>
      </c>
      <c r="AL217" s="1030">
        <f>AK217*(списки!$C$56-AI217)</f>
        <v>985.80000000000007</v>
      </c>
      <c r="AM217" s="1031">
        <v>-11.1</v>
      </c>
      <c r="AN217" s="1031"/>
      <c r="AO217" s="1031">
        <v>28</v>
      </c>
      <c r="AP217" s="1031">
        <f>AO217*(списки!$C$56-AM217)</f>
        <v>870.80000000000007</v>
      </c>
      <c r="AQ217" s="1026">
        <v>-5</v>
      </c>
      <c r="AR217" s="1026"/>
      <c r="AS217" s="1026">
        <f t="shared" si="38"/>
        <v>31</v>
      </c>
      <c r="AT217" s="1026">
        <f>AS217*(списки!$C$56-AQ217)</f>
        <v>775</v>
      </c>
      <c r="AU217" s="1032">
        <v>4.2</v>
      </c>
      <c r="AV217" s="1032"/>
      <c r="AW217" s="1032">
        <f t="shared" si="39"/>
        <v>30</v>
      </c>
      <c r="AX217" s="1032">
        <f>AW217*(списки!$C$56-AU217)</f>
        <v>474</v>
      </c>
      <c r="AY217" s="1033">
        <v>12</v>
      </c>
      <c r="AZ217" s="1033"/>
      <c r="BA217" s="1033">
        <f t="shared" si="40"/>
        <v>1.5</v>
      </c>
      <c r="BB217" s="1033">
        <f>BA217*(списки!$C$56-AY217)</f>
        <v>12</v>
      </c>
      <c r="BC217" s="1034">
        <v>16.399999999999999</v>
      </c>
      <c r="BD217" s="1034"/>
      <c r="BE217" s="1034">
        <f t="shared" si="41"/>
        <v>0</v>
      </c>
      <c r="BF217" s="1035">
        <f>BE217*(списки!$C$56-BC217)</f>
        <v>0</v>
      </c>
      <c r="BG217" s="1424">
        <v>4570.3517857142851</v>
      </c>
      <c r="BH217" s="1424">
        <v>4719.6125000000011</v>
      </c>
    </row>
    <row r="218" spans="1:60" ht="15.75" customHeight="1" x14ac:dyDescent="0.25">
      <c r="B218" s="1038" t="s">
        <v>226</v>
      </c>
      <c r="C218" s="1038" t="s">
        <v>227</v>
      </c>
      <c r="D218" s="1015" t="str">
        <f t="shared" si="43"/>
        <v>Новгородская областьБоровичи</v>
      </c>
      <c r="E218" s="1016">
        <v>220</v>
      </c>
      <c r="F218" s="1017">
        <v>-2.8</v>
      </c>
      <c r="G218" s="1017">
        <v>-29</v>
      </c>
      <c r="H218" s="1019">
        <v>3.9</v>
      </c>
      <c r="I218" s="1020">
        <f>E218*(списки!$C$56-F218)</f>
        <v>5016</v>
      </c>
      <c r="J218" s="1021" t="str">
        <f t="shared" si="33"/>
        <v>5000-6000</v>
      </c>
      <c r="K218" s="1022">
        <v>17.399999999999999</v>
      </c>
      <c r="L218" s="1022"/>
      <c r="M218" s="1023">
        <f t="shared" si="34"/>
        <v>0</v>
      </c>
      <c r="N218" s="1024">
        <f>M218*(списки!$C$56-K218)</f>
        <v>0</v>
      </c>
      <c r="O218" s="1025">
        <v>15.4</v>
      </c>
      <c r="P218" s="1025"/>
      <c r="Q218" s="1025">
        <f t="shared" si="35"/>
        <v>0</v>
      </c>
      <c r="R218" s="1025">
        <f>Q218*(списки!$C$56-O218)</f>
        <v>0</v>
      </c>
      <c r="S218" s="1026">
        <v>10</v>
      </c>
      <c r="T218" s="1026"/>
      <c r="U218" s="1026">
        <f t="shared" si="42"/>
        <v>4</v>
      </c>
      <c r="V218" s="1026">
        <f>U218*(списки!$C$56-S218)</f>
        <v>40</v>
      </c>
      <c r="W218" s="1027">
        <v>4.2</v>
      </c>
      <c r="X218" s="1027"/>
      <c r="Y218" s="1027">
        <f t="shared" si="36"/>
        <v>31</v>
      </c>
      <c r="Z218" s="1027">
        <f>Y218*(списки!$C$56-W218)</f>
        <v>489.8</v>
      </c>
      <c r="AA218" s="1028">
        <v>-1.6</v>
      </c>
      <c r="AB218" s="1028"/>
      <c r="AC218" s="1028">
        <f t="shared" si="37"/>
        <v>30</v>
      </c>
      <c r="AD218" s="1028">
        <f>AC218*(списки!$C$56-AA218)</f>
        <v>648</v>
      </c>
      <c r="AE218" s="1029">
        <v>-6.7</v>
      </c>
      <c r="AF218" s="1029"/>
      <c r="AG218" s="1029">
        <v>31</v>
      </c>
      <c r="AH218" s="1029">
        <f>AG218*(списки!$C$56-AE218)</f>
        <v>827.69999999999993</v>
      </c>
      <c r="AI218" s="1030">
        <v>-9.8000000000000007</v>
      </c>
      <c r="AJ218" s="1030"/>
      <c r="AK218" s="1030">
        <v>31</v>
      </c>
      <c r="AL218" s="1030">
        <f>AK218*(списки!$C$56-AI218)</f>
        <v>923.80000000000007</v>
      </c>
      <c r="AM218" s="1031">
        <v>-8.8000000000000007</v>
      </c>
      <c r="AN218" s="1031"/>
      <c r="AO218" s="1031">
        <v>28</v>
      </c>
      <c r="AP218" s="1031">
        <f>AO218*(списки!$C$56-AM218)</f>
        <v>806.4</v>
      </c>
      <c r="AQ218" s="1026">
        <v>-3.8</v>
      </c>
      <c r="AR218" s="1026"/>
      <c r="AS218" s="1026">
        <f t="shared" si="38"/>
        <v>31</v>
      </c>
      <c r="AT218" s="1026">
        <f>AS218*(списки!$C$56-AQ218)</f>
        <v>737.80000000000007</v>
      </c>
      <c r="AU218" s="1032">
        <v>3.8</v>
      </c>
      <c r="AV218" s="1032"/>
      <c r="AW218" s="1032">
        <f t="shared" si="39"/>
        <v>30</v>
      </c>
      <c r="AX218" s="1032">
        <f>AW218*(списки!$C$56-AU218)</f>
        <v>486</v>
      </c>
      <c r="AY218" s="1033">
        <v>11</v>
      </c>
      <c r="AZ218" s="1033"/>
      <c r="BA218" s="1033">
        <f t="shared" si="40"/>
        <v>4</v>
      </c>
      <c r="BB218" s="1033">
        <f>BA218*(списки!$C$56-AY218)</f>
        <v>36</v>
      </c>
      <c r="BC218" s="1034">
        <v>15.4</v>
      </c>
      <c r="BD218" s="1034"/>
      <c r="BE218" s="1034">
        <f t="shared" si="41"/>
        <v>0</v>
      </c>
      <c r="BF218" s="1035">
        <f>BE218*(списки!$C$56-BC218)</f>
        <v>0</v>
      </c>
      <c r="BG218" s="1424">
        <v>4470.7125000000005</v>
      </c>
      <c r="BH218" s="1424">
        <v>4587.7125000000015</v>
      </c>
    </row>
    <row r="219" spans="1:60" ht="15.75" customHeight="1" x14ac:dyDescent="0.25">
      <c r="B219" s="1014" t="s">
        <v>226</v>
      </c>
      <c r="C219" s="1014" t="s">
        <v>228</v>
      </c>
      <c r="D219" s="1015" t="str">
        <f t="shared" si="43"/>
        <v>Новгородская областьНовгород</v>
      </c>
      <c r="E219" s="1016">
        <v>221</v>
      </c>
      <c r="F219" s="1017">
        <v>-2.2999999999999998</v>
      </c>
      <c r="G219" s="1017">
        <v>-27</v>
      </c>
      <c r="H219" s="1019">
        <v>6.6</v>
      </c>
      <c r="I219" s="1020">
        <f>E219*(списки!$C$56-F219)</f>
        <v>4928.3</v>
      </c>
      <c r="J219" s="1021" t="str">
        <f t="shared" si="33"/>
        <v>4000-5000</v>
      </c>
      <c r="K219" s="1022">
        <v>17.3</v>
      </c>
      <c r="L219" s="1022"/>
      <c r="M219" s="1023">
        <f t="shared" si="34"/>
        <v>0</v>
      </c>
      <c r="N219" s="1024">
        <f>M219*(списки!$C$56-K219)</f>
        <v>0</v>
      </c>
      <c r="O219" s="1025">
        <v>15.4</v>
      </c>
      <c r="P219" s="1025"/>
      <c r="Q219" s="1025">
        <f t="shared" si="35"/>
        <v>0</v>
      </c>
      <c r="R219" s="1025">
        <f>Q219*(списки!$C$56-O219)</f>
        <v>0</v>
      </c>
      <c r="S219" s="1026">
        <v>10.3</v>
      </c>
      <c r="T219" s="1026"/>
      <c r="U219" s="1026">
        <f t="shared" si="42"/>
        <v>4.5</v>
      </c>
      <c r="V219" s="1026">
        <f>U219*(списки!$C$56-S219)</f>
        <v>43.65</v>
      </c>
      <c r="W219" s="1027">
        <v>4.2</v>
      </c>
      <c r="X219" s="1027"/>
      <c r="Y219" s="1027">
        <f t="shared" si="36"/>
        <v>31</v>
      </c>
      <c r="Z219" s="1027">
        <f>Y219*(списки!$C$56-W219)</f>
        <v>489.8</v>
      </c>
      <c r="AA219" s="1028">
        <v>-0.9</v>
      </c>
      <c r="AB219" s="1028"/>
      <c r="AC219" s="1028">
        <f t="shared" si="37"/>
        <v>30</v>
      </c>
      <c r="AD219" s="1028">
        <f>AC219*(списки!$C$56-AA219)</f>
        <v>627</v>
      </c>
      <c r="AE219" s="1029">
        <v>-5.9</v>
      </c>
      <c r="AF219" s="1029"/>
      <c r="AG219" s="1029">
        <v>31</v>
      </c>
      <c r="AH219" s="1029">
        <f>AG219*(списки!$C$56-AE219)</f>
        <v>802.9</v>
      </c>
      <c r="AI219" s="1030">
        <v>-8.6999999999999993</v>
      </c>
      <c r="AJ219" s="1030"/>
      <c r="AK219" s="1030">
        <v>31</v>
      </c>
      <c r="AL219" s="1030">
        <f>AK219*(списки!$C$56-AI219)</f>
        <v>889.69999999999993</v>
      </c>
      <c r="AM219" s="1031">
        <v>-8.6999999999999993</v>
      </c>
      <c r="AN219" s="1031"/>
      <c r="AO219" s="1031">
        <v>28</v>
      </c>
      <c r="AP219" s="1031">
        <f>AO219*(списки!$C$56-AM219)</f>
        <v>803.6</v>
      </c>
      <c r="AQ219" s="1026">
        <v>-4.3</v>
      </c>
      <c r="AR219" s="1026"/>
      <c r="AS219" s="1026">
        <f t="shared" si="38"/>
        <v>31</v>
      </c>
      <c r="AT219" s="1026">
        <f>AS219*(списки!$C$56-AQ219)</f>
        <v>753.30000000000007</v>
      </c>
      <c r="AU219" s="1032">
        <v>3.3</v>
      </c>
      <c r="AV219" s="1032"/>
      <c r="AW219" s="1032">
        <f t="shared" si="39"/>
        <v>30</v>
      </c>
      <c r="AX219" s="1032">
        <f>AW219*(списки!$C$56-AU219)</f>
        <v>501</v>
      </c>
      <c r="AY219" s="1033">
        <v>10.4</v>
      </c>
      <c r="AZ219" s="1033"/>
      <c r="BA219" s="1033">
        <f t="shared" si="40"/>
        <v>4.5</v>
      </c>
      <c r="BB219" s="1033">
        <f>BA219*(списки!$C$56-AY219)</f>
        <v>43.199999999999996</v>
      </c>
      <c r="BC219" s="1034">
        <v>15.2</v>
      </c>
      <c r="BD219" s="1034"/>
      <c r="BE219" s="1034">
        <f t="shared" si="41"/>
        <v>0</v>
      </c>
      <c r="BF219" s="1035">
        <f>BE219*(списки!$C$56-BC219)</f>
        <v>0</v>
      </c>
      <c r="BG219" s="1424">
        <v>4374.0589285714304</v>
      </c>
      <c r="BH219" s="1424">
        <v>4160.4624999999996</v>
      </c>
    </row>
    <row r="220" spans="1:60" ht="15.75" customHeight="1" x14ac:dyDescent="0.25">
      <c r="B220" s="1038" t="s">
        <v>229</v>
      </c>
      <c r="C220" s="1038" t="s">
        <v>230</v>
      </c>
      <c r="D220" s="1015" t="str">
        <f t="shared" si="43"/>
        <v>Новосибирская областьБарабинск</v>
      </c>
      <c r="E220" s="1016">
        <v>230</v>
      </c>
      <c r="F220" s="1017">
        <v>-9</v>
      </c>
      <c r="G220" s="1017">
        <v>-39</v>
      </c>
      <c r="H220" s="1019">
        <v>6.5</v>
      </c>
      <c r="I220" s="1020">
        <f>E220*(списки!$C$56-F220)</f>
        <v>6670</v>
      </c>
      <c r="J220" s="1021" t="str">
        <f t="shared" si="33"/>
        <v>6000-7000</v>
      </c>
      <c r="K220" s="1022">
        <v>19.2</v>
      </c>
      <c r="L220" s="1022"/>
      <c r="M220" s="1023">
        <f t="shared" si="34"/>
        <v>0</v>
      </c>
      <c r="N220" s="1024">
        <f>M220*(списки!$C$56-K220)</f>
        <v>0</v>
      </c>
      <c r="O220" s="1025">
        <v>15.8</v>
      </c>
      <c r="P220" s="1025"/>
      <c r="Q220" s="1025">
        <f t="shared" si="35"/>
        <v>0</v>
      </c>
      <c r="R220" s="1025">
        <f>Q220*(списки!$C$56-O220)</f>
        <v>0</v>
      </c>
      <c r="S220" s="1026">
        <v>9.8000000000000007</v>
      </c>
      <c r="T220" s="1026"/>
      <c r="U220" s="1026">
        <f t="shared" si="42"/>
        <v>9</v>
      </c>
      <c r="V220" s="1026">
        <f>U220*(списки!$C$56-S220)</f>
        <v>91.8</v>
      </c>
      <c r="W220" s="1027">
        <v>2</v>
      </c>
      <c r="X220" s="1027"/>
      <c r="Y220" s="1027">
        <f t="shared" si="36"/>
        <v>31</v>
      </c>
      <c r="Z220" s="1027">
        <f>Y220*(списки!$C$56-W220)</f>
        <v>558</v>
      </c>
      <c r="AA220" s="1028">
        <v>-8.3000000000000007</v>
      </c>
      <c r="AB220" s="1028"/>
      <c r="AC220" s="1028">
        <f t="shared" si="37"/>
        <v>30</v>
      </c>
      <c r="AD220" s="1028">
        <f>AC220*(списки!$C$56-AA220)</f>
        <v>849</v>
      </c>
      <c r="AE220" s="1029">
        <v>-15.3</v>
      </c>
      <c r="AF220" s="1029"/>
      <c r="AG220" s="1029">
        <v>31</v>
      </c>
      <c r="AH220" s="1029">
        <f>AG220*(списки!$C$56-AE220)</f>
        <v>1094.3</v>
      </c>
      <c r="AI220" s="1030">
        <v>-18.3</v>
      </c>
      <c r="AJ220" s="1030"/>
      <c r="AK220" s="1030">
        <v>31</v>
      </c>
      <c r="AL220" s="1030">
        <f>AK220*(списки!$C$56-AI220)</f>
        <v>1187.3</v>
      </c>
      <c r="AM220" s="1031">
        <v>-17</v>
      </c>
      <c r="AN220" s="1031"/>
      <c r="AO220" s="1031">
        <v>28</v>
      </c>
      <c r="AP220" s="1031">
        <f>AO220*(списки!$C$56-AM220)</f>
        <v>1036</v>
      </c>
      <c r="AQ220" s="1026">
        <v>-9.1999999999999993</v>
      </c>
      <c r="AR220" s="1026"/>
      <c r="AS220" s="1026">
        <f t="shared" si="38"/>
        <v>31</v>
      </c>
      <c r="AT220" s="1026">
        <f>AS220*(списки!$C$56-AQ220)</f>
        <v>905.19999999999993</v>
      </c>
      <c r="AU220" s="1032">
        <v>2.1</v>
      </c>
      <c r="AV220" s="1032"/>
      <c r="AW220" s="1032">
        <f t="shared" si="39"/>
        <v>30</v>
      </c>
      <c r="AX220" s="1032">
        <f>AW220*(списки!$C$56-AU220)</f>
        <v>537</v>
      </c>
      <c r="AY220" s="1033">
        <v>11</v>
      </c>
      <c r="AZ220" s="1033"/>
      <c r="BA220" s="1033">
        <f t="shared" si="40"/>
        <v>9</v>
      </c>
      <c r="BB220" s="1033">
        <f>BA220*(списки!$C$56-AY220)</f>
        <v>81</v>
      </c>
      <c r="BC220" s="1034">
        <v>17</v>
      </c>
      <c r="BD220" s="1034"/>
      <c r="BE220" s="1034">
        <f t="shared" si="41"/>
        <v>0</v>
      </c>
      <c r="BF220" s="1035">
        <f>BE220*(списки!$C$56-BC220)</f>
        <v>0</v>
      </c>
      <c r="BG220" s="1424">
        <v>5916.0125000000025</v>
      </c>
      <c r="BH220" s="1424">
        <v>6021.2750000000005</v>
      </c>
    </row>
    <row r="221" spans="1:60" ht="15.75" customHeight="1" x14ac:dyDescent="0.25">
      <c r="B221" s="1014" t="s">
        <v>229</v>
      </c>
      <c r="C221" s="1014" t="s">
        <v>231</v>
      </c>
      <c r="D221" s="1015" t="str">
        <f t="shared" si="43"/>
        <v>Новосибирская областьБолотное</v>
      </c>
      <c r="E221" s="1016">
        <v>228</v>
      </c>
      <c r="F221" s="1017">
        <v>-7.9</v>
      </c>
      <c r="G221" s="1017">
        <v>-39</v>
      </c>
      <c r="H221" s="1019">
        <v>3.9</v>
      </c>
      <c r="I221" s="1020">
        <f>E221*(списки!$C$56-F221)</f>
        <v>6361.2</v>
      </c>
      <c r="J221" s="1021" t="str">
        <f t="shared" si="33"/>
        <v>6000-7000</v>
      </c>
      <c r="K221" s="1022">
        <v>18.899999999999999</v>
      </c>
      <c r="L221" s="1022"/>
      <c r="M221" s="1023">
        <f t="shared" si="34"/>
        <v>0</v>
      </c>
      <c r="N221" s="1024">
        <f>M221*(списки!$C$56-K221)</f>
        <v>0</v>
      </c>
      <c r="O221" s="1025">
        <v>15.5</v>
      </c>
      <c r="P221" s="1025"/>
      <c r="Q221" s="1025">
        <f t="shared" si="35"/>
        <v>0</v>
      </c>
      <c r="R221" s="1025">
        <f>Q221*(списки!$C$56-O221)</f>
        <v>0</v>
      </c>
      <c r="S221" s="1026">
        <v>9.3000000000000007</v>
      </c>
      <c r="T221" s="1026"/>
      <c r="U221" s="1026">
        <f t="shared" si="42"/>
        <v>8</v>
      </c>
      <c r="V221" s="1026">
        <f>U221*(списки!$C$56-S221)</f>
        <v>85.6</v>
      </c>
      <c r="W221" s="1027">
        <v>1.7</v>
      </c>
      <c r="X221" s="1027"/>
      <c r="Y221" s="1027">
        <f t="shared" si="36"/>
        <v>31</v>
      </c>
      <c r="Z221" s="1027">
        <f>Y221*(списки!$C$56-W221)</f>
        <v>567.30000000000007</v>
      </c>
      <c r="AA221" s="1028">
        <v>-8</v>
      </c>
      <c r="AB221" s="1028"/>
      <c r="AC221" s="1028">
        <f t="shared" si="37"/>
        <v>30</v>
      </c>
      <c r="AD221" s="1028">
        <f>AC221*(списки!$C$56-AA221)</f>
        <v>840</v>
      </c>
      <c r="AE221" s="1029">
        <v>-15</v>
      </c>
      <c r="AF221" s="1029"/>
      <c r="AG221" s="1029">
        <v>31</v>
      </c>
      <c r="AH221" s="1029">
        <f>AG221*(списки!$C$56-AE221)</f>
        <v>1085</v>
      </c>
      <c r="AI221" s="1030">
        <v>-17.600000000000001</v>
      </c>
      <c r="AJ221" s="1030"/>
      <c r="AK221" s="1030">
        <v>31</v>
      </c>
      <c r="AL221" s="1030">
        <f>AK221*(списки!$C$56-AI221)</f>
        <v>1165.6000000000001</v>
      </c>
      <c r="AM221" s="1031">
        <v>-15.5</v>
      </c>
      <c r="AN221" s="1031"/>
      <c r="AO221" s="1031">
        <v>28</v>
      </c>
      <c r="AP221" s="1031">
        <f>AO221*(списки!$C$56-AM221)</f>
        <v>994</v>
      </c>
      <c r="AQ221" s="1026">
        <v>-7.5</v>
      </c>
      <c r="AR221" s="1026"/>
      <c r="AS221" s="1026">
        <f t="shared" si="38"/>
        <v>31</v>
      </c>
      <c r="AT221" s="1026">
        <f>AS221*(списки!$C$56-AQ221)</f>
        <v>852.5</v>
      </c>
      <c r="AU221" s="1032">
        <v>1.7</v>
      </c>
      <c r="AV221" s="1032"/>
      <c r="AW221" s="1032">
        <f t="shared" si="39"/>
        <v>30</v>
      </c>
      <c r="AX221" s="1032">
        <f>AW221*(списки!$C$56-AU221)</f>
        <v>549</v>
      </c>
      <c r="AY221" s="1033">
        <v>10.3</v>
      </c>
      <c r="AZ221" s="1033"/>
      <c r="BA221" s="1033">
        <f t="shared" si="40"/>
        <v>8</v>
      </c>
      <c r="BB221" s="1033">
        <f>BA221*(списки!$C$56-AY221)</f>
        <v>77.599999999999994</v>
      </c>
      <c r="BC221" s="1034">
        <v>16.3</v>
      </c>
      <c r="BD221" s="1034"/>
      <c r="BE221" s="1034">
        <f t="shared" si="41"/>
        <v>0</v>
      </c>
      <c r="BF221" s="1035">
        <f>BE221*(списки!$C$56-BC221)</f>
        <v>0</v>
      </c>
      <c r="BG221" s="1424" t="e">
        <v>#N/A</v>
      </c>
      <c r="BH221" s="1424" t="e">
        <v>#N/A</v>
      </c>
    </row>
    <row r="222" spans="1:60" ht="15.75" customHeight="1" x14ac:dyDescent="0.25">
      <c r="B222" s="1038" t="s">
        <v>229</v>
      </c>
      <c r="C222" s="1038" t="s">
        <v>668</v>
      </c>
      <c r="D222" s="1015" t="str">
        <f t="shared" si="43"/>
        <v>Новосибирская областьКарасук</v>
      </c>
      <c r="E222" s="1016">
        <v>218</v>
      </c>
      <c r="F222" s="1017">
        <v>-8.9</v>
      </c>
      <c r="G222" s="1017">
        <v>-37</v>
      </c>
      <c r="H222" s="1019">
        <f>H221</f>
        <v>3.9</v>
      </c>
      <c r="I222" s="1020">
        <f>E222*(списки!$C$56-F222)</f>
        <v>6300.2</v>
      </c>
      <c r="J222" s="1021" t="str">
        <f t="shared" si="33"/>
        <v>6000-7000</v>
      </c>
      <c r="K222" s="1022">
        <v>20.2</v>
      </c>
      <c r="L222" s="1022"/>
      <c r="M222" s="1023">
        <f t="shared" si="34"/>
        <v>0</v>
      </c>
      <c r="N222" s="1024">
        <f>M222*(списки!$C$56-K222)</f>
        <v>0</v>
      </c>
      <c r="O222" s="1025">
        <v>16.899999999999999</v>
      </c>
      <c r="P222" s="1025"/>
      <c r="Q222" s="1025">
        <f t="shared" si="35"/>
        <v>0</v>
      </c>
      <c r="R222" s="1025">
        <f>Q222*(списки!$C$56-O222)</f>
        <v>0</v>
      </c>
      <c r="S222" s="1026">
        <v>11.2</v>
      </c>
      <c r="T222" s="1026"/>
      <c r="U222" s="1026">
        <f t="shared" si="42"/>
        <v>3</v>
      </c>
      <c r="V222" s="1026">
        <f>U222*(списки!$C$56-S222)</f>
        <v>26.400000000000002</v>
      </c>
      <c r="W222" s="1027">
        <v>2.2000000000000002</v>
      </c>
      <c r="X222" s="1027"/>
      <c r="Y222" s="1027">
        <f t="shared" si="36"/>
        <v>31</v>
      </c>
      <c r="Z222" s="1027">
        <f>Y222*(списки!$C$56-W222)</f>
        <v>551.80000000000007</v>
      </c>
      <c r="AA222" s="1028">
        <v>-8.5</v>
      </c>
      <c r="AB222" s="1028"/>
      <c r="AC222" s="1028">
        <f t="shared" si="37"/>
        <v>30</v>
      </c>
      <c r="AD222" s="1028">
        <f>AC222*(списки!$C$56-AA222)</f>
        <v>855</v>
      </c>
      <c r="AE222" s="1029">
        <v>-16.2</v>
      </c>
      <c r="AF222" s="1029"/>
      <c r="AG222" s="1029">
        <v>31</v>
      </c>
      <c r="AH222" s="1029">
        <f>AG222*(списки!$C$56-AE222)</f>
        <v>1122.2</v>
      </c>
      <c r="AI222" s="1030">
        <v>-19.399999999999999</v>
      </c>
      <c r="AJ222" s="1030"/>
      <c r="AK222" s="1030">
        <v>31</v>
      </c>
      <c r="AL222" s="1030">
        <f>AK222*(списки!$C$56-AI222)</f>
        <v>1221.3999999999999</v>
      </c>
      <c r="AM222" s="1031">
        <v>-18.399999999999999</v>
      </c>
      <c r="AN222" s="1031"/>
      <c r="AO222" s="1031">
        <v>28</v>
      </c>
      <c r="AP222" s="1031">
        <f>AO222*(списки!$C$56-AM222)</f>
        <v>1075.2</v>
      </c>
      <c r="AQ222" s="1026">
        <v>-10.6</v>
      </c>
      <c r="AR222" s="1026"/>
      <c r="AS222" s="1026">
        <f t="shared" si="38"/>
        <v>31</v>
      </c>
      <c r="AT222" s="1026">
        <f>AS222*(списки!$C$56-AQ222)</f>
        <v>948.6</v>
      </c>
      <c r="AU222" s="1032">
        <v>2.9</v>
      </c>
      <c r="AV222" s="1032"/>
      <c r="AW222" s="1032">
        <f t="shared" si="39"/>
        <v>30</v>
      </c>
      <c r="AX222" s="1032">
        <f>AW222*(списки!$C$56-AU222)</f>
        <v>513</v>
      </c>
      <c r="AY222" s="1033">
        <v>12.1</v>
      </c>
      <c r="AZ222" s="1033"/>
      <c r="BA222" s="1033">
        <f t="shared" si="40"/>
        <v>3</v>
      </c>
      <c r="BB222" s="1033">
        <f>BA222*(списки!$C$56-AY222)</f>
        <v>23.700000000000003</v>
      </c>
      <c r="BC222" s="1034">
        <v>18.2</v>
      </c>
      <c r="BD222" s="1034"/>
      <c r="BE222" s="1034">
        <f t="shared" si="41"/>
        <v>0</v>
      </c>
      <c r="BF222" s="1035">
        <f>BE222*(списки!$C$56-BC222)</f>
        <v>0</v>
      </c>
      <c r="BG222" s="1424">
        <v>5647.966071428571</v>
      </c>
      <c r="BH222" s="1424">
        <v>5708.8124999999945</v>
      </c>
    </row>
    <row r="223" spans="1:60" ht="15.75" customHeight="1" x14ac:dyDescent="0.25">
      <c r="A223" s="1049"/>
      <c r="B223" s="1014" t="s">
        <v>229</v>
      </c>
      <c r="C223" s="1014" t="s">
        <v>233</v>
      </c>
      <c r="D223" s="1015" t="str">
        <f t="shared" si="43"/>
        <v>Новосибирская областьКочки</v>
      </c>
      <c r="E223" s="1016">
        <v>228</v>
      </c>
      <c r="F223" s="1017">
        <v>-8.9</v>
      </c>
      <c r="G223" s="1017">
        <v>-39</v>
      </c>
      <c r="H223" s="1019">
        <f>H222</f>
        <v>3.9</v>
      </c>
      <c r="I223" s="1020">
        <f>E223*(списки!$C$56-F223)</f>
        <v>6589.2</v>
      </c>
      <c r="J223" s="1021" t="str">
        <f t="shared" si="33"/>
        <v>6000-7000</v>
      </c>
      <c r="K223" s="1022">
        <v>18.600000000000001</v>
      </c>
      <c r="L223" s="1022"/>
      <c r="M223" s="1023">
        <f t="shared" si="34"/>
        <v>0</v>
      </c>
      <c r="N223" s="1024">
        <f>M223*(списки!$C$56-K223)</f>
        <v>0</v>
      </c>
      <c r="O223" s="1025">
        <v>15.4</v>
      </c>
      <c r="P223" s="1025"/>
      <c r="Q223" s="1025">
        <f t="shared" si="35"/>
        <v>0</v>
      </c>
      <c r="R223" s="1025">
        <f>Q223*(списки!$C$56-O223)</f>
        <v>0</v>
      </c>
      <c r="S223" s="1026">
        <v>9.6999999999999993</v>
      </c>
      <c r="T223" s="1026"/>
      <c r="U223" s="1026">
        <f t="shared" si="42"/>
        <v>8</v>
      </c>
      <c r="V223" s="1026">
        <f>U223*(списки!$C$56-S223)</f>
        <v>82.4</v>
      </c>
      <c r="W223" s="1027">
        <v>1.4</v>
      </c>
      <c r="X223" s="1027"/>
      <c r="Y223" s="1027">
        <f t="shared" si="36"/>
        <v>31</v>
      </c>
      <c r="Z223" s="1027">
        <f>Y223*(списки!$C$56-W223)</f>
        <v>576.6</v>
      </c>
      <c r="AA223" s="1028">
        <v>-9.5</v>
      </c>
      <c r="AB223" s="1028"/>
      <c r="AC223" s="1028">
        <f t="shared" si="37"/>
        <v>30</v>
      </c>
      <c r="AD223" s="1028">
        <f>AC223*(списки!$C$56-AA223)</f>
        <v>885</v>
      </c>
      <c r="AE223" s="1029">
        <v>-16.899999999999999</v>
      </c>
      <c r="AF223" s="1029"/>
      <c r="AG223" s="1029">
        <v>31</v>
      </c>
      <c r="AH223" s="1029">
        <f>AG223*(списки!$C$56-AE223)</f>
        <v>1143.8999999999999</v>
      </c>
      <c r="AI223" s="1030">
        <v>-19.600000000000001</v>
      </c>
      <c r="AJ223" s="1030"/>
      <c r="AK223" s="1030">
        <v>31</v>
      </c>
      <c r="AL223" s="1030">
        <f>AK223*(списки!$C$56-AI223)</f>
        <v>1227.6000000000001</v>
      </c>
      <c r="AM223" s="1031">
        <v>-18.2</v>
      </c>
      <c r="AN223" s="1031"/>
      <c r="AO223" s="1031">
        <v>28</v>
      </c>
      <c r="AP223" s="1031">
        <f>AO223*(списки!$C$56-AM223)</f>
        <v>1069.6000000000001</v>
      </c>
      <c r="AQ223" s="1026">
        <v>-11.5</v>
      </c>
      <c r="AR223" s="1026"/>
      <c r="AS223" s="1026">
        <f t="shared" si="38"/>
        <v>31</v>
      </c>
      <c r="AT223" s="1026">
        <f>AS223*(списки!$C$56-AQ223)</f>
        <v>976.5</v>
      </c>
      <c r="AU223" s="1032">
        <v>1.2</v>
      </c>
      <c r="AV223" s="1032"/>
      <c r="AW223" s="1032">
        <f t="shared" si="39"/>
        <v>30</v>
      </c>
      <c r="AX223" s="1032">
        <f>AW223*(списки!$C$56-AU223)</f>
        <v>564</v>
      </c>
      <c r="AY223" s="1033">
        <v>10.7</v>
      </c>
      <c r="AZ223" s="1033"/>
      <c r="BA223" s="1033">
        <f t="shared" si="40"/>
        <v>8</v>
      </c>
      <c r="BB223" s="1033">
        <f>BA223*(списки!$C$56-AY223)</f>
        <v>74.400000000000006</v>
      </c>
      <c r="BC223" s="1034">
        <v>16.7</v>
      </c>
      <c r="BD223" s="1034"/>
      <c r="BE223" s="1034">
        <f t="shared" si="41"/>
        <v>0</v>
      </c>
      <c r="BF223" s="1035">
        <f>BE223*(списки!$C$56-BC223)</f>
        <v>0</v>
      </c>
      <c r="BG223" s="1424">
        <v>5846.9160714285745</v>
      </c>
      <c r="BH223" s="1424">
        <v>5942.337500000006</v>
      </c>
    </row>
    <row r="224" spans="1:60" ht="15.75" customHeight="1" x14ac:dyDescent="0.25">
      <c r="B224" s="1038" t="s">
        <v>229</v>
      </c>
      <c r="C224" s="1038" t="s">
        <v>234</v>
      </c>
      <c r="D224" s="1015" t="str">
        <f t="shared" si="43"/>
        <v>Новосибирская областьКупино</v>
      </c>
      <c r="E224" s="1016">
        <v>215</v>
      </c>
      <c r="F224" s="1017">
        <v>-8.9</v>
      </c>
      <c r="G224" s="1017">
        <v>-38</v>
      </c>
      <c r="H224" s="1019">
        <v>5.7</v>
      </c>
      <c r="I224" s="1020">
        <f>E224*(списки!$C$56-F224)</f>
        <v>6213.5</v>
      </c>
      <c r="J224" s="1021" t="str">
        <f t="shared" si="33"/>
        <v>6000-7000</v>
      </c>
      <c r="K224" s="1022">
        <v>19.899999999999999</v>
      </c>
      <c r="L224" s="1022"/>
      <c r="M224" s="1023">
        <f t="shared" si="34"/>
        <v>0</v>
      </c>
      <c r="N224" s="1024">
        <f>M224*(списки!$C$56-K224)</f>
        <v>0</v>
      </c>
      <c r="O224" s="1025">
        <v>16.7</v>
      </c>
      <c r="P224" s="1025"/>
      <c r="Q224" s="1025">
        <f t="shared" si="35"/>
        <v>0</v>
      </c>
      <c r="R224" s="1025">
        <f>Q224*(списки!$C$56-O224)</f>
        <v>0</v>
      </c>
      <c r="S224" s="1026">
        <v>10.7</v>
      </c>
      <c r="T224" s="1026"/>
      <c r="U224" s="1026">
        <f t="shared" si="42"/>
        <v>1.5</v>
      </c>
      <c r="V224" s="1026">
        <f>U224*(списки!$C$56-S224)</f>
        <v>13.950000000000001</v>
      </c>
      <c r="W224" s="1027">
        <v>2.8</v>
      </c>
      <c r="X224" s="1027"/>
      <c r="Y224" s="1027">
        <f t="shared" si="36"/>
        <v>31</v>
      </c>
      <c r="Z224" s="1027">
        <f>Y224*(списки!$C$56-W224)</f>
        <v>533.19999999999993</v>
      </c>
      <c r="AA224" s="1028">
        <v>-7.4</v>
      </c>
      <c r="AB224" s="1028"/>
      <c r="AC224" s="1028">
        <f t="shared" si="37"/>
        <v>30</v>
      </c>
      <c r="AD224" s="1028">
        <f>AC224*(списки!$C$56-AA224)</f>
        <v>822</v>
      </c>
      <c r="AE224" s="1029">
        <v>-15</v>
      </c>
      <c r="AF224" s="1029"/>
      <c r="AG224" s="1029">
        <v>31</v>
      </c>
      <c r="AH224" s="1029">
        <f>AG224*(списки!$C$56-AE224)</f>
        <v>1085</v>
      </c>
      <c r="AI224" s="1030">
        <v>-18.5</v>
      </c>
      <c r="AJ224" s="1030"/>
      <c r="AK224" s="1030">
        <v>31</v>
      </c>
      <c r="AL224" s="1030">
        <f>AK224*(списки!$C$56-AI224)</f>
        <v>1193.5</v>
      </c>
      <c r="AM224" s="1031">
        <v>-16.899999999999999</v>
      </c>
      <c r="AN224" s="1031"/>
      <c r="AO224" s="1031">
        <v>28</v>
      </c>
      <c r="AP224" s="1031">
        <f>AO224*(списки!$C$56-AM224)</f>
        <v>1033.2</v>
      </c>
      <c r="AQ224" s="1026">
        <v>-9.1</v>
      </c>
      <c r="AR224" s="1026"/>
      <c r="AS224" s="1026">
        <f t="shared" si="38"/>
        <v>31</v>
      </c>
      <c r="AT224" s="1026">
        <f>AS224*(списки!$C$56-AQ224)</f>
        <v>902.1</v>
      </c>
      <c r="AU224" s="1032">
        <v>3.2</v>
      </c>
      <c r="AV224" s="1032"/>
      <c r="AW224" s="1032">
        <f t="shared" si="39"/>
        <v>30</v>
      </c>
      <c r="AX224" s="1032">
        <f>AW224*(списки!$C$56-AU224)</f>
        <v>504</v>
      </c>
      <c r="AY224" s="1033">
        <v>12</v>
      </c>
      <c r="AZ224" s="1033"/>
      <c r="BA224" s="1033">
        <f t="shared" si="40"/>
        <v>1.5</v>
      </c>
      <c r="BB224" s="1033">
        <f>BA224*(списки!$C$56-AY224)</f>
        <v>12</v>
      </c>
      <c r="BC224" s="1034">
        <v>17.899999999999999</v>
      </c>
      <c r="BD224" s="1034"/>
      <c r="BE224" s="1034">
        <f t="shared" si="41"/>
        <v>0</v>
      </c>
      <c r="BF224" s="1035">
        <f>BE224*(списки!$C$56-BC224)</f>
        <v>0</v>
      </c>
      <c r="BG224" s="1424">
        <v>5852.6964285714294</v>
      </c>
      <c r="BH224" s="1424">
        <v>5969.2125000000005</v>
      </c>
    </row>
    <row r="225" spans="2:60" ht="15.75" customHeight="1" x14ac:dyDescent="0.25">
      <c r="B225" s="1014" t="s">
        <v>229</v>
      </c>
      <c r="C225" s="1014" t="s">
        <v>235</v>
      </c>
      <c r="D225" s="1015" t="str">
        <f t="shared" si="43"/>
        <v>Новосибирская областьКыштовка</v>
      </c>
      <c r="E225" s="1016">
        <v>231</v>
      </c>
      <c r="F225" s="1017">
        <v>-8.9</v>
      </c>
      <c r="G225" s="1017">
        <v>-40</v>
      </c>
      <c r="H225" s="1019">
        <f>H224</f>
        <v>5.7</v>
      </c>
      <c r="I225" s="1020">
        <f>E225*(списки!$C$56-F225)</f>
        <v>6675.9</v>
      </c>
      <c r="J225" s="1021" t="str">
        <f t="shared" si="33"/>
        <v>6000-7000</v>
      </c>
      <c r="K225" s="1022">
        <v>18</v>
      </c>
      <c r="L225" s="1022"/>
      <c r="M225" s="1023">
        <f t="shared" si="34"/>
        <v>0</v>
      </c>
      <c r="N225" s="1024">
        <f>M225*(списки!$C$56-K225)</f>
        <v>0</v>
      </c>
      <c r="O225" s="1025">
        <v>14.6</v>
      </c>
      <c r="P225" s="1025"/>
      <c r="Q225" s="1025">
        <f t="shared" si="35"/>
        <v>0</v>
      </c>
      <c r="R225" s="1025">
        <f>Q225*(списки!$C$56-O225)</f>
        <v>0</v>
      </c>
      <c r="S225" s="1026">
        <v>9.3000000000000007</v>
      </c>
      <c r="T225" s="1026"/>
      <c r="U225" s="1026">
        <f t="shared" si="42"/>
        <v>9.5</v>
      </c>
      <c r="V225" s="1026">
        <f>U225*(списки!$C$56-S225)</f>
        <v>101.64999999999999</v>
      </c>
      <c r="W225" s="1027">
        <v>0.8</v>
      </c>
      <c r="X225" s="1027"/>
      <c r="Y225" s="1027">
        <f t="shared" si="36"/>
        <v>31</v>
      </c>
      <c r="Z225" s="1027">
        <f>Y225*(списки!$C$56-W225)</f>
        <v>595.19999999999993</v>
      </c>
      <c r="AA225" s="1028">
        <v>-9.8000000000000007</v>
      </c>
      <c r="AB225" s="1028"/>
      <c r="AC225" s="1028">
        <f t="shared" si="37"/>
        <v>30</v>
      </c>
      <c r="AD225" s="1028">
        <f>AC225*(списки!$C$56-AA225)</f>
        <v>894</v>
      </c>
      <c r="AE225" s="1029">
        <v>-17.399999999999999</v>
      </c>
      <c r="AF225" s="1029"/>
      <c r="AG225" s="1029">
        <v>31</v>
      </c>
      <c r="AH225" s="1029">
        <f>AG225*(списки!$C$56-AE225)</f>
        <v>1159.3999999999999</v>
      </c>
      <c r="AI225" s="1030">
        <v>-20.3</v>
      </c>
      <c r="AJ225" s="1030"/>
      <c r="AK225" s="1030">
        <v>31</v>
      </c>
      <c r="AL225" s="1030">
        <f>AK225*(списки!$C$56-AI225)</f>
        <v>1249.3</v>
      </c>
      <c r="AM225" s="1031">
        <v>-18.3</v>
      </c>
      <c r="AN225" s="1031"/>
      <c r="AO225" s="1031">
        <v>28</v>
      </c>
      <c r="AP225" s="1031">
        <f>AO225*(списки!$C$56-AM225)</f>
        <v>1072.3999999999999</v>
      </c>
      <c r="AQ225" s="1026">
        <v>-10.7</v>
      </c>
      <c r="AR225" s="1026"/>
      <c r="AS225" s="1026">
        <f t="shared" si="38"/>
        <v>31</v>
      </c>
      <c r="AT225" s="1026">
        <f>AS225*(списки!$C$56-AQ225)</f>
        <v>951.69999999999993</v>
      </c>
      <c r="AU225" s="1032">
        <v>1.3</v>
      </c>
      <c r="AV225" s="1032"/>
      <c r="AW225" s="1032">
        <f t="shared" si="39"/>
        <v>30</v>
      </c>
      <c r="AX225" s="1032">
        <f>AW225*(списки!$C$56-AU225)</f>
        <v>561</v>
      </c>
      <c r="AY225" s="1033">
        <v>9.8000000000000007</v>
      </c>
      <c r="AZ225" s="1033"/>
      <c r="BA225" s="1033">
        <f t="shared" si="40"/>
        <v>9.5</v>
      </c>
      <c r="BB225" s="1033">
        <f>BA225*(списки!$C$56-AY225)</f>
        <v>96.899999999999991</v>
      </c>
      <c r="BC225" s="1034">
        <v>15.7</v>
      </c>
      <c r="BD225" s="1034"/>
      <c r="BE225" s="1034">
        <f t="shared" si="41"/>
        <v>0</v>
      </c>
      <c r="BF225" s="1035">
        <f>BE225*(списки!$C$56-BC225)</f>
        <v>0</v>
      </c>
      <c r="BG225" s="1424">
        <v>6059.9482142857178</v>
      </c>
      <c r="BH225" s="1424">
        <v>6339.0374999999985</v>
      </c>
    </row>
    <row r="226" spans="2:60" ht="15.75" customHeight="1" x14ac:dyDescent="0.25">
      <c r="B226" s="1038" t="s">
        <v>229</v>
      </c>
      <c r="C226" s="1038" t="s">
        <v>236</v>
      </c>
      <c r="D226" s="1015" t="str">
        <f t="shared" si="43"/>
        <v>Новосибирская областьНовосибирск</v>
      </c>
      <c r="E226" s="1016">
        <v>221</v>
      </c>
      <c r="F226" s="1017">
        <v>-8.1</v>
      </c>
      <c r="G226" s="1017">
        <v>-37</v>
      </c>
      <c r="H226" s="1019">
        <v>4.7</v>
      </c>
      <c r="I226" s="1020">
        <f>E226*(списки!$C$56-F226)</f>
        <v>6210.1</v>
      </c>
      <c r="J226" s="1021" t="str">
        <f t="shared" si="33"/>
        <v>6000-7000</v>
      </c>
      <c r="K226" s="1022">
        <v>19.399999999999999</v>
      </c>
      <c r="L226" s="1022"/>
      <c r="M226" s="1023">
        <f t="shared" si="34"/>
        <v>0</v>
      </c>
      <c r="N226" s="1024">
        <f>M226*(списки!$C$56-K226)</f>
        <v>0</v>
      </c>
      <c r="O226" s="1025">
        <v>16.2</v>
      </c>
      <c r="P226" s="1025"/>
      <c r="Q226" s="1025">
        <f t="shared" si="35"/>
        <v>0</v>
      </c>
      <c r="R226" s="1025">
        <f>Q226*(списки!$C$56-O226)</f>
        <v>0</v>
      </c>
      <c r="S226" s="1026">
        <v>10.199999999999999</v>
      </c>
      <c r="T226" s="1026"/>
      <c r="U226" s="1026">
        <f t="shared" si="42"/>
        <v>4.5</v>
      </c>
      <c r="V226" s="1026">
        <f>U226*(списки!$C$56-S226)</f>
        <v>44.1</v>
      </c>
      <c r="W226" s="1027">
        <v>2.5</v>
      </c>
      <c r="X226" s="1027"/>
      <c r="Y226" s="1027">
        <f t="shared" si="36"/>
        <v>31</v>
      </c>
      <c r="Z226" s="1027">
        <f>Y226*(списки!$C$56-W226)</f>
        <v>542.5</v>
      </c>
      <c r="AA226" s="1028">
        <v>-7.4</v>
      </c>
      <c r="AB226" s="1028"/>
      <c r="AC226" s="1028">
        <f t="shared" si="37"/>
        <v>30</v>
      </c>
      <c r="AD226" s="1028">
        <f>AC226*(списки!$C$56-AA226)</f>
        <v>822</v>
      </c>
      <c r="AE226" s="1029">
        <v>-14.5</v>
      </c>
      <c r="AF226" s="1029"/>
      <c r="AG226" s="1029">
        <v>31</v>
      </c>
      <c r="AH226" s="1029">
        <f>AG226*(списки!$C$56-AE226)</f>
        <v>1069.5</v>
      </c>
      <c r="AI226" s="1030">
        <v>-17.3</v>
      </c>
      <c r="AJ226" s="1030"/>
      <c r="AK226" s="1030">
        <v>31</v>
      </c>
      <c r="AL226" s="1030">
        <f>AK226*(списки!$C$56-AI226)</f>
        <v>1156.3</v>
      </c>
      <c r="AM226" s="1031">
        <v>-15.7</v>
      </c>
      <c r="AN226" s="1031"/>
      <c r="AO226" s="1031">
        <v>28</v>
      </c>
      <c r="AP226" s="1031">
        <f>AO226*(списки!$C$56-AM226)</f>
        <v>999.60000000000014</v>
      </c>
      <c r="AQ226" s="1026">
        <v>-8.4</v>
      </c>
      <c r="AR226" s="1026"/>
      <c r="AS226" s="1026">
        <f t="shared" si="38"/>
        <v>31</v>
      </c>
      <c r="AT226" s="1026">
        <f>AS226*(списки!$C$56-AQ226)</f>
        <v>880.4</v>
      </c>
      <c r="AU226" s="1032">
        <v>2.2000000000000002</v>
      </c>
      <c r="AV226" s="1032"/>
      <c r="AW226" s="1032">
        <f t="shared" si="39"/>
        <v>30</v>
      </c>
      <c r="AX226" s="1032">
        <f>AW226*(списки!$C$56-AU226)</f>
        <v>534</v>
      </c>
      <c r="AY226" s="1033">
        <v>11.1</v>
      </c>
      <c r="AZ226" s="1033"/>
      <c r="BA226" s="1033">
        <f t="shared" si="40"/>
        <v>4.5</v>
      </c>
      <c r="BB226" s="1033">
        <f>BA226*(списки!$C$56-AY226)</f>
        <v>40.050000000000004</v>
      </c>
      <c r="BC226" s="1034">
        <v>17</v>
      </c>
      <c r="BD226" s="1034"/>
      <c r="BE226" s="1034">
        <f t="shared" si="41"/>
        <v>0</v>
      </c>
      <c r="BF226" s="1035">
        <f>BE226*(списки!$C$56-BC226)</f>
        <v>0</v>
      </c>
      <c r="BG226" s="1424" t="e">
        <v>#N/A</v>
      </c>
      <c r="BH226" s="1424" t="e">
        <v>#N/A</v>
      </c>
    </row>
    <row r="227" spans="2:60" ht="15.75" customHeight="1" x14ac:dyDescent="0.25">
      <c r="B227" s="1014" t="s">
        <v>229</v>
      </c>
      <c r="C227" s="1014" t="s">
        <v>237</v>
      </c>
      <c r="D227" s="1015" t="str">
        <f t="shared" si="43"/>
        <v>Новосибирская областьТатарск</v>
      </c>
      <c r="E227" s="1016">
        <v>220</v>
      </c>
      <c r="F227" s="1017">
        <v>-8.3000000000000007</v>
      </c>
      <c r="G227" s="1017">
        <v>-38</v>
      </c>
      <c r="H227" s="1019">
        <v>3.7</v>
      </c>
      <c r="I227" s="1020">
        <f>E227*(списки!$C$56-F227)</f>
        <v>6226</v>
      </c>
      <c r="J227" s="1021" t="str">
        <f t="shared" si="33"/>
        <v>6000-7000</v>
      </c>
      <c r="K227" s="1022">
        <v>19.5</v>
      </c>
      <c r="L227" s="1022"/>
      <c r="M227" s="1023">
        <f t="shared" si="34"/>
        <v>0</v>
      </c>
      <c r="N227" s="1024">
        <f>M227*(списки!$C$56-K227)</f>
        <v>0</v>
      </c>
      <c r="O227" s="1025">
        <v>16.100000000000001</v>
      </c>
      <c r="P227" s="1025"/>
      <c r="Q227" s="1025">
        <f t="shared" si="35"/>
        <v>0</v>
      </c>
      <c r="R227" s="1025">
        <f>Q227*(списки!$C$56-O227)</f>
        <v>0</v>
      </c>
      <c r="S227" s="1026">
        <v>10.1</v>
      </c>
      <c r="T227" s="1026"/>
      <c r="U227" s="1026">
        <f t="shared" si="42"/>
        <v>4</v>
      </c>
      <c r="V227" s="1026">
        <f>U227*(списки!$C$56-S227)</f>
        <v>39.6</v>
      </c>
      <c r="W227" s="1027">
        <v>2.4</v>
      </c>
      <c r="X227" s="1027"/>
      <c r="Y227" s="1027">
        <f t="shared" si="36"/>
        <v>31</v>
      </c>
      <c r="Z227" s="1027">
        <f>Y227*(списки!$C$56-W227)</f>
        <v>545.6</v>
      </c>
      <c r="AA227" s="1028">
        <v>-7.7</v>
      </c>
      <c r="AB227" s="1028"/>
      <c r="AC227" s="1028">
        <f t="shared" si="37"/>
        <v>30</v>
      </c>
      <c r="AD227" s="1028">
        <f>AC227*(списки!$C$56-AA227)</f>
        <v>831</v>
      </c>
      <c r="AE227" s="1029">
        <v>-14.9</v>
      </c>
      <c r="AF227" s="1029"/>
      <c r="AG227" s="1029">
        <v>31</v>
      </c>
      <c r="AH227" s="1029">
        <f>AG227*(списки!$C$56-AE227)</f>
        <v>1081.8999999999999</v>
      </c>
      <c r="AI227" s="1030">
        <v>-17.8</v>
      </c>
      <c r="AJ227" s="1030"/>
      <c r="AK227" s="1030">
        <v>31</v>
      </c>
      <c r="AL227" s="1030">
        <f>AK227*(списки!$C$56-AI227)</f>
        <v>1171.8</v>
      </c>
      <c r="AM227" s="1031">
        <v>-16.5</v>
      </c>
      <c r="AN227" s="1031"/>
      <c r="AO227" s="1031">
        <v>28</v>
      </c>
      <c r="AP227" s="1031">
        <f>AO227*(списки!$C$56-AM227)</f>
        <v>1022</v>
      </c>
      <c r="AQ227" s="1026">
        <v>-8.3000000000000007</v>
      </c>
      <c r="AR227" s="1026"/>
      <c r="AS227" s="1026">
        <f t="shared" si="38"/>
        <v>31</v>
      </c>
      <c r="AT227" s="1026">
        <f>AS227*(списки!$C$56-AQ227)</f>
        <v>877.30000000000007</v>
      </c>
      <c r="AU227" s="1032">
        <v>3.1</v>
      </c>
      <c r="AV227" s="1032"/>
      <c r="AW227" s="1032">
        <f t="shared" si="39"/>
        <v>30</v>
      </c>
      <c r="AX227" s="1032">
        <f>AW227*(списки!$C$56-AU227)</f>
        <v>506.99999999999994</v>
      </c>
      <c r="AY227" s="1033">
        <v>11.6</v>
      </c>
      <c r="AZ227" s="1033"/>
      <c r="BA227" s="1033">
        <f t="shared" si="40"/>
        <v>4</v>
      </c>
      <c r="BB227" s="1033">
        <f>BA227*(списки!$C$56-AY227)</f>
        <v>33.6</v>
      </c>
      <c r="BC227" s="1034">
        <v>17.3</v>
      </c>
      <c r="BD227" s="1034"/>
      <c r="BE227" s="1034">
        <f t="shared" si="41"/>
        <v>0</v>
      </c>
      <c r="BF227" s="1035">
        <f>BE227*(списки!$C$56-BC227)</f>
        <v>0</v>
      </c>
      <c r="BG227" s="1424">
        <v>5846.2303571428574</v>
      </c>
      <c r="BH227" s="1424">
        <v>5955.5374999999976</v>
      </c>
    </row>
    <row r="228" spans="2:60" ht="15.75" customHeight="1" x14ac:dyDescent="0.25">
      <c r="B228" s="1038" t="s">
        <v>229</v>
      </c>
      <c r="C228" s="1038" t="s">
        <v>232</v>
      </c>
      <c r="D228" s="1015" t="str">
        <f t="shared" si="43"/>
        <v>Новосибирская областьЧулым</v>
      </c>
      <c r="E228" s="1016">
        <v>230</v>
      </c>
      <c r="F228" s="1017">
        <v>-8.8000000000000007</v>
      </c>
      <c r="G228" s="1017">
        <v>-39</v>
      </c>
      <c r="H228" s="1019">
        <v>6.2</v>
      </c>
      <c r="I228" s="1020">
        <f>E228*(списки!$C$56-F228)</f>
        <v>6624</v>
      </c>
      <c r="J228" s="1021" t="str">
        <f t="shared" si="33"/>
        <v>6000-7000</v>
      </c>
      <c r="K228" s="1022">
        <v>18.5</v>
      </c>
      <c r="L228" s="1022"/>
      <c r="M228" s="1023">
        <f t="shared" si="34"/>
        <v>0</v>
      </c>
      <c r="N228" s="1024">
        <f>M228*(списки!$C$56-K228)</f>
        <v>0</v>
      </c>
      <c r="O228" s="1025">
        <v>15.5</v>
      </c>
      <c r="P228" s="1025"/>
      <c r="Q228" s="1025">
        <f t="shared" si="35"/>
        <v>0</v>
      </c>
      <c r="R228" s="1025">
        <f>Q228*(списки!$C$56-O228)</f>
        <v>0</v>
      </c>
      <c r="S228" s="1026">
        <v>9.6999999999999993</v>
      </c>
      <c r="T228" s="1026"/>
      <c r="U228" s="1026">
        <f t="shared" si="42"/>
        <v>9</v>
      </c>
      <c r="V228" s="1026">
        <f>U228*(списки!$C$56-S228)</f>
        <v>92.7</v>
      </c>
      <c r="W228" s="1027">
        <v>1.3</v>
      </c>
      <c r="X228" s="1027"/>
      <c r="Y228" s="1027">
        <f t="shared" si="36"/>
        <v>31</v>
      </c>
      <c r="Z228" s="1027">
        <f>Y228*(списки!$C$56-W228)</f>
        <v>579.69999999999993</v>
      </c>
      <c r="AA228" s="1028">
        <v>-9.3000000000000007</v>
      </c>
      <c r="AB228" s="1028"/>
      <c r="AC228" s="1028">
        <f t="shared" si="37"/>
        <v>30</v>
      </c>
      <c r="AD228" s="1028">
        <f>AC228*(списки!$C$56-AA228)</f>
        <v>879</v>
      </c>
      <c r="AE228" s="1029">
        <v>-17</v>
      </c>
      <c r="AF228" s="1029"/>
      <c r="AG228" s="1029">
        <v>31</v>
      </c>
      <c r="AH228" s="1029">
        <f>AG228*(списки!$C$56-AE228)</f>
        <v>1147</v>
      </c>
      <c r="AI228" s="1030">
        <v>-19.5</v>
      </c>
      <c r="AJ228" s="1030"/>
      <c r="AK228" s="1030">
        <v>31</v>
      </c>
      <c r="AL228" s="1030">
        <f>AK228*(списки!$C$56-AI228)</f>
        <v>1224.5</v>
      </c>
      <c r="AM228" s="1031">
        <v>-17.899999999999999</v>
      </c>
      <c r="AN228" s="1031"/>
      <c r="AO228" s="1031">
        <v>28</v>
      </c>
      <c r="AP228" s="1031">
        <f>AO228*(списки!$C$56-AM228)</f>
        <v>1061.2</v>
      </c>
      <c r="AQ228" s="1026">
        <v>-11.3</v>
      </c>
      <c r="AR228" s="1026"/>
      <c r="AS228" s="1026">
        <f t="shared" si="38"/>
        <v>31</v>
      </c>
      <c r="AT228" s="1026">
        <f>AS228*(списки!$C$56-AQ228)</f>
        <v>970.30000000000007</v>
      </c>
      <c r="AU228" s="1032">
        <v>0.3</v>
      </c>
      <c r="AV228" s="1032"/>
      <c r="AW228" s="1032">
        <f t="shared" si="39"/>
        <v>30</v>
      </c>
      <c r="AX228" s="1032">
        <f>AW228*(списки!$C$56-AU228)</f>
        <v>591</v>
      </c>
      <c r="AY228" s="1033">
        <v>10.1</v>
      </c>
      <c r="AZ228" s="1033"/>
      <c r="BA228" s="1033">
        <f t="shared" si="40"/>
        <v>9</v>
      </c>
      <c r="BB228" s="1033">
        <f>BA228*(списки!$C$56-AY228)</f>
        <v>89.100000000000009</v>
      </c>
      <c r="BC228" s="1034">
        <v>16.399999999999999</v>
      </c>
      <c r="BD228" s="1034"/>
      <c r="BE228" s="1034">
        <f t="shared" si="41"/>
        <v>0</v>
      </c>
      <c r="BF228" s="1035">
        <f>BE228*(списки!$C$56-BC228)</f>
        <v>0</v>
      </c>
      <c r="BG228" s="1424">
        <v>5895.3357142857167</v>
      </c>
      <c r="BH228" s="1424">
        <v>5895.1375000000007</v>
      </c>
    </row>
    <row r="229" spans="2:60" ht="15.75" customHeight="1" x14ac:dyDescent="0.25">
      <c r="B229" s="1014" t="s">
        <v>238</v>
      </c>
      <c r="C229" s="1014" t="s">
        <v>669</v>
      </c>
      <c r="D229" s="1015" t="str">
        <f t="shared" si="43"/>
        <v>Омская областьИссык-Куль</v>
      </c>
      <c r="E229" s="1016">
        <v>225</v>
      </c>
      <c r="F229" s="1017">
        <v>-8.6</v>
      </c>
      <c r="G229" s="1017">
        <v>-36</v>
      </c>
      <c r="H229" s="1019">
        <v>5.2</v>
      </c>
      <c r="I229" s="1020">
        <f>E229*(списки!$C$56-F229)</f>
        <v>6435</v>
      </c>
      <c r="J229" s="1021" t="str">
        <f t="shared" si="33"/>
        <v>6000-7000</v>
      </c>
      <c r="K229" s="1022"/>
      <c r="L229" s="1022"/>
      <c r="M229" s="1023">
        <f t="shared" si="34"/>
        <v>0</v>
      </c>
      <c r="N229" s="1024">
        <f>M229*(списки!$C$56-K229)</f>
        <v>0</v>
      </c>
      <c r="O229" s="1025"/>
      <c r="P229" s="1025"/>
      <c r="Q229" s="1025">
        <f t="shared" si="35"/>
        <v>0</v>
      </c>
      <c r="R229" s="1025">
        <f>Q229*(списки!$C$56-O229)</f>
        <v>0</v>
      </c>
      <c r="S229" s="1026"/>
      <c r="T229" s="1026"/>
      <c r="U229" s="1026">
        <f t="shared" si="42"/>
        <v>6.5</v>
      </c>
      <c r="V229" s="1026">
        <f>U229*(списки!$C$56-S229)</f>
        <v>130</v>
      </c>
      <c r="W229" s="1027"/>
      <c r="X229" s="1027"/>
      <c r="Y229" s="1027">
        <f t="shared" si="36"/>
        <v>31</v>
      </c>
      <c r="Z229" s="1027">
        <f>Y229*(списки!$C$56-W229)</f>
        <v>620</v>
      </c>
      <c r="AA229" s="1028"/>
      <c r="AB229" s="1028"/>
      <c r="AC229" s="1028">
        <f t="shared" si="37"/>
        <v>30</v>
      </c>
      <c r="AD229" s="1028">
        <f>AC229*(списки!$C$56-AA229)</f>
        <v>600</v>
      </c>
      <c r="AE229" s="1029"/>
      <c r="AF229" s="1029"/>
      <c r="AG229" s="1029">
        <v>31</v>
      </c>
      <c r="AH229" s="1029">
        <f>AG229*(списки!$C$56-AE229)</f>
        <v>620</v>
      </c>
      <c r="AI229" s="1030"/>
      <c r="AJ229" s="1030"/>
      <c r="AK229" s="1030">
        <v>31</v>
      </c>
      <c r="AL229" s="1030">
        <f>AK229*(списки!$C$56-AI229)</f>
        <v>620</v>
      </c>
      <c r="AM229" s="1031"/>
      <c r="AN229" s="1031"/>
      <c r="AO229" s="1031">
        <v>28</v>
      </c>
      <c r="AP229" s="1031">
        <f>AO229*(списки!$C$56-AM229)</f>
        <v>560</v>
      </c>
      <c r="AQ229" s="1026"/>
      <c r="AR229" s="1026"/>
      <c r="AS229" s="1026">
        <f t="shared" si="38"/>
        <v>31</v>
      </c>
      <c r="AT229" s="1026">
        <f>AS229*(списки!$C$56-AQ229)</f>
        <v>620</v>
      </c>
      <c r="AU229" s="1032"/>
      <c r="AV229" s="1032"/>
      <c r="AW229" s="1032">
        <f t="shared" si="39"/>
        <v>30</v>
      </c>
      <c r="AX229" s="1032">
        <f>AW229*(списки!$C$56-AU229)</f>
        <v>600</v>
      </c>
      <c r="AY229" s="1033"/>
      <c r="AZ229" s="1033"/>
      <c r="BA229" s="1033">
        <f t="shared" si="40"/>
        <v>6.5</v>
      </c>
      <c r="BB229" s="1033">
        <f>BA229*(списки!$C$56-AY229)</f>
        <v>130</v>
      </c>
      <c r="BC229" s="1034"/>
      <c r="BD229" s="1034"/>
      <c r="BE229" s="1034">
        <f t="shared" si="41"/>
        <v>0</v>
      </c>
      <c r="BF229" s="1035">
        <f>BE229*(списки!$C$56-BC229)</f>
        <v>0</v>
      </c>
      <c r="BG229" s="1424" t="e">
        <v>#N/A</v>
      </c>
      <c r="BH229" s="1424" t="e">
        <v>#N/A</v>
      </c>
    </row>
    <row r="230" spans="2:60" ht="15.75" customHeight="1" x14ac:dyDescent="0.25">
      <c r="B230" s="1038" t="s">
        <v>238</v>
      </c>
      <c r="C230" s="1038" t="s">
        <v>240</v>
      </c>
      <c r="D230" s="1015" t="str">
        <f t="shared" si="43"/>
        <v>Омская областьОмск</v>
      </c>
      <c r="E230" s="1016">
        <v>216</v>
      </c>
      <c r="F230" s="1017">
        <v>-8.1</v>
      </c>
      <c r="G230" s="1017">
        <v>-37</v>
      </c>
      <c r="H230" s="1019">
        <v>2.8</v>
      </c>
      <c r="I230" s="1020">
        <f>E230*(списки!$C$56-F230)</f>
        <v>6069.6</v>
      </c>
      <c r="J230" s="1021" t="str">
        <f t="shared" si="33"/>
        <v>6000-7000</v>
      </c>
      <c r="K230" s="1022">
        <v>19.5</v>
      </c>
      <c r="L230" s="1022"/>
      <c r="M230" s="1023">
        <f t="shared" si="34"/>
        <v>0</v>
      </c>
      <c r="N230" s="1024">
        <f>M230*(списки!$C$56-K230)</f>
        <v>0</v>
      </c>
      <c r="O230" s="1025">
        <v>16.3</v>
      </c>
      <c r="P230" s="1025"/>
      <c r="Q230" s="1025">
        <f t="shared" si="35"/>
        <v>0</v>
      </c>
      <c r="R230" s="1025">
        <f>Q230*(списки!$C$56-O230)</f>
        <v>0</v>
      </c>
      <c r="S230" s="1026">
        <v>10.5</v>
      </c>
      <c r="T230" s="1026"/>
      <c r="U230" s="1026">
        <f t="shared" si="42"/>
        <v>2</v>
      </c>
      <c r="V230" s="1026">
        <f>U230*(списки!$C$56-S230)</f>
        <v>19</v>
      </c>
      <c r="W230" s="1027">
        <v>2.8</v>
      </c>
      <c r="X230" s="1027"/>
      <c r="Y230" s="1027">
        <f t="shared" si="36"/>
        <v>31</v>
      </c>
      <c r="Z230" s="1027">
        <f>Y230*(списки!$C$56-W230)</f>
        <v>533.19999999999993</v>
      </c>
      <c r="AA230" s="1028">
        <v>-7.3</v>
      </c>
      <c r="AB230" s="1028"/>
      <c r="AC230" s="1028">
        <f t="shared" si="37"/>
        <v>30</v>
      </c>
      <c r="AD230" s="1028">
        <f>AC230*(списки!$C$56-AA230)</f>
        <v>819</v>
      </c>
      <c r="AE230" s="1029">
        <v>-14.3</v>
      </c>
      <c r="AF230" s="1029"/>
      <c r="AG230" s="1029">
        <v>31</v>
      </c>
      <c r="AH230" s="1029">
        <f>AG230*(списки!$C$56-AE230)</f>
        <v>1063.3</v>
      </c>
      <c r="AI230" s="1030">
        <v>-17.2</v>
      </c>
      <c r="AJ230" s="1030"/>
      <c r="AK230" s="1030">
        <v>31</v>
      </c>
      <c r="AL230" s="1030">
        <f>AK230*(списки!$C$56-AI230)</f>
        <v>1153.2</v>
      </c>
      <c r="AM230" s="1031">
        <v>-15.9</v>
      </c>
      <c r="AN230" s="1031"/>
      <c r="AO230" s="1031">
        <v>28</v>
      </c>
      <c r="AP230" s="1031">
        <f>AO230*(списки!$C$56-AM230)</f>
        <v>1005.1999999999999</v>
      </c>
      <c r="AQ230" s="1026">
        <v>-7.8</v>
      </c>
      <c r="AR230" s="1026"/>
      <c r="AS230" s="1026">
        <f t="shared" si="38"/>
        <v>31</v>
      </c>
      <c r="AT230" s="1026">
        <f>AS230*(списки!$C$56-AQ230)</f>
        <v>861.80000000000007</v>
      </c>
      <c r="AU230" s="1032">
        <v>3.7</v>
      </c>
      <c r="AV230" s="1032"/>
      <c r="AW230" s="1032">
        <f t="shared" si="39"/>
        <v>30</v>
      </c>
      <c r="AX230" s="1032">
        <f>AW230*(списки!$C$56-AU230)</f>
        <v>489</v>
      </c>
      <c r="AY230" s="1033">
        <v>12.1</v>
      </c>
      <c r="AZ230" s="1033"/>
      <c r="BA230" s="1033">
        <f t="shared" si="40"/>
        <v>2</v>
      </c>
      <c r="BB230" s="1033">
        <f>BA230*(списки!$C$56-AY230)</f>
        <v>15.8</v>
      </c>
      <c r="BC230" s="1034">
        <v>17.7</v>
      </c>
      <c r="BD230" s="1034"/>
      <c r="BE230" s="1034">
        <f t="shared" si="41"/>
        <v>0</v>
      </c>
      <c r="BF230" s="1035">
        <f>BE230*(списки!$C$56-BC230)</f>
        <v>0</v>
      </c>
      <c r="BG230" s="1424">
        <v>5741.408928571429</v>
      </c>
      <c r="BH230" s="1424">
        <v>5774.9910714285743</v>
      </c>
    </row>
    <row r="231" spans="2:60" ht="15.75" customHeight="1" x14ac:dyDescent="0.25">
      <c r="B231" s="1014" t="s">
        <v>238</v>
      </c>
      <c r="C231" s="1014" t="s">
        <v>241</v>
      </c>
      <c r="D231" s="1015" t="str">
        <f t="shared" si="43"/>
        <v>Омская областьТара</v>
      </c>
      <c r="E231" s="1016">
        <v>229</v>
      </c>
      <c r="F231" s="1017">
        <v>-8.1999999999999993</v>
      </c>
      <c r="G231" s="1017">
        <v>-38</v>
      </c>
      <c r="H231" s="1019">
        <v>3</v>
      </c>
      <c r="I231" s="1020">
        <f>E231*(списки!$C$56-F231)</f>
        <v>6457.8</v>
      </c>
      <c r="J231" s="1021" t="str">
        <f t="shared" si="33"/>
        <v>6000-7000</v>
      </c>
      <c r="K231" s="1022">
        <v>18.7</v>
      </c>
      <c r="L231" s="1022"/>
      <c r="M231" s="1023">
        <f t="shared" si="34"/>
        <v>0</v>
      </c>
      <c r="N231" s="1024">
        <f>M231*(списки!$C$56-K231)</f>
        <v>0</v>
      </c>
      <c r="O231" s="1025">
        <v>15.2</v>
      </c>
      <c r="P231" s="1025"/>
      <c r="Q231" s="1025">
        <f t="shared" si="35"/>
        <v>0</v>
      </c>
      <c r="R231" s="1025">
        <f>Q231*(списки!$C$56-O231)</f>
        <v>0</v>
      </c>
      <c r="S231" s="1026">
        <v>9.1999999999999993</v>
      </c>
      <c r="T231" s="1026"/>
      <c r="U231" s="1026">
        <f t="shared" si="42"/>
        <v>8.5</v>
      </c>
      <c r="V231" s="1026">
        <f>U231*(списки!$C$56-S231)</f>
        <v>91.800000000000011</v>
      </c>
      <c r="W231" s="1027">
        <v>1.7</v>
      </c>
      <c r="X231" s="1027"/>
      <c r="Y231" s="1027">
        <f t="shared" si="36"/>
        <v>31</v>
      </c>
      <c r="Z231" s="1027">
        <f>Y231*(списки!$C$56-W231)</f>
        <v>567.30000000000007</v>
      </c>
      <c r="AA231" s="1028">
        <v>-8.3000000000000007</v>
      </c>
      <c r="AB231" s="1028"/>
      <c r="AC231" s="1028">
        <f t="shared" si="37"/>
        <v>30</v>
      </c>
      <c r="AD231" s="1028">
        <f>AC231*(списки!$C$56-AA231)</f>
        <v>849</v>
      </c>
      <c r="AE231" s="1029">
        <v>-15.5</v>
      </c>
      <c r="AF231" s="1029"/>
      <c r="AG231" s="1029">
        <v>31</v>
      </c>
      <c r="AH231" s="1029">
        <f>AG231*(списки!$C$56-AE231)</f>
        <v>1100.5</v>
      </c>
      <c r="AI231" s="1030">
        <v>-18.3</v>
      </c>
      <c r="AJ231" s="1030"/>
      <c r="AK231" s="1030">
        <v>31</v>
      </c>
      <c r="AL231" s="1030">
        <f>AK231*(списки!$C$56-AI231)</f>
        <v>1187.3</v>
      </c>
      <c r="AM231" s="1031">
        <v>-16.8</v>
      </c>
      <c r="AN231" s="1031"/>
      <c r="AO231" s="1031">
        <v>28</v>
      </c>
      <c r="AP231" s="1031">
        <f>AO231*(списки!$C$56-AM231)</f>
        <v>1030.3999999999999</v>
      </c>
      <c r="AQ231" s="1026">
        <v>-8</v>
      </c>
      <c r="AR231" s="1026"/>
      <c r="AS231" s="1026">
        <f t="shared" si="38"/>
        <v>31</v>
      </c>
      <c r="AT231" s="1026">
        <f>AS231*(списки!$C$56-AQ231)</f>
        <v>868</v>
      </c>
      <c r="AU231" s="1032">
        <v>2.2000000000000002</v>
      </c>
      <c r="AV231" s="1032"/>
      <c r="AW231" s="1032">
        <f t="shared" si="39"/>
        <v>30</v>
      </c>
      <c r="AX231" s="1032">
        <f>AW231*(списки!$C$56-AU231)</f>
        <v>534</v>
      </c>
      <c r="AY231" s="1033">
        <v>10.4</v>
      </c>
      <c r="AZ231" s="1033"/>
      <c r="BA231" s="1033">
        <f t="shared" si="40"/>
        <v>8.5</v>
      </c>
      <c r="BB231" s="1033">
        <f>BA231*(списки!$C$56-AY231)</f>
        <v>81.599999999999994</v>
      </c>
      <c r="BC231" s="1034">
        <v>16.399999999999999</v>
      </c>
      <c r="BD231" s="1034"/>
      <c r="BE231" s="1034">
        <f t="shared" si="41"/>
        <v>0</v>
      </c>
      <c r="BF231" s="1035">
        <f>BE231*(списки!$C$56-BC231)</f>
        <v>0</v>
      </c>
      <c r="BG231" s="1424">
        <v>5979.8875000000025</v>
      </c>
      <c r="BH231" s="1424">
        <v>6207.2303571428538</v>
      </c>
    </row>
    <row r="232" spans="2:60" ht="15.75" customHeight="1" x14ac:dyDescent="0.25">
      <c r="B232" s="1038" t="s">
        <v>238</v>
      </c>
      <c r="C232" s="1038" t="s">
        <v>239</v>
      </c>
      <c r="D232" s="1015" t="str">
        <f t="shared" si="43"/>
        <v>Омская областьЧерлак</v>
      </c>
      <c r="E232" s="1016">
        <v>211</v>
      </c>
      <c r="F232" s="1017">
        <v>-8.6999999999999993</v>
      </c>
      <c r="G232" s="1017">
        <v>-37</v>
      </c>
      <c r="H232" s="1019">
        <v>3.4</v>
      </c>
      <c r="I232" s="1020">
        <f>E232*(списки!$C$56-F232)</f>
        <v>6055.7</v>
      </c>
      <c r="J232" s="1021" t="str">
        <f t="shared" si="33"/>
        <v>6000-7000</v>
      </c>
      <c r="K232" s="1022">
        <v>20.2</v>
      </c>
      <c r="L232" s="1022"/>
      <c r="M232" s="1023">
        <f t="shared" si="34"/>
        <v>0</v>
      </c>
      <c r="N232" s="1024">
        <f>M232*(списки!$C$56-K232)</f>
        <v>0</v>
      </c>
      <c r="O232" s="1025">
        <v>17.100000000000001</v>
      </c>
      <c r="P232" s="1025"/>
      <c r="Q232" s="1025">
        <f t="shared" si="35"/>
        <v>0</v>
      </c>
      <c r="R232" s="1025">
        <f>Q232*(списки!$C$56-O232)</f>
        <v>0</v>
      </c>
      <c r="S232" s="1026">
        <v>11.1</v>
      </c>
      <c r="T232" s="1026"/>
      <c r="U232" s="1026">
        <f t="shared" si="42"/>
        <v>0</v>
      </c>
      <c r="V232" s="1026">
        <f>U232*(списки!$C$56-S232)</f>
        <v>0</v>
      </c>
      <c r="W232" s="1027">
        <v>3.1</v>
      </c>
      <c r="X232" s="1027"/>
      <c r="Y232" s="1027">
        <f t="shared" si="36"/>
        <v>30</v>
      </c>
      <c r="Z232" s="1027">
        <f>Y232*(списки!$C$56-W232)</f>
        <v>506.99999999999994</v>
      </c>
      <c r="AA232" s="1028">
        <v>-7.2</v>
      </c>
      <c r="AB232" s="1028"/>
      <c r="AC232" s="1028">
        <f t="shared" si="37"/>
        <v>30</v>
      </c>
      <c r="AD232" s="1028">
        <f>AC232*(списки!$C$56-AA232)</f>
        <v>816</v>
      </c>
      <c r="AE232" s="1029">
        <v>-14.3</v>
      </c>
      <c r="AF232" s="1029"/>
      <c r="AG232" s="1029">
        <v>31</v>
      </c>
      <c r="AH232" s="1029">
        <f>AG232*(списки!$C$56-AE232)</f>
        <v>1063.3</v>
      </c>
      <c r="AI232" s="1030">
        <v>-17.7</v>
      </c>
      <c r="AJ232" s="1030"/>
      <c r="AK232" s="1030">
        <v>31</v>
      </c>
      <c r="AL232" s="1030">
        <f>AK232*(списки!$C$56-AI232)</f>
        <v>1168.7</v>
      </c>
      <c r="AM232" s="1031">
        <v>-16.600000000000001</v>
      </c>
      <c r="AN232" s="1031"/>
      <c r="AO232" s="1031">
        <v>28</v>
      </c>
      <c r="AP232" s="1031">
        <f>AO232*(списки!$C$56-AM232)</f>
        <v>1024.8</v>
      </c>
      <c r="AQ232" s="1026">
        <v>-8.6</v>
      </c>
      <c r="AR232" s="1026"/>
      <c r="AS232" s="1026">
        <f t="shared" si="38"/>
        <v>31</v>
      </c>
      <c r="AT232" s="1026">
        <f>AS232*(списки!$C$56-AQ232)</f>
        <v>886.6</v>
      </c>
      <c r="AU232" s="1032">
        <v>4</v>
      </c>
      <c r="AV232" s="1032"/>
      <c r="AW232" s="1032">
        <f t="shared" si="39"/>
        <v>30</v>
      </c>
      <c r="AX232" s="1032">
        <f>AW232*(списки!$C$56-AU232)</f>
        <v>480</v>
      </c>
      <c r="AY232" s="1033">
        <v>12.7</v>
      </c>
      <c r="AZ232" s="1033"/>
      <c r="BA232" s="1033">
        <f t="shared" si="40"/>
        <v>0</v>
      </c>
      <c r="BB232" s="1033">
        <f>BA232*(списки!$C$56-AY232)</f>
        <v>0</v>
      </c>
      <c r="BC232" s="1034">
        <v>18.5</v>
      </c>
      <c r="BD232" s="1034"/>
      <c r="BE232" s="1034">
        <f t="shared" si="41"/>
        <v>0</v>
      </c>
      <c r="BF232" s="1035">
        <f>BE232*(списки!$C$56-BC232)</f>
        <v>0</v>
      </c>
      <c r="BG232" s="1424">
        <v>5727.3857142857159</v>
      </c>
      <c r="BH232" s="1424">
        <v>5796.4750000000013</v>
      </c>
    </row>
    <row r="233" spans="2:60" ht="15.75" customHeight="1" x14ac:dyDescent="0.25">
      <c r="B233" s="1014" t="s">
        <v>242</v>
      </c>
      <c r="C233" s="1014" t="s">
        <v>243</v>
      </c>
      <c r="D233" s="1015" t="str">
        <f t="shared" si="43"/>
        <v>Оренбургская областьКувандык</v>
      </c>
      <c r="E233" s="1016">
        <v>204</v>
      </c>
      <c r="F233" s="1017">
        <v>-6.9</v>
      </c>
      <c r="G233" s="1017">
        <v>-30</v>
      </c>
      <c r="H233" s="1019">
        <v>5.7</v>
      </c>
      <c r="I233" s="1020">
        <f>E233*(списки!$C$56-F233)</f>
        <v>5487.5999999999995</v>
      </c>
      <c r="J233" s="1021" t="str">
        <f t="shared" si="33"/>
        <v>5000-6000</v>
      </c>
      <c r="K233" s="1022">
        <v>20.6</v>
      </c>
      <c r="L233" s="1022"/>
      <c r="M233" s="1023">
        <f t="shared" si="34"/>
        <v>0</v>
      </c>
      <c r="N233" s="1024">
        <f>M233*(списки!$C$56-K233)</f>
        <v>0</v>
      </c>
      <c r="O233" s="1025">
        <v>18.8</v>
      </c>
      <c r="P233" s="1025"/>
      <c r="Q233" s="1025">
        <f t="shared" si="35"/>
        <v>0</v>
      </c>
      <c r="R233" s="1025">
        <f>Q233*(списки!$C$56-O233)</f>
        <v>0</v>
      </c>
      <c r="S233" s="1026">
        <v>12.7</v>
      </c>
      <c r="T233" s="1026"/>
      <c r="U233" s="1026">
        <f t="shared" si="42"/>
        <v>0</v>
      </c>
      <c r="V233" s="1026">
        <f>U233*(списки!$C$56-S233)</f>
        <v>0</v>
      </c>
      <c r="W233" s="1027">
        <v>3.9</v>
      </c>
      <c r="X233" s="1027"/>
      <c r="Y233" s="1027">
        <f t="shared" si="36"/>
        <v>26.5</v>
      </c>
      <c r="Z233" s="1027">
        <f>Y233*(списки!$C$56-W233)</f>
        <v>426.65000000000003</v>
      </c>
      <c r="AA233" s="1028">
        <v>-4.7</v>
      </c>
      <c r="AB233" s="1028"/>
      <c r="AC233" s="1028">
        <f t="shared" si="37"/>
        <v>30</v>
      </c>
      <c r="AD233" s="1028">
        <f>AC233*(списки!$C$56-AA233)</f>
        <v>741</v>
      </c>
      <c r="AE233" s="1029">
        <v>-11.9</v>
      </c>
      <c r="AF233" s="1029"/>
      <c r="AG233" s="1029">
        <v>31</v>
      </c>
      <c r="AH233" s="1029">
        <f>AG233*(списки!$C$56-AE233)</f>
        <v>988.9</v>
      </c>
      <c r="AI233" s="1030">
        <v>-15.4</v>
      </c>
      <c r="AJ233" s="1030"/>
      <c r="AK233" s="1030">
        <v>31</v>
      </c>
      <c r="AL233" s="1030">
        <f>AK233*(списки!$C$56-AI233)</f>
        <v>1097.3999999999999</v>
      </c>
      <c r="AM233" s="1031">
        <v>-14.5</v>
      </c>
      <c r="AN233" s="1031"/>
      <c r="AO233" s="1031">
        <v>28</v>
      </c>
      <c r="AP233" s="1031">
        <f>AO233*(списки!$C$56-AM233)</f>
        <v>966</v>
      </c>
      <c r="AQ233" s="1026">
        <v>-7.3</v>
      </c>
      <c r="AR233" s="1026"/>
      <c r="AS233" s="1026">
        <f t="shared" si="38"/>
        <v>31</v>
      </c>
      <c r="AT233" s="1026">
        <f>AS233*(списки!$C$56-AQ233)</f>
        <v>846.30000000000007</v>
      </c>
      <c r="AU233" s="1032">
        <v>4.9000000000000004</v>
      </c>
      <c r="AV233" s="1032"/>
      <c r="AW233" s="1032">
        <f t="shared" si="39"/>
        <v>26.5</v>
      </c>
      <c r="AX233" s="1032">
        <f>AW233*(списки!$C$56-AU233)</f>
        <v>400.15</v>
      </c>
      <c r="AY233" s="1033">
        <v>14.2</v>
      </c>
      <c r="AZ233" s="1033"/>
      <c r="BA233" s="1033">
        <f t="shared" si="40"/>
        <v>0</v>
      </c>
      <c r="BB233" s="1033">
        <f>BA233*(списки!$C$56-AY233)</f>
        <v>0</v>
      </c>
      <c r="BC233" s="1034">
        <v>18.600000000000001</v>
      </c>
      <c r="BD233" s="1034"/>
      <c r="BE233" s="1034">
        <f t="shared" si="41"/>
        <v>0</v>
      </c>
      <c r="BF233" s="1035">
        <f>BE233*(списки!$C$56-BC233)</f>
        <v>0</v>
      </c>
      <c r="BG233" s="1424" t="e">
        <v>#N/A</v>
      </c>
      <c r="BH233" s="1424" t="e">
        <v>#N/A</v>
      </c>
    </row>
    <row r="234" spans="2:60" ht="15.75" customHeight="1" x14ac:dyDescent="0.25">
      <c r="B234" s="1038" t="s">
        <v>242</v>
      </c>
      <c r="C234" s="1038" t="s">
        <v>244</v>
      </c>
      <c r="D234" s="1015" t="str">
        <f t="shared" si="43"/>
        <v>Оренбургская областьОренбург</v>
      </c>
      <c r="E234" s="1016">
        <v>195</v>
      </c>
      <c r="F234" s="1017">
        <v>-6.1</v>
      </c>
      <c r="G234" s="1017">
        <v>-32</v>
      </c>
      <c r="H234" s="1019">
        <v>5.9</v>
      </c>
      <c r="I234" s="1020">
        <f>E234*(списки!$C$56-F234)</f>
        <v>5089.5</v>
      </c>
      <c r="J234" s="1021" t="str">
        <f t="shared" si="33"/>
        <v>5000-6000</v>
      </c>
      <c r="K234" s="1022">
        <v>22</v>
      </c>
      <c r="L234" s="1022"/>
      <c r="M234" s="1023">
        <f t="shared" si="34"/>
        <v>0</v>
      </c>
      <c r="N234" s="1024">
        <f>M234*(списки!$C$56-K234)</f>
        <v>0</v>
      </c>
      <c r="O234" s="1025">
        <v>20.100000000000001</v>
      </c>
      <c r="P234" s="1025"/>
      <c r="Q234" s="1025">
        <f t="shared" si="35"/>
        <v>0</v>
      </c>
      <c r="R234" s="1025">
        <f>Q234*(списки!$C$56-O234)</f>
        <v>0</v>
      </c>
      <c r="S234" s="1026">
        <v>13.9</v>
      </c>
      <c r="T234" s="1026"/>
      <c r="U234" s="1026">
        <f t="shared" si="42"/>
        <v>0</v>
      </c>
      <c r="V234" s="1026">
        <f>U234*(списки!$C$56-S234)</f>
        <v>0</v>
      </c>
      <c r="W234" s="1027">
        <v>5.3</v>
      </c>
      <c r="X234" s="1027"/>
      <c r="Y234" s="1027">
        <f t="shared" si="36"/>
        <v>22</v>
      </c>
      <c r="Z234" s="1027">
        <f>Y234*(списки!$C$56-W234)</f>
        <v>323.39999999999998</v>
      </c>
      <c r="AA234" s="1028">
        <v>-3.1</v>
      </c>
      <c r="AB234" s="1028"/>
      <c r="AC234" s="1028">
        <f t="shared" si="37"/>
        <v>30</v>
      </c>
      <c r="AD234" s="1028">
        <f>AC234*(списки!$C$56-AA234)</f>
        <v>693</v>
      </c>
      <c r="AE234" s="1029">
        <v>-9.9</v>
      </c>
      <c r="AF234" s="1029"/>
      <c r="AG234" s="1029">
        <v>31</v>
      </c>
      <c r="AH234" s="1029">
        <f>AG234*(списки!$C$56-AE234)</f>
        <v>926.9</v>
      </c>
      <c r="AI234" s="1030">
        <v>-12.9</v>
      </c>
      <c r="AJ234" s="1030"/>
      <c r="AK234" s="1030">
        <v>31</v>
      </c>
      <c r="AL234" s="1030">
        <f>AK234*(списки!$C$56-AI234)</f>
        <v>1019.9</v>
      </c>
      <c r="AM234" s="1031">
        <v>-12.4</v>
      </c>
      <c r="AN234" s="1031"/>
      <c r="AO234" s="1031">
        <v>28</v>
      </c>
      <c r="AP234" s="1031">
        <f>AO234*(списки!$C$56-AM234)</f>
        <v>907.19999999999993</v>
      </c>
      <c r="AQ234" s="1026">
        <v>-5.4</v>
      </c>
      <c r="AR234" s="1026"/>
      <c r="AS234" s="1026">
        <f t="shared" si="38"/>
        <v>31</v>
      </c>
      <c r="AT234" s="1026">
        <f>AS234*(списки!$C$56-AQ234)</f>
        <v>787.4</v>
      </c>
      <c r="AU234" s="1032">
        <v>7.1</v>
      </c>
      <c r="AV234" s="1032"/>
      <c r="AW234" s="1032">
        <f t="shared" si="39"/>
        <v>22</v>
      </c>
      <c r="AX234" s="1032">
        <f>AW234*(списки!$C$56-AU234)</f>
        <v>283.8</v>
      </c>
      <c r="AY234" s="1033">
        <v>15.4</v>
      </c>
      <c r="AZ234" s="1033"/>
      <c r="BA234" s="1033">
        <f t="shared" si="40"/>
        <v>0</v>
      </c>
      <c r="BB234" s="1033">
        <f>BA234*(списки!$C$56-AY234)</f>
        <v>0</v>
      </c>
      <c r="BC234" s="1034">
        <v>20.100000000000001</v>
      </c>
      <c r="BD234" s="1034"/>
      <c r="BE234" s="1034">
        <f t="shared" si="41"/>
        <v>0</v>
      </c>
      <c r="BF234" s="1035">
        <f>BE234*(списки!$C$56-BC234)</f>
        <v>0</v>
      </c>
      <c r="BG234" s="1424">
        <v>4608.5517857142895</v>
      </c>
      <c r="BH234" s="1424">
        <v>4932.1749999999975</v>
      </c>
    </row>
    <row r="235" spans="2:60" ht="15.75" customHeight="1" x14ac:dyDescent="0.25">
      <c r="B235" s="1014" t="s">
        <v>242</v>
      </c>
      <c r="C235" s="1014" t="s">
        <v>245</v>
      </c>
      <c r="D235" s="1015" t="str">
        <f t="shared" si="43"/>
        <v>Оренбургская областьСорочинск</v>
      </c>
      <c r="E235" s="1016">
        <v>201</v>
      </c>
      <c r="F235" s="1017">
        <v>-6.3</v>
      </c>
      <c r="G235" s="1017">
        <v>-29</v>
      </c>
      <c r="H235" s="1019">
        <v>7.6</v>
      </c>
      <c r="I235" s="1020">
        <f>E235*(списки!$C$56-F235)</f>
        <v>5286.3</v>
      </c>
      <c r="J235" s="1021" t="str">
        <f t="shared" si="33"/>
        <v>5000-6000</v>
      </c>
      <c r="K235" s="1022">
        <v>21</v>
      </c>
      <c r="L235" s="1022"/>
      <c r="M235" s="1023">
        <f t="shared" si="34"/>
        <v>0</v>
      </c>
      <c r="N235" s="1024">
        <f>M235*(списки!$C$56-K235)</f>
        <v>0</v>
      </c>
      <c r="O235" s="1025">
        <v>19.600000000000001</v>
      </c>
      <c r="P235" s="1025"/>
      <c r="Q235" s="1025">
        <f t="shared" si="35"/>
        <v>0</v>
      </c>
      <c r="R235" s="1025">
        <f>Q235*(списки!$C$56-O235)</f>
        <v>0</v>
      </c>
      <c r="S235" s="1026">
        <v>13.1</v>
      </c>
      <c r="T235" s="1026"/>
      <c r="U235" s="1026">
        <f t="shared" si="42"/>
        <v>0</v>
      </c>
      <c r="V235" s="1026">
        <f>U235*(списки!$C$56-S235)</f>
        <v>0</v>
      </c>
      <c r="W235" s="1027">
        <v>4.0999999999999996</v>
      </c>
      <c r="X235" s="1027"/>
      <c r="Y235" s="1027">
        <f t="shared" si="36"/>
        <v>25</v>
      </c>
      <c r="Z235" s="1027">
        <f>Y235*(списки!$C$56-W235)</f>
        <v>397.5</v>
      </c>
      <c r="AA235" s="1028">
        <v>-3.8</v>
      </c>
      <c r="AB235" s="1028"/>
      <c r="AC235" s="1028">
        <f t="shared" si="37"/>
        <v>30</v>
      </c>
      <c r="AD235" s="1028">
        <f>AC235*(списки!$C$56-AA235)</f>
        <v>714</v>
      </c>
      <c r="AE235" s="1029">
        <v>-10.4</v>
      </c>
      <c r="AF235" s="1029"/>
      <c r="AG235" s="1029">
        <v>31</v>
      </c>
      <c r="AH235" s="1029">
        <f>AG235*(списки!$C$56-AE235)</f>
        <v>942.4</v>
      </c>
      <c r="AI235" s="1030">
        <v>-14.4</v>
      </c>
      <c r="AJ235" s="1030"/>
      <c r="AK235" s="1030">
        <v>31</v>
      </c>
      <c r="AL235" s="1030">
        <f>AK235*(списки!$C$56-AI235)</f>
        <v>1066.3999999999999</v>
      </c>
      <c r="AM235" s="1031">
        <v>-13.5</v>
      </c>
      <c r="AN235" s="1031"/>
      <c r="AO235" s="1031">
        <v>28</v>
      </c>
      <c r="AP235" s="1031">
        <f>AO235*(списки!$C$56-AM235)</f>
        <v>938</v>
      </c>
      <c r="AQ235" s="1026">
        <v>-6.6</v>
      </c>
      <c r="AR235" s="1026"/>
      <c r="AS235" s="1026">
        <f t="shared" si="38"/>
        <v>31</v>
      </c>
      <c r="AT235" s="1026">
        <f>AS235*(списки!$C$56-AQ235)</f>
        <v>824.6</v>
      </c>
      <c r="AU235" s="1032">
        <v>5.8</v>
      </c>
      <c r="AV235" s="1032"/>
      <c r="AW235" s="1032">
        <f t="shared" si="39"/>
        <v>25</v>
      </c>
      <c r="AX235" s="1032">
        <f>AW235*(списки!$C$56-AU235)</f>
        <v>355</v>
      </c>
      <c r="AY235" s="1033">
        <v>14.6</v>
      </c>
      <c r="AZ235" s="1033"/>
      <c r="BA235" s="1033">
        <f t="shared" si="40"/>
        <v>0</v>
      </c>
      <c r="BB235" s="1033">
        <f>BA235*(списки!$C$56-AY235)</f>
        <v>0</v>
      </c>
      <c r="BC235" s="1034">
        <v>19.2</v>
      </c>
      <c r="BD235" s="1034"/>
      <c r="BE235" s="1034">
        <f t="shared" si="41"/>
        <v>0</v>
      </c>
      <c r="BF235" s="1035">
        <f>BE235*(списки!$C$56-BC235)</f>
        <v>0</v>
      </c>
      <c r="BG235" s="1424">
        <v>4567.267857142856</v>
      </c>
      <c r="BH235" s="1424">
        <v>4881.7250000000031</v>
      </c>
    </row>
    <row r="236" spans="2:60" ht="15.75" customHeight="1" x14ac:dyDescent="0.25">
      <c r="B236" s="1038" t="s">
        <v>246</v>
      </c>
      <c r="C236" s="1038" t="s">
        <v>247</v>
      </c>
      <c r="D236" s="1015" t="str">
        <f t="shared" si="43"/>
        <v>Орловская областьОрел</v>
      </c>
      <c r="E236" s="1016">
        <v>199</v>
      </c>
      <c r="F236" s="1017">
        <v>-2.4</v>
      </c>
      <c r="G236" s="1017">
        <v>-25</v>
      </c>
      <c r="H236" s="1019">
        <v>4.7</v>
      </c>
      <c r="I236" s="1020">
        <f>E236*(списки!$C$56-F236)</f>
        <v>4457.5999999999995</v>
      </c>
      <c r="J236" s="1021" t="str">
        <f t="shared" si="33"/>
        <v>4000-5000</v>
      </c>
      <c r="K236" s="1022">
        <v>18.7</v>
      </c>
      <c r="L236" s="1022"/>
      <c r="M236" s="1023">
        <f t="shared" si="34"/>
        <v>0</v>
      </c>
      <c r="N236" s="1024">
        <f>M236*(списки!$C$56-K236)</f>
        <v>0</v>
      </c>
      <c r="O236" s="1025">
        <v>17.600000000000001</v>
      </c>
      <c r="P236" s="1025"/>
      <c r="Q236" s="1025">
        <f t="shared" si="35"/>
        <v>0</v>
      </c>
      <c r="R236" s="1025">
        <f>Q236*(списки!$C$56-O236)</f>
        <v>0</v>
      </c>
      <c r="S236" s="1026">
        <v>11.9</v>
      </c>
      <c r="T236" s="1026"/>
      <c r="U236" s="1026">
        <f t="shared" si="42"/>
        <v>0</v>
      </c>
      <c r="V236" s="1026">
        <f>U236*(списки!$C$56-S236)</f>
        <v>0</v>
      </c>
      <c r="W236" s="1027">
        <v>5.7</v>
      </c>
      <c r="X236" s="1027"/>
      <c r="Y236" s="1027">
        <f t="shared" si="36"/>
        <v>24</v>
      </c>
      <c r="Z236" s="1027">
        <f>Y236*(списки!$C$56-W236)</f>
        <v>343.20000000000005</v>
      </c>
      <c r="AA236" s="1028">
        <v>-0.6</v>
      </c>
      <c r="AB236" s="1028"/>
      <c r="AC236" s="1028">
        <f t="shared" si="37"/>
        <v>30</v>
      </c>
      <c r="AD236" s="1028">
        <f>AC236*(списки!$C$56-AA236)</f>
        <v>618</v>
      </c>
      <c r="AE236" s="1029">
        <v>-5.4</v>
      </c>
      <c r="AF236" s="1029"/>
      <c r="AG236" s="1029">
        <v>31</v>
      </c>
      <c r="AH236" s="1029">
        <f>AG236*(списки!$C$56-AE236)</f>
        <v>787.4</v>
      </c>
      <c r="AI236" s="1030">
        <v>-7.8</v>
      </c>
      <c r="AJ236" s="1030"/>
      <c r="AK236" s="1030">
        <v>31</v>
      </c>
      <c r="AL236" s="1030">
        <f>AK236*(списки!$C$56-AI236)</f>
        <v>861.80000000000007</v>
      </c>
      <c r="AM236" s="1031">
        <v>-7.3</v>
      </c>
      <c r="AN236" s="1031"/>
      <c r="AO236" s="1031">
        <v>28</v>
      </c>
      <c r="AP236" s="1031">
        <f>AO236*(списки!$C$56-AM236)</f>
        <v>764.4</v>
      </c>
      <c r="AQ236" s="1026">
        <v>-1.9</v>
      </c>
      <c r="AR236" s="1026"/>
      <c r="AS236" s="1026">
        <f t="shared" si="38"/>
        <v>31</v>
      </c>
      <c r="AT236" s="1026">
        <f>AS236*(списки!$C$56-AQ236)</f>
        <v>678.9</v>
      </c>
      <c r="AU236" s="1032">
        <v>6.9</v>
      </c>
      <c r="AV236" s="1032"/>
      <c r="AW236" s="1032">
        <f t="shared" si="39"/>
        <v>24</v>
      </c>
      <c r="AX236" s="1032">
        <f>AW236*(списки!$C$56-AU236)</f>
        <v>314.39999999999998</v>
      </c>
      <c r="AY236" s="1033">
        <v>13.9</v>
      </c>
      <c r="AZ236" s="1033"/>
      <c r="BA236" s="1033">
        <f t="shared" si="40"/>
        <v>0</v>
      </c>
      <c r="BB236" s="1033">
        <f>BA236*(списки!$C$56-AY236)</f>
        <v>0</v>
      </c>
      <c r="BC236" s="1034">
        <v>17.2</v>
      </c>
      <c r="BD236" s="1034"/>
      <c r="BE236" s="1034">
        <f t="shared" si="41"/>
        <v>0</v>
      </c>
      <c r="BF236" s="1035">
        <f>BE236*(списки!$C$56-BC236)</f>
        <v>0</v>
      </c>
      <c r="BG236" s="1424">
        <v>3957.1642857142856</v>
      </c>
      <c r="BH236" s="1424">
        <v>4033.7577380952389</v>
      </c>
    </row>
    <row r="237" spans="2:60" ht="15.75" customHeight="1" x14ac:dyDescent="0.25">
      <c r="B237" s="1014" t="s">
        <v>248</v>
      </c>
      <c r="C237" s="1014" t="s">
        <v>670</v>
      </c>
      <c r="D237" s="1015" t="str">
        <f t="shared" si="43"/>
        <v>Пензенская областьЗеметчино</v>
      </c>
      <c r="E237" s="1016">
        <v>200</v>
      </c>
      <c r="F237" s="1017">
        <v>-3.8</v>
      </c>
      <c r="G237" s="1017">
        <v>-28</v>
      </c>
      <c r="H237" s="1019">
        <v>4.3</v>
      </c>
      <c r="I237" s="1020">
        <f>E237*(списки!$C$56-F237)</f>
        <v>4760</v>
      </c>
      <c r="J237" s="1021" t="str">
        <f t="shared" si="33"/>
        <v>4000-5000</v>
      </c>
      <c r="K237" s="1022">
        <v>19.5</v>
      </c>
      <c r="L237" s="1022"/>
      <c r="M237" s="1023">
        <f t="shared" si="34"/>
        <v>0</v>
      </c>
      <c r="N237" s="1024">
        <f>M237*(списки!$C$56-K237)</f>
        <v>0</v>
      </c>
      <c r="O237" s="1025">
        <v>17.8</v>
      </c>
      <c r="P237" s="1025"/>
      <c r="Q237" s="1025">
        <f t="shared" si="35"/>
        <v>0</v>
      </c>
      <c r="R237" s="1025">
        <f>Q237*(списки!$C$56-O237)</f>
        <v>0</v>
      </c>
      <c r="S237" s="1026">
        <v>12.1</v>
      </c>
      <c r="T237" s="1026"/>
      <c r="U237" s="1026">
        <f t="shared" si="42"/>
        <v>0</v>
      </c>
      <c r="V237" s="1026">
        <f>U237*(списки!$C$56-S237)</f>
        <v>0</v>
      </c>
      <c r="W237" s="1027">
        <v>5.0999999999999996</v>
      </c>
      <c r="X237" s="1027"/>
      <c r="Y237" s="1027">
        <f t="shared" si="36"/>
        <v>24.5</v>
      </c>
      <c r="Z237" s="1027">
        <f>Y237*(списки!$C$56-W237)</f>
        <v>365.05</v>
      </c>
      <c r="AA237" s="1028">
        <v>-1.7</v>
      </c>
      <c r="AB237" s="1028"/>
      <c r="AC237" s="1028">
        <f t="shared" si="37"/>
        <v>30</v>
      </c>
      <c r="AD237" s="1028">
        <f>AC237*(списки!$C$56-AA237)</f>
        <v>651</v>
      </c>
      <c r="AE237" s="1029">
        <v>-7.2</v>
      </c>
      <c r="AF237" s="1029"/>
      <c r="AG237" s="1029">
        <v>31</v>
      </c>
      <c r="AH237" s="1029">
        <f>AG237*(списки!$C$56-AE237)</f>
        <v>843.19999999999993</v>
      </c>
      <c r="AI237" s="1030">
        <v>-9.3000000000000007</v>
      </c>
      <c r="AJ237" s="1030"/>
      <c r="AK237" s="1030">
        <v>31</v>
      </c>
      <c r="AL237" s="1030">
        <f>AK237*(списки!$C$56-AI237)</f>
        <v>908.30000000000007</v>
      </c>
      <c r="AM237" s="1031">
        <v>-9.5</v>
      </c>
      <c r="AN237" s="1031"/>
      <c r="AO237" s="1031">
        <v>28</v>
      </c>
      <c r="AP237" s="1031">
        <f>AO237*(списки!$C$56-AM237)</f>
        <v>826</v>
      </c>
      <c r="AQ237" s="1026">
        <v>-3.6</v>
      </c>
      <c r="AR237" s="1026"/>
      <c r="AS237" s="1026">
        <f t="shared" si="38"/>
        <v>31</v>
      </c>
      <c r="AT237" s="1026">
        <f>AS237*(списки!$C$56-AQ237)</f>
        <v>731.6</v>
      </c>
      <c r="AU237" s="1032">
        <v>6.6</v>
      </c>
      <c r="AV237" s="1032"/>
      <c r="AW237" s="1032">
        <f t="shared" si="39"/>
        <v>24.5</v>
      </c>
      <c r="AX237" s="1032">
        <f>AW237*(списки!$C$56-AU237)</f>
        <v>328.3</v>
      </c>
      <c r="AY237" s="1033">
        <v>14</v>
      </c>
      <c r="AZ237" s="1033"/>
      <c r="BA237" s="1033">
        <f t="shared" si="40"/>
        <v>0</v>
      </c>
      <c r="BB237" s="1033">
        <f>BA237*(списки!$C$56-AY237)</f>
        <v>0</v>
      </c>
      <c r="BC237" s="1034">
        <v>17.7</v>
      </c>
      <c r="BD237" s="1034"/>
      <c r="BE237" s="1034">
        <f t="shared" si="41"/>
        <v>0</v>
      </c>
      <c r="BF237" s="1035">
        <f>BE237*(списки!$C$56-BC237)</f>
        <v>0</v>
      </c>
      <c r="BG237" s="1424">
        <v>4218.9053571428576</v>
      </c>
      <c r="BH237" s="1424">
        <v>4378.5749999999971</v>
      </c>
    </row>
    <row r="238" spans="2:60" ht="15.75" customHeight="1" x14ac:dyDescent="0.25">
      <c r="B238" s="1038" t="s">
        <v>248</v>
      </c>
      <c r="C238" s="1038" t="s">
        <v>250</v>
      </c>
      <c r="D238" s="1015" t="str">
        <f t="shared" si="43"/>
        <v>Пензенская областьПенза</v>
      </c>
      <c r="E238" s="1016">
        <v>200</v>
      </c>
      <c r="F238" s="1017">
        <v>-4.0999999999999996</v>
      </c>
      <c r="G238" s="1017">
        <v>-27</v>
      </c>
      <c r="H238" s="1019">
        <v>4.4000000000000004</v>
      </c>
      <c r="I238" s="1020">
        <f>E238*(списки!$C$56-F238)</f>
        <v>4820</v>
      </c>
      <c r="J238" s="1021" t="str">
        <f t="shared" si="33"/>
        <v>4000-5000</v>
      </c>
      <c r="K238" s="1022">
        <v>19.8</v>
      </c>
      <c r="L238" s="1022"/>
      <c r="M238" s="1023">
        <f t="shared" si="34"/>
        <v>0</v>
      </c>
      <c r="N238" s="1024">
        <f>M238*(списки!$C$56-K238)</f>
        <v>0</v>
      </c>
      <c r="O238" s="1025">
        <v>18</v>
      </c>
      <c r="P238" s="1025"/>
      <c r="Q238" s="1025">
        <f t="shared" si="35"/>
        <v>0</v>
      </c>
      <c r="R238" s="1025">
        <f>Q238*(списки!$C$56-O238)</f>
        <v>0</v>
      </c>
      <c r="S238" s="1026">
        <v>12.2</v>
      </c>
      <c r="T238" s="1026"/>
      <c r="U238" s="1026">
        <f t="shared" si="42"/>
        <v>0</v>
      </c>
      <c r="V238" s="1026">
        <f>U238*(списки!$C$56-S238)</f>
        <v>0</v>
      </c>
      <c r="W238" s="1027">
        <v>5.0999999999999996</v>
      </c>
      <c r="X238" s="1027"/>
      <c r="Y238" s="1027">
        <f t="shared" si="36"/>
        <v>24.5</v>
      </c>
      <c r="Z238" s="1027">
        <f>Y238*(списки!$C$56-W238)</f>
        <v>365.05</v>
      </c>
      <c r="AA238" s="1028">
        <v>-2</v>
      </c>
      <c r="AB238" s="1028"/>
      <c r="AC238" s="1028">
        <f t="shared" si="37"/>
        <v>30</v>
      </c>
      <c r="AD238" s="1028">
        <f>AC238*(списки!$C$56-AA238)</f>
        <v>660</v>
      </c>
      <c r="AE238" s="1029">
        <v>-7.8</v>
      </c>
      <c r="AF238" s="1029"/>
      <c r="AG238" s="1029">
        <v>31</v>
      </c>
      <c r="AH238" s="1029">
        <f>AG238*(списки!$C$56-AE238)</f>
        <v>861.80000000000007</v>
      </c>
      <c r="AI238" s="1030">
        <v>-9.8000000000000007</v>
      </c>
      <c r="AJ238" s="1030"/>
      <c r="AK238" s="1030">
        <v>31</v>
      </c>
      <c r="AL238" s="1030">
        <f>AK238*(списки!$C$56-AI238)</f>
        <v>923.80000000000007</v>
      </c>
      <c r="AM238" s="1031">
        <v>-9.6999999999999993</v>
      </c>
      <c r="AN238" s="1031"/>
      <c r="AO238" s="1031">
        <v>28</v>
      </c>
      <c r="AP238" s="1031">
        <f>AO238*(списки!$C$56-AM238)</f>
        <v>831.6</v>
      </c>
      <c r="AQ238" s="1026">
        <v>-3.7</v>
      </c>
      <c r="AR238" s="1026"/>
      <c r="AS238" s="1026">
        <f t="shared" si="38"/>
        <v>31</v>
      </c>
      <c r="AT238" s="1026">
        <f>AS238*(списки!$C$56-AQ238)</f>
        <v>734.69999999999993</v>
      </c>
      <c r="AU238" s="1032">
        <v>6.8</v>
      </c>
      <c r="AV238" s="1032"/>
      <c r="AW238" s="1032">
        <f t="shared" si="39"/>
        <v>24.5</v>
      </c>
      <c r="AX238" s="1032">
        <f>AW238*(списки!$C$56-AU238)</f>
        <v>323.39999999999998</v>
      </c>
      <c r="AY238" s="1033">
        <v>14.2</v>
      </c>
      <c r="AZ238" s="1033"/>
      <c r="BA238" s="1033">
        <f t="shared" si="40"/>
        <v>0</v>
      </c>
      <c r="BB238" s="1033">
        <f>BA238*(списки!$C$56-AY238)</f>
        <v>0</v>
      </c>
      <c r="BC238" s="1034">
        <v>18</v>
      </c>
      <c r="BD238" s="1034"/>
      <c r="BE238" s="1034">
        <f t="shared" si="41"/>
        <v>0</v>
      </c>
      <c r="BF238" s="1035">
        <f>BE238*(списки!$C$56-BC238)</f>
        <v>0</v>
      </c>
      <c r="BG238" s="1424">
        <v>4236.1232142857134</v>
      </c>
      <c r="BH238" s="1424">
        <v>4433.8178571428589</v>
      </c>
    </row>
    <row r="239" spans="2:60" ht="15.75" customHeight="1" x14ac:dyDescent="0.25">
      <c r="B239" s="1014" t="s">
        <v>619</v>
      </c>
      <c r="C239" s="1014" t="s">
        <v>671</v>
      </c>
      <c r="D239" s="1015" t="str">
        <f t="shared" si="43"/>
        <v>Пермская областьБисер</v>
      </c>
      <c r="E239" s="1016">
        <v>250</v>
      </c>
      <c r="F239" s="1017">
        <v>-6.7</v>
      </c>
      <c r="G239" s="1017">
        <v>-35</v>
      </c>
      <c r="H239" s="1019">
        <v>3.8</v>
      </c>
      <c r="I239" s="1020">
        <f>E239*(списки!$C$56-F239)</f>
        <v>6675</v>
      </c>
      <c r="J239" s="1021" t="str">
        <f t="shared" si="33"/>
        <v>6000-7000</v>
      </c>
      <c r="K239" s="1022">
        <v>15.8</v>
      </c>
      <c r="L239" s="1022"/>
      <c r="M239" s="1023">
        <f t="shared" si="34"/>
        <v>0</v>
      </c>
      <c r="N239" s="1024">
        <f>M239*(списки!$C$56-K239)</f>
        <v>0</v>
      </c>
      <c r="O239" s="1025">
        <v>12.6</v>
      </c>
      <c r="P239" s="1025"/>
      <c r="Q239" s="1025">
        <f t="shared" si="35"/>
        <v>0</v>
      </c>
      <c r="R239" s="1025">
        <f>Q239*(списки!$C$56-O239)</f>
        <v>0</v>
      </c>
      <c r="S239" s="1026">
        <v>6.9</v>
      </c>
      <c r="T239" s="1026"/>
      <c r="U239" s="1026">
        <f t="shared" si="42"/>
        <v>19</v>
      </c>
      <c r="V239" s="1026">
        <f>U239*(списки!$C$56-S239)</f>
        <v>248.9</v>
      </c>
      <c r="W239" s="1027">
        <v>-0.5</v>
      </c>
      <c r="X239" s="1027"/>
      <c r="Y239" s="1027">
        <f t="shared" si="36"/>
        <v>31</v>
      </c>
      <c r="Z239" s="1027">
        <f>Y239*(списки!$C$56-W239)</f>
        <v>635.5</v>
      </c>
      <c r="AA239" s="1028">
        <v>-8.5</v>
      </c>
      <c r="AB239" s="1028"/>
      <c r="AC239" s="1028">
        <f t="shared" si="37"/>
        <v>30</v>
      </c>
      <c r="AD239" s="1028">
        <f>AC239*(списки!$C$56-AA239)</f>
        <v>855</v>
      </c>
      <c r="AE239" s="1029">
        <v>-14.1</v>
      </c>
      <c r="AF239" s="1029"/>
      <c r="AG239" s="1029">
        <v>31</v>
      </c>
      <c r="AH239" s="1029">
        <f>AG239*(списки!$C$56-AE239)</f>
        <v>1057.1000000000001</v>
      </c>
      <c r="AI239" s="1030">
        <v>-16.7</v>
      </c>
      <c r="AJ239" s="1030"/>
      <c r="AK239" s="1030">
        <v>31</v>
      </c>
      <c r="AL239" s="1030">
        <f>AK239*(списки!$C$56-AI239)</f>
        <v>1137.7</v>
      </c>
      <c r="AM239" s="1031">
        <v>-14.8</v>
      </c>
      <c r="AN239" s="1031"/>
      <c r="AO239" s="1031">
        <v>28</v>
      </c>
      <c r="AP239" s="1031">
        <f>AO239*(списки!$C$56-AM239)</f>
        <v>974.39999999999986</v>
      </c>
      <c r="AQ239" s="1026">
        <v>-6.7</v>
      </c>
      <c r="AR239" s="1026"/>
      <c r="AS239" s="1026">
        <f t="shared" si="38"/>
        <v>31</v>
      </c>
      <c r="AT239" s="1026">
        <f>AS239*(списки!$C$56-AQ239)</f>
        <v>827.69999999999993</v>
      </c>
      <c r="AU239" s="1032">
        <v>0.7</v>
      </c>
      <c r="AV239" s="1032"/>
      <c r="AW239" s="1032">
        <f t="shared" si="39"/>
        <v>30</v>
      </c>
      <c r="AX239" s="1032">
        <f>AW239*(списки!$C$56-AU239)</f>
        <v>579</v>
      </c>
      <c r="AY239" s="1033">
        <v>7.7</v>
      </c>
      <c r="AZ239" s="1033"/>
      <c r="BA239" s="1033">
        <f t="shared" si="40"/>
        <v>19</v>
      </c>
      <c r="BB239" s="1033">
        <f>BA239*(списки!$C$56-AY239)</f>
        <v>233.70000000000002</v>
      </c>
      <c r="BC239" s="1034">
        <v>13.4</v>
      </c>
      <c r="BD239" s="1034"/>
      <c r="BE239" s="1034">
        <f t="shared" si="41"/>
        <v>0</v>
      </c>
      <c r="BF239" s="1035">
        <f>BE239*(списки!$C$56-BC239)</f>
        <v>0</v>
      </c>
      <c r="BG239" s="1424">
        <v>6578.3767857142884</v>
      </c>
      <c r="BH239" s="1424">
        <v>6667.9946428571457</v>
      </c>
    </row>
    <row r="240" spans="2:60" ht="15.75" customHeight="1" x14ac:dyDescent="0.25">
      <c r="B240" s="1038" t="s">
        <v>619</v>
      </c>
      <c r="C240" s="1038" t="s">
        <v>252</v>
      </c>
      <c r="D240" s="1015" t="str">
        <f t="shared" si="43"/>
        <v>Пермская областьНожовка</v>
      </c>
      <c r="E240" s="1016">
        <v>221</v>
      </c>
      <c r="F240" s="1017">
        <v>-6.1</v>
      </c>
      <c r="G240" s="1017">
        <v>-36</v>
      </c>
      <c r="H240" s="1019">
        <f>H239</f>
        <v>3.8</v>
      </c>
      <c r="I240" s="1020">
        <f>E240*(списки!$C$56-F240)</f>
        <v>5768.1</v>
      </c>
      <c r="J240" s="1021" t="str">
        <f t="shared" si="33"/>
        <v>5000-6000</v>
      </c>
      <c r="K240" s="1022">
        <v>18.399999999999999</v>
      </c>
      <c r="L240" s="1022"/>
      <c r="M240" s="1023">
        <f t="shared" si="34"/>
        <v>0</v>
      </c>
      <c r="N240" s="1024">
        <f>M240*(списки!$C$56-K240)</f>
        <v>0</v>
      </c>
      <c r="O240" s="1025">
        <v>16.399999999999999</v>
      </c>
      <c r="P240" s="1025"/>
      <c r="Q240" s="1025">
        <f t="shared" si="35"/>
        <v>0</v>
      </c>
      <c r="R240" s="1025">
        <f>Q240*(списки!$C$56-O240)</f>
        <v>0</v>
      </c>
      <c r="S240" s="1026">
        <v>10.1</v>
      </c>
      <c r="T240" s="1026"/>
      <c r="U240" s="1026">
        <f t="shared" si="42"/>
        <v>4.5</v>
      </c>
      <c r="V240" s="1026">
        <f>U240*(списки!$C$56-S240)</f>
        <v>44.550000000000004</v>
      </c>
      <c r="W240" s="1027">
        <v>2.2999999999999998</v>
      </c>
      <c r="X240" s="1027"/>
      <c r="Y240" s="1027">
        <f t="shared" si="36"/>
        <v>31</v>
      </c>
      <c r="Z240" s="1027">
        <f>Y240*(списки!$C$56-W240)</f>
        <v>548.69999999999993</v>
      </c>
      <c r="AA240" s="1028">
        <v>-5.0999999999999996</v>
      </c>
      <c r="AB240" s="1028"/>
      <c r="AC240" s="1028">
        <f t="shared" si="37"/>
        <v>30</v>
      </c>
      <c r="AD240" s="1028">
        <f>AC240*(списки!$C$56-AA240)</f>
        <v>753</v>
      </c>
      <c r="AE240" s="1029">
        <v>-12.1</v>
      </c>
      <c r="AF240" s="1029"/>
      <c r="AG240" s="1029">
        <v>31</v>
      </c>
      <c r="AH240" s="1029">
        <f>AG240*(списки!$C$56-AE240)</f>
        <v>995.1</v>
      </c>
      <c r="AI240" s="1030">
        <v>-14.6</v>
      </c>
      <c r="AJ240" s="1030"/>
      <c r="AK240" s="1030">
        <v>31</v>
      </c>
      <c r="AL240" s="1030">
        <f>AK240*(списки!$C$56-AI240)</f>
        <v>1072.6000000000001</v>
      </c>
      <c r="AM240" s="1031">
        <v>-13.7</v>
      </c>
      <c r="AN240" s="1031"/>
      <c r="AO240" s="1031">
        <v>28</v>
      </c>
      <c r="AP240" s="1031">
        <f>AO240*(списки!$C$56-AM240)</f>
        <v>943.60000000000014</v>
      </c>
      <c r="AQ240" s="1026">
        <v>-6.8</v>
      </c>
      <c r="AR240" s="1026"/>
      <c r="AS240" s="1026">
        <f t="shared" si="38"/>
        <v>31</v>
      </c>
      <c r="AT240" s="1026">
        <f>AS240*(списки!$C$56-AQ240)</f>
        <v>830.80000000000007</v>
      </c>
      <c r="AU240" s="1032">
        <v>2.9</v>
      </c>
      <c r="AV240" s="1032"/>
      <c r="AW240" s="1032">
        <f t="shared" si="39"/>
        <v>30</v>
      </c>
      <c r="AX240" s="1032">
        <f>AW240*(списки!$C$56-AU240)</f>
        <v>513</v>
      </c>
      <c r="AY240" s="1033">
        <v>11</v>
      </c>
      <c r="AZ240" s="1033"/>
      <c r="BA240" s="1033">
        <f t="shared" si="40"/>
        <v>4.5</v>
      </c>
      <c r="BB240" s="1033">
        <f>BA240*(списки!$C$56-AY240)</f>
        <v>40.5</v>
      </c>
      <c r="BC240" s="1034">
        <v>16.7</v>
      </c>
      <c r="BD240" s="1034"/>
      <c r="BE240" s="1034">
        <f t="shared" si="41"/>
        <v>0</v>
      </c>
      <c r="BF240" s="1035">
        <f>BE240*(списки!$C$56-BC240)</f>
        <v>0</v>
      </c>
      <c r="BG240" s="1424">
        <v>5242.9553571428596</v>
      </c>
      <c r="BH240" s="1424">
        <v>5574.2464285714295</v>
      </c>
    </row>
    <row r="241" spans="2:60" ht="15.75" customHeight="1" x14ac:dyDescent="0.25">
      <c r="B241" s="1014" t="s">
        <v>619</v>
      </c>
      <c r="C241" s="1014" t="s">
        <v>253</v>
      </c>
      <c r="D241" s="1015" t="str">
        <f t="shared" si="43"/>
        <v>Пермская областьПермь</v>
      </c>
      <c r="E241" s="1016">
        <v>225</v>
      </c>
      <c r="F241" s="1017">
        <v>-5.5</v>
      </c>
      <c r="G241" s="1017">
        <v>-35</v>
      </c>
      <c r="H241" s="1019">
        <v>3.4</v>
      </c>
      <c r="I241" s="1020">
        <f>E241*(списки!$C$56-F241)</f>
        <v>5737.5</v>
      </c>
      <c r="J241" s="1021" t="str">
        <f t="shared" si="33"/>
        <v>5000-6000</v>
      </c>
      <c r="K241" s="1022">
        <v>18.2</v>
      </c>
      <c r="L241" s="1022"/>
      <c r="M241" s="1023">
        <f t="shared" si="34"/>
        <v>0</v>
      </c>
      <c r="N241" s="1024">
        <f>M241*(списки!$C$56-K241)</f>
        <v>0</v>
      </c>
      <c r="O241" s="1025">
        <v>15.1</v>
      </c>
      <c r="P241" s="1025"/>
      <c r="Q241" s="1025">
        <f t="shared" si="35"/>
        <v>0</v>
      </c>
      <c r="R241" s="1025">
        <f>Q241*(списки!$C$56-O241)</f>
        <v>0</v>
      </c>
      <c r="S241" s="1026">
        <v>9.5</v>
      </c>
      <c r="T241" s="1026"/>
      <c r="U241" s="1026">
        <f t="shared" si="42"/>
        <v>6.5</v>
      </c>
      <c r="V241" s="1026">
        <f>U241*(списки!$C$56-S241)</f>
        <v>68.25</v>
      </c>
      <c r="W241" s="1027">
        <v>2.2999999999999998</v>
      </c>
      <c r="X241" s="1027"/>
      <c r="Y241" s="1027">
        <f t="shared" si="36"/>
        <v>31</v>
      </c>
      <c r="Z241" s="1027">
        <f>Y241*(списки!$C$56-W241)</f>
        <v>548.69999999999993</v>
      </c>
      <c r="AA241" s="1028">
        <v>-5.6</v>
      </c>
      <c r="AB241" s="1028"/>
      <c r="AC241" s="1028">
        <f t="shared" si="37"/>
        <v>30</v>
      </c>
      <c r="AD241" s="1028">
        <f>AC241*(списки!$C$56-AA241)</f>
        <v>768</v>
      </c>
      <c r="AE241" s="1029">
        <v>-11.3</v>
      </c>
      <c r="AF241" s="1029"/>
      <c r="AG241" s="1029">
        <v>31</v>
      </c>
      <c r="AH241" s="1029">
        <f>AG241*(списки!$C$56-AE241)</f>
        <v>970.30000000000007</v>
      </c>
      <c r="AI241" s="1030">
        <v>-13.9</v>
      </c>
      <c r="AJ241" s="1030"/>
      <c r="AK241" s="1030">
        <v>31</v>
      </c>
      <c r="AL241" s="1030">
        <f>AK241*(списки!$C$56-AI241)</f>
        <v>1050.8999999999999</v>
      </c>
      <c r="AM241" s="1031">
        <v>-12.3</v>
      </c>
      <c r="AN241" s="1031"/>
      <c r="AO241" s="1031">
        <v>28</v>
      </c>
      <c r="AP241" s="1031">
        <f>AO241*(списки!$C$56-AM241)</f>
        <v>904.39999999999986</v>
      </c>
      <c r="AQ241" s="1026">
        <v>-4.5</v>
      </c>
      <c r="AR241" s="1026"/>
      <c r="AS241" s="1026">
        <f t="shared" si="38"/>
        <v>31</v>
      </c>
      <c r="AT241" s="1026">
        <f>AS241*(списки!$C$56-AQ241)</f>
        <v>759.5</v>
      </c>
      <c r="AU241" s="1032">
        <v>3.5</v>
      </c>
      <c r="AV241" s="1032"/>
      <c r="AW241" s="1032">
        <f t="shared" si="39"/>
        <v>30</v>
      </c>
      <c r="AX241" s="1032">
        <f>AW241*(списки!$C$56-AU241)</f>
        <v>495</v>
      </c>
      <c r="AY241" s="1033">
        <v>10.6</v>
      </c>
      <c r="AZ241" s="1033"/>
      <c r="BA241" s="1033">
        <f t="shared" si="40"/>
        <v>6.5</v>
      </c>
      <c r="BB241" s="1033">
        <f>BA241*(списки!$C$56-AY241)</f>
        <v>61.1</v>
      </c>
      <c r="BC241" s="1034">
        <v>15.8</v>
      </c>
      <c r="BD241" s="1034"/>
      <c r="BE241" s="1034">
        <f t="shared" si="41"/>
        <v>0</v>
      </c>
      <c r="BF241" s="1035">
        <f>BE241*(списки!$C$56-BC241)</f>
        <v>0</v>
      </c>
      <c r="BG241" s="1424">
        <v>5507.4178571428565</v>
      </c>
      <c r="BH241" s="1424">
        <v>5641.5499999999984</v>
      </c>
    </row>
    <row r="242" spans="2:60" ht="15.75" customHeight="1" x14ac:dyDescent="0.25">
      <c r="B242" s="1038" t="s">
        <v>619</v>
      </c>
      <c r="C242" s="1038" t="s">
        <v>251</v>
      </c>
      <c r="D242" s="1015" t="str">
        <f t="shared" si="43"/>
        <v>Пермская областьЧердынь</v>
      </c>
      <c r="E242" s="1016">
        <v>245</v>
      </c>
      <c r="F242" s="1017">
        <v>-6.7</v>
      </c>
      <c r="G242" s="1017">
        <v>-37</v>
      </c>
      <c r="H242" s="1019">
        <f>H241</f>
        <v>3.4</v>
      </c>
      <c r="I242" s="1020">
        <f>E242*(списки!$C$56-F242)</f>
        <v>6541.5</v>
      </c>
      <c r="J242" s="1021" t="str">
        <f t="shared" si="33"/>
        <v>6000-7000</v>
      </c>
      <c r="K242" s="1022">
        <v>16.899999999999999</v>
      </c>
      <c r="L242" s="1022"/>
      <c r="M242" s="1023">
        <f t="shared" si="34"/>
        <v>0</v>
      </c>
      <c r="N242" s="1024">
        <f>M242*(списки!$C$56-K242)</f>
        <v>0</v>
      </c>
      <c r="O242" s="1025">
        <v>14.3</v>
      </c>
      <c r="P242" s="1025"/>
      <c r="Q242" s="1025">
        <f t="shared" si="35"/>
        <v>0</v>
      </c>
      <c r="R242" s="1025">
        <f>Q242*(списки!$C$56-O242)</f>
        <v>0</v>
      </c>
      <c r="S242" s="1026">
        <v>8</v>
      </c>
      <c r="T242" s="1026"/>
      <c r="U242" s="1026">
        <f t="shared" si="42"/>
        <v>16.5</v>
      </c>
      <c r="V242" s="1026">
        <f>U242*(списки!$C$56-S242)</f>
        <v>198</v>
      </c>
      <c r="W242" s="1027">
        <v>-0.3</v>
      </c>
      <c r="X242" s="1027"/>
      <c r="Y242" s="1027">
        <f t="shared" si="36"/>
        <v>31</v>
      </c>
      <c r="Z242" s="1027">
        <f>Y242*(списки!$C$56-W242)</f>
        <v>629.30000000000007</v>
      </c>
      <c r="AA242" s="1028">
        <v>-8.3000000000000007</v>
      </c>
      <c r="AB242" s="1028"/>
      <c r="AC242" s="1028">
        <f t="shared" si="37"/>
        <v>30</v>
      </c>
      <c r="AD242" s="1028">
        <f>AC242*(списки!$C$56-AA242)</f>
        <v>849</v>
      </c>
      <c r="AE242" s="1029">
        <v>-14.4</v>
      </c>
      <c r="AF242" s="1029"/>
      <c r="AG242" s="1029">
        <v>31</v>
      </c>
      <c r="AH242" s="1029">
        <f>AG242*(списки!$C$56-AE242)</f>
        <v>1066.3999999999999</v>
      </c>
      <c r="AI242" s="1030">
        <v>-17</v>
      </c>
      <c r="AJ242" s="1030"/>
      <c r="AK242" s="1030">
        <v>31</v>
      </c>
      <c r="AL242" s="1030">
        <f>AK242*(списки!$C$56-AI242)</f>
        <v>1147</v>
      </c>
      <c r="AM242" s="1031">
        <v>-14.8</v>
      </c>
      <c r="AN242" s="1031"/>
      <c r="AO242" s="1031">
        <v>28</v>
      </c>
      <c r="AP242" s="1031">
        <f>AO242*(списки!$C$56-AM242)</f>
        <v>974.39999999999986</v>
      </c>
      <c r="AQ242" s="1026">
        <v>-7.9</v>
      </c>
      <c r="AR242" s="1026"/>
      <c r="AS242" s="1026">
        <f t="shared" si="38"/>
        <v>31</v>
      </c>
      <c r="AT242" s="1026">
        <f>AS242*(списки!$C$56-AQ242)</f>
        <v>864.9</v>
      </c>
      <c r="AU242" s="1032">
        <v>1.4</v>
      </c>
      <c r="AV242" s="1032"/>
      <c r="AW242" s="1032">
        <f t="shared" si="39"/>
        <v>30</v>
      </c>
      <c r="AX242" s="1032">
        <f>AW242*(списки!$C$56-AU242)</f>
        <v>558</v>
      </c>
      <c r="AY242" s="1033">
        <v>8</v>
      </c>
      <c r="AZ242" s="1033"/>
      <c r="BA242" s="1033">
        <f t="shared" si="40"/>
        <v>16.5</v>
      </c>
      <c r="BB242" s="1033">
        <f>BA242*(списки!$C$56-AY242)</f>
        <v>198</v>
      </c>
      <c r="BC242" s="1034">
        <v>14.4</v>
      </c>
      <c r="BD242" s="1034"/>
      <c r="BE242" s="1034">
        <f t="shared" si="41"/>
        <v>0</v>
      </c>
      <c r="BF242" s="1035">
        <f>BE242*(списки!$C$56-BC242)</f>
        <v>0</v>
      </c>
      <c r="BG242" s="1424">
        <v>5885.8821428571455</v>
      </c>
      <c r="BH242" s="1424">
        <v>6257.8624999999947</v>
      </c>
    </row>
    <row r="243" spans="2:60" ht="15.75" customHeight="1" x14ac:dyDescent="0.25">
      <c r="B243" s="1014" t="s">
        <v>254</v>
      </c>
      <c r="C243" s="1014" t="s">
        <v>672</v>
      </c>
      <c r="D243" s="1015" t="str">
        <f t="shared" si="43"/>
        <v>Приморский крайАгзу</v>
      </c>
      <c r="E243" s="1016">
        <v>231</v>
      </c>
      <c r="F243" s="1017">
        <v>-7.9</v>
      </c>
      <c r="G243" s="1017">
        <v>-28</v>
      </c>
      <c r="H243" s="1019">
        <f>H244</f>
        <v>7.3</v>
      </c>
      <c r="I243" s="1020">
        <f>E243*(списки!$C$56-F243)</f>
        <v>6444.9</v>
      </c>
      <c r="J243" s="1021" t="str">
        <f t="shared" si="33"/>
        <v>6000-7000</v>
      </c>
      <c r="K243" s="1022">
        <v>17.3</v>
      </c>
      <c r="L243" s="1022"/>
      <c r="M243" s="1023">
        <f t="shared" si="34"/>
        <v>0</v>
      </c>
      <c r="N243" s="1024">
        <f>M243*(списки!$C$56-K243)</f>
        <v>0</v>
      </c>
      <c r="O243" s="1025">
        <v>17.2</v>
      </c>
      <c r="P243" s="1025"/>
      <c r="Q243" s="1025">
        <f t="shared" si="35"/>
        <v>0</v>
      </c>
      <c r="R243" s="1025">
        <f>Q243*(списки!$C$56-O243)</f>
        <v>0</v>
      </c>
      <c r="S243" s="1026">
        <v>11.1</v>
      </c>
      <c r="T243" s="1026"/>
      <c r="U243" s="1026">
        <f t="shared" si="42"/>
        <v>9.5</v>
      </c>
      <c r="V243" s="1026">
        <f>U243*(списки!$C$56-S243)</f>
        <v>84.55</v>
      </c>
      <c r="W243" s="1027">
        <v>2.9</v>
      </c>
      <c r="X243" s="1027"/>
      <c r="Y243" s="1027">
        <f t="shared" si="36"/>
        <v>31</v>
      </c>
      <c r="Z243" s="1027">
        <f>Y243*(списки!$C$56-W243)</f>
        <v>530.1</v>
      </c>
      <c r="AA243" s="1028">
        <v>-8.4</v>
      </c>
      <c r="AB243" s="1028"/>
      <c r="AC243" s="1028">
        <f t="shared" si="37"/>
        <v>30</v>
      </c>
      <c r="AD243" s="1028">
        <f>AC243*(списки!$C$56-AA243)</f>
        <v>852</v>
      </c>
      <c r="AE243" s="1029">
        <v>-18</v>
      </c>
      <c r="AF243" s="1029"/>
      <c r="AG243" s="1029">
        <v>31</v>
      </c>
      <c r="AH243" s="1029">
        <f>AG243*(списки!$C$56-AE243)</f>
        <v>1178</v>
      </c>
      <c r="AI243" s="1030">
        <v>-20.3</v>
      </c>
      <c r="AJ243" s="1030"/>
      <c r="AK243" s="1030">
        <v>31</v>
      </c>
      <c r="AL243" s="1030">
        <f>AK243*(списки!$C$56-AI243)</f>
        <v>1249.3</v>
      </c>
      <c r="AM243" s="1031">
        <v>-15.8</v>
      </c>
      <c r="AN243" s="1031"/>
      <c r="AO243" s="1031">
        <v>28</v>
      </c>
      <c r="AP243" s="1031">
        <f>AO243*(списки!$C$56-AM243)</f>
        <v>1002.3999999999999</v>
      </c>
      <c r="AQ243" s="1026">
        <v>-7.1</v>
      </c>
      <c r="AR243" s="1026"/>
      <c r="AS243" s="1026">
        <f t="shared" si="38"/>
        <v>31</v>
      </c>
      <c r="AT243" s="1026">
        <f>AS243*(списки!$C$56-AQ243)</f>
        <v>840.1</v>
      </c>
      <c r="AU243" s="1032">
        <v>2.1</v>
      </c>
      <c r="AV243" s="1032"/>
      <c r="AW243" s="1032">
        <f t="shared" si="39"/>
        <v>30</v>
      </c>
      <c r="AX243" s="1032">
        <f>AW243*(списки!$C$56-AU243)</f>
        <v>537</v>
      </c>
      <c r="AY243" s="1033">
        <v>8.3000000000000007</v>
      </c>
      <c r="AZ243" s="1033"/>
      <c r="BA243" s="1033">
        <f t="shared" si="40"/>
        <v>9.5</v>
      </c>
      <c r="BB243" s="1033">
        <f>BA243*(списки!$C$56-AY243)</f>
        <v>111.14999999999999</v>
      </c>
      <c r="BC243" s="1034">
        <v>13.3</v>
      </c>
      <c r="BD243" s="1034"/>
      <c r="BE243" s="1034">
        <f t="shared" si="41"/>
        <v>0</v>
      </c>
      <c r="BF243" s="1035">
        <f>BE243*(списки!$C$56-BC243)</f>
        <v>0</v>
      </c>
      <c r="BG243" s="1424">
        <v>6262.8607142857172</v>
      </c>
      <c r="BH243" s="1424">
        <v>6091.1440476190492</v>
      </c>
    </row>
    <row r="244" spans="2:60" ht="15.75" customHeight="1" x14ac:dyDescent="0.25">
      <c r="B244" s="1038" t="s">
        <v>254</v>
      </c>
      <c r="C244" s="1038" t="s">
        <v>256</v>
      </c>
      <c r="D244" s="1015" t="str">
        <f t="shared" si="43"/>
        <v>Приморский крайАнучино</v>
      </c>
      <c r="E244" s="1016">
        <v>203</v>
      </c>
      <c r="F244" s="1017">
        <v>-8.1</v>
      </c>
      <c r="G244" s="1017">
        <v>-31</v>
      </c>
      <c r="H244" s="1019">
        <f>H245</f>
        <v>7.3</v>
      </c>
      <c r="I244" s="1020">
        <f>E244*(списки!$C$56-F244)</f>
        <v>5704.3</v>
      </c>
      <c r="J244" s="1021" t="str">
        <f t="shared" si="33"/>
        <v>5000-6000</v>
      </c>
      <c r="K244" s="1022">
        <v>21.1</v>
      </c>
      <c r="L244" s="1022"/>
      <c r="M244" s="1023">
        <f t="shared" si="34"/>
        <v>0</v>
      </c>
      <c r="N244" s="1024">
        <f>M244*(списки!$C$56-K244)</f>
        <v>0</v>
      </c>
      <c r="O244" s="1025">
        <v>20.6</v>
      </c>
      <c r="P244" s="1025"/>
      <c r="Q244" s="1025">
        <f t="shared" si="35"/>
        <v>0</v>
      </c>
      <c r="R244" s="1025">
        <f>Q244*(списки!$C$56-O244)</f>
        <v>0</v>
      </c>
      <c r="S244" s="1026">
        <v>13.7</v>
      </c>
      <c r="T244" s="1026"/>
      <c r="U244" s="1026">
        <f t="shared" si="42"/>
        <v>0</v>
      </c>
      <c r="V244" s="1026">
        <f>U244*(списки!$C$56-S244)</f>
        <v>0</v>
      </c>
      <c r="W244" s="1027">
        <v>5.7</v>
      </c>
      <c r="X244" s="1027"/>
      <c r="Y244" s="1027">
        <f t="shared" si="36"/>
        <v>26</v>
      </c>
      <c r="Z244" s="1027">
        <f>Y244*(списки!$C$56-W244)</f>
        <v>371.8</v>
      </c>
      <c r="AA244" s="1028">
        <v>-5.7</v>
      </c>
      <c r="AB244" s="1028"/>
      <c r="AC244" s="1028">
        <f t="shared" si="37"/>
        <v>30</v>
      </c>
      <c r="AD244" s="1028">
        <f>AC244*(списки!$C$56-AA244)</f>
        <v>771</v>
      </c>
      <c r="AE244" s="1029">
        <v>-16.7</v>
      </c>
      <c r="AF244" s="1029"/>
      <c r="AG244" s="1029">
        <v>31</v>
      </c>
      <c r="AH244" s="1029">
        <f>AG244*(списки!$C$56-AE244)</f>
        <v>1137.7</v>
      </c>
      <c r="AI244" s="1030">
        <v>-20.3</v>
      </c>
      <c r="AJ244" s="1030"/>
      <c r="AK244" s="1030">
        <v>31</v>
      </c>
      <c r="AL244" s="1030">
        <f>AK244*(списки!$C$56-AI244)</f>
        <v>1249.3</v>
      </c>
      <c r="AM244" s="1031">
        <v>-16</v>
      </c>
      <c r="AN244" s="1031"/>
      <c r="AO244" s="1031">
        <v>28</v>
      </c>
      <c r="AP244" s="1031">
        <f>AO244*(списки!$C$56-AM244)</f>
        <v>1008</v>
      </c>
      <c r="AQ244" s="1026">
        <v>-5.9</v>
      </c>
      <c r="AR244" s="1026"/>
      <c r="AS244" s="1026">
        <f t="shared" si="38"/>
        <v>31</v>
      </c>
      <c r="AT244" s="1026">
        <f>AS244*(списки!$C$56-AQ244)</f>
        <v>802.9</v>
      </c>
      <c r="AU244" s="1032">
        <v>5</v>
      </c>
      <c r="AV244" s="1032"/>
      <c r="AW244" s="1032">
        <f t="shared" si="39"/>
        <v>26</v>
      </c>
      <c r="AX244" s="1032">
        <f>AW244*(списки!$C$56-AU244)</f>
        <v>390</v>
      </c>
      <c r="AY244" s="1033">
        <v>12.1</v>
      </c>
      <c r="AZ244" s="1033"/>
      <c r="BA244" s="1033">
        <f t="shared" si="40"/>
        <v>0</v>
      </c>
      <c r="BB244" s="1033">
        <f>BA244*(списки!$C$56-AY244)</f>
        <v>0</v>
      </c>
      <c r="BC244" s="1034">
        <v>17</v>
      </c>
      <c r="BD244" s="1034"/>
      <c r="BE244" s="1034">
        <f t="shared" si="41"/>
        <v>0</v>
      </c>
      <c r="BF244" s="1035">
        <f>BE244*(списки!$C$56-BC244)</f>
        <v>0</v>
      </c>
      <c r="BG244" s="1424">
        <v>5536.9500000000044</v>
      </c>
      <c r="BH244" s="1424">
        <v>5302.25</v>
      </c>
    </row>
    <row r="245" spans="2:60" ht="15.75" customHeight="1" x14ac:dyDescent="0.25">
      <c r="B245" s="1014" t="s">
        <v>254</v>
      </c>
      <c r="C245" s="1014" t="s">
        <v>257</v>
      </c>
      <c r="D245" s="1015" t="str">
        <f t="shared" si="43"/>
        <v>Приморский крайАстраханка</v>
      </c>
      <c r="E245" s="1016">
        <v>202</v>
      </c>
      <c r="F245" s="1017">
        <v>-6.6</v>
      </c>
      <c r="G245" s="1017">
        <v>-26</v>
      </c>
      <c r="H245" s="1019">
        <f>H246</f>
        <v>7.3</v>
      </c>
      <c r="I245" s="1020">
        <f>E245*(списки!$C$56-F245)</f>
        <v>5373.2000000000007</v>
      </c>
      <c r="J245" s="1021" t="str">
        <f t="shared" si="33"/>
        <v>5000-6000</v>
      </c>
      <c r="K245" s="1022">
        <v>20.6</v>
      </c>
      <c r="L245" s="1022"/>
      <c r="M245" s="1023">
        <f t="shared" si="34"/>
        <v>0</v>
      </c>
      <c r="N245" s="1024">
        <f>M245*(списки!$C$56-K245)</f>
        <v>0</v>
      </c>
      <c r="O245" s="1025">
        <v>20.9</v>
      </c>
      <c r="P245" s="1025"/>
      <c r="Q245" s="1025">
        <f t="shared" si="35"/>
        <v>0</v>
      </c>
      <c r="R245" s="1025">
        <f>Q245*(списки!$C$56-O245)</f>
        <v>0</v>
      </c>
      <c r="S245" s="1026">
        <v>14.9</v>
      </c>
      <c r="T245" s="1026"/>
      <c r="U245" s="1026">
        <f t="shared" si="42"/>
        <v>0</v>
      </c>
      <c r="V245" s="1026">
        <f>U245*(списки!$C$56-S245)</f>
        <v>0</v>
      </c>
      <c r="W245" s="1027">
        <v>6.7</v>
      </c>
      <c r="X245" s="1027"/>
      <c r="Y245" s="1027">
        <f t="shared" si="36"/>
        <v>25.5</v>
      </c>
      <c r="Z245" s="1027">
        <f>Y245*(списки!$C$56-W245)</f>
        <v>339.15000000000003</v>
      </c>
      <c r="AA245" s="1028">
        <v>-4.3</v>
      </c>
      <c r="AB245" s="1028"/>
      <c r="AC245" s="1028">
        <f t="shared" si="37"/>
        <v>30</v>
      </c>
      <c r="AD245" s="1028">
        <f>AC245*(списки!$C$56-AA245)</f>
        <v>729</v>
      </c>
      <c r="AE245" s="1029">
        <v>-13.9</v>
      </c>
      <c r="AF245" s="1029"/>
      <c r="AG245" s="1029">
        <v>31</v>
      </c>
      <c r="AH245" s="1029">
        <f>AG245*(списки!$C$56-AE245)</f>
        <v>1050.8999999999999</v>
      </c>
      <c r="AI245" s="1030">
        <v>-17.7</v>
      </c>
      <c r="AJ245" s="1030"/>
      <c r="AK245" s="1030">
        <v>31</v>
      </c>
      <c r="AL245" s="1030">
        <f>AK245*(списки!$C$56-AI245)</f>
        <v>1168.7</v>
      </c>
      <c r="AM245" s="1031">
        <v>-13.6</v>
      </c>
      <c r="AN245" s="1031"/>
      <c r="AO245" s="1031">
        <v>28</v>
      </c>
      <c r="AP245" s="1031">
        <f>AO245*(списки!$C$56-AM245)</f>
        <v>940.80000000000007</v>
      </c>
      <c r="AQ245" s="1026">
        <v>-4.8</v>
      </c>
      <c r="AR245" s="1026"/>
      <c r="AS245" s="1026">
        <f t="shared" si="38"/>
        <v>31</v>
      </c>
      <c r="AT245" s="1026">
        <f>AS245*(списки!$C$56-AQ245)</f>
        <v>768.80000000000007</v>
      </c>
      <c r="AU245" s="1032">
        <v>4.4000000000000004</v>
      </c>
      <c r="AV245" s="1032"/>
      <c r="AW245" s="1032">
        <f t="shared" si="39"/>
        <v>25.5</v>
      </c>
      <c r="AX245" s="1032">
        <f>AW245*(списки!$C$56-AU245)</f>
        <v>397.8</v>
      </c>
      <c r="AY245" s="1033">
        <v>11.6</v>
      </c>
      <c r="AZ245" s="1033"/>
      <c r="BA245" s="1033">
        <f t="shared" si="40"/>
        <v>0</v>
      </c>
      <c r="BB245" s="1033">
        <f>BA245*(списки!$C$56-AY245)</f>
        <v>0</v>
      </c>
      <c r="BC245" s="1034">
        <v>16.5</v>
      </c>
      <c r="BD245" s="1034"/>
      <c r="BE245" s="1034">
        <f t="shared" si="41"/>
        <v>0</v>
      </c>
      <c r="BF245" s="1035">
        <f>BE245*(списки!$C$56-BC245)</f>
        <v>0</v>
      </c>
      <c r="BG245" s="1424">
        <v>5341.0624999999982</v>
      </c>
      <c r="BH245" s="1424">
        <v>4948.5125000000035</v>
      </c>
    </row>
    <row r="246" spans="2:60" ht="15.75" customHeight="1" x14ac:dyDescent="0.25">
      <c r="B246" s="1038" t="s">
        <v>254</v>
      </c>
      <c r="C246" s="1038" t="s">
        <v>673</v>
      </c>
      <c r="D246" s="1015" t="str">
        <f t="shared" si="43"/>
        <v>Приморский крайБогополь</v>
      </c>
      <c r="E246" s="1016">
        <v>208</v>
      </c>
      <c r="F246" s="1017">
        <v>-4.2</v>
      </c>
      <c r="G246" s="1017">
        <v>-21</v>
      </c>
      <c r="H246" s="1019">
        <f>H247</f>
        <v>7.3</v>
      </c>
      <c r="I246" s="1020">
        <f>E246*(списки!$C$56-F246)</f>
        <v>5033.5999999999995</v>
      </c>
      <c r="J246" s="1021" t="str">
        <f t="shared" si="33"/>
        <v>5000-6000</v>
      </c>
      <c r="K246" s="1022">
        <v>17.7</v>
      </c>
      <c r="L246" s="1022"/>
      <c r="M246" s="1023">
        <f t="shared" si="34"/>
        <v>0</v>
      </c>
      <c r="N246" s="1024">
        <f>M246*(списки!$C$56-K246)</f>
        <v>0</v>
      </c>
      <c r="O246" s="1025">
        <v>19.2</v>
      </c>
      <c r="P246" s="1025"/>
      <c r="Q246" s="1025">
        <f t="shared" si="35"/>
        <v>0</v>
      </c>
      <c r="R246" s="1025">
        <f>Q246*(списки!$C$56-O246)</f>
        <v>0</v>
      </c>
      <c r="S246" s="1026">
        <v>14.1</v>
      </c>
      <c r="T246" s="1026"/>
      <c r="U246" s="1026">
        <f t="shared" si="42"/>
        <v>0</v>
      </c>
      <c r="V246" s="1026">
        <f>U246*(списки!$C$56-S246)</f>
        <v>0</v>
      </c>
      <c r="W246" s="1027">
        <v>6.9</v>
      </c>
      <c r="X246" s="1027"/>
      <c r="Y246" s="1027">
        <f t="shared" si="36"/>
        <v>28.5</v>
      </c>
      <c r="Z246" s="1027">
        <f>Y246*(списки!$C$56-W246)</f>
        <v>373.34999999999997</v>
      </c>
      <c r="AA246" s="1028">
        <v>-2.6</v>
      </c>
      <c r="AB246" s="1028"/>
      <c r="AC246" s="1028">
        <f t="shared" si="37"/>
        <v>30</v>
      </c>
      <c r="AD246" s="1028">
        <f>AC246*(списки!$C$56-AA246)</f>
        <v>678</v>
      </c>
      <c r="AE246" s="1029">
        <v>-10.8</v>
      </c>
      <c r="AF246" s="1029"/>
      <c r="AG246" s="1029">
        <v>31</v>
      </c>
      <c r="AH246" s="1029">
        <f>AG246*(списки!$C$56-AE246)</f>
        <v>954.80000000000007</v>
      </c>
      <c r="AI246" s="1030">
        <v>-13.3</v>
      </c>
      <c r="AJ246" s="1030"/>
      <c r="AK246" s="1030">
        <v>31</v>
      </c>
      <c r="AL246" s="1030">
        <f>AK246*(списки!$C$56-AI246)</f>
        <v>1032.3</v>
      </c>
      <c r="AM246" s="1031">
        <v>-10.1</v>
      </c>
      <c r="AN246" s="1031"/>
      <c r="AO246" s="1031">
        <v>28</v>
      </c>
      <c r="AP246" s="1031">
        <f>AO246*(списки!$C$56-AM246)</f>
        <v>842.80000000000007</v>
      </c>
      <c r="AQ246" s="1026">
        <v>-3.1</v>
      </c>
      <c r="AR246" s="1026"/>
      <c r="AS246" s="1026">
        <f t="shared" si="38"/>
        <v>31</v>
      </c>
      <c r="AT246" s="1026">
        <f>AS246*(списки!$C$56-AQ246)</f>
        <v>716.1</v>
      </c>
      <c r="AU246" s="1032">
        <v>4.2</v>
      </c>
      <c r="AV246" s="1032"/>
      <c r="AW246" s="1032">
        <f t="shared" si="39"/>
        <v>28.5</v>
      </c>
      <c r="AX246" s="1032">
        <f>AW246*(списки!$C$56-AU246)</f>
        <v>450.3</v>
      </c>
      <c r="AY246" s="1033">
        <v>9.5</v>
      </c>
      <c r="AZ246" s="1033"/>
      <c r="BA246" s="1033">
        <f t="shared" si="40"/>
        <v>0</v>
      </c>
      <c r="BB246" s="1033">
        <f>BA246*(списки!$C$56-AY246)</f>
        <v>0</v>
      </c>
      <c r="BC246" s="1034">
        <v>13.2</v>
      </c>
      <c r="BD246" s="1034"/>
      <c r="BE246" s="1034">
        <f t="shared" si="41"/>
        <v>0</v>
      </c>
      <c r="BF246" s="1035">
        <f>BE246*(списки!$C$56-BC246)</f>
        <v>0</v>
      </c>
      <c r="BG246" s="1424" t="e">
        <v>#N/A</v>
      </c>
      <c r="BH246" s="1424" t="e">
        <v>#N/A</v>
      </c>
    </row>
    <row r="247" spans="2:60" ht="15.75" customHeight="1" x14ac:dyDescent="0.25">
      <c r="B247" s="1014" t="s">
        <v>254</v>
      </c>
      <c r="C247" s="1014" t="s">
        <v>264</v>
      </c>
      <c r="D247" s="1015" t="str">
        <f t="shared" si="43"/>
        <v>Приморский крайВладивосток</v>
      </c>
      <c r="E247" s="1016">
        <v>198</v>
      </c>
      <c r="F247" s="1017">
        <v>-4.3</v>
      </c>
      <c r="G247" s="1017">
        <v>-23</v>
      </c>
      <c r="H247" s="1019">
        <v>7.3</v>
      </c>
      <c r="I247" s="1020">
        <f>E247*(списки!$C$56-F247)</f>
        <v>4811.4000000000005</v>
      </c>
      <c r="J247" s="1021" t="str">
        <f t="shared" si="33"/>
        <v>4000-5000</v>
      </c>
      <c r="K247" s="1022">
        <v>17.5</v>
      </c>
      <c r="L247" s="1022"/>
      <c r="M247" s="1023">
        <f t="shared" si="34"/>
        <v>0</v>
      </c>
      <c r="N247" s="1024">
        <f>M247*(списки!$C$56-K247)</f>
        <v>0</v>
      </c>
      <c r="O247" s="1025">
        <v>19.600000000000001</v>
      </c>
      <c r="P247" s="1025"/>
      <c r="Q247" s="1025">
        <f t="shared" si="35"/>
        <v>0</v>
      </c>
      <c r="R247" s="1025">
        <f>Q247*(списки!$C$56-O247)</f>
        <v>0</v>
      </c>
      <c r="S247" s="1026">
        <v>15.7</v>
      </c>
      <c r="T247" s="1026"/>
      <c r="U247" s="1026">
        <f t="shared" si="42"/>
        <v>0</v>
      </c>
      <c r="V247" s="1026">
        <f>U247*(списки!$C$56-S247)</f>
        <v>0</v>
      </c>
      <c r="W247" s="1027">
        <v>8.6999999999999993</v>
      </c>
      <c r="X247" s="1027"/>
      <c r="Y247" s="1027">
        <f t="shared" si="36"/>
        <v>23.5</v>
      </c>
      <c r="Z247" s="1027">
        <f>Y247*(списки!$C$56-W247)</f>
        <v>265.55</v>
      </c>
      <c r="AA247" s="1028">
        <v>-1</v>
      </c>
      <c r="AB247" s="1028"/>
      <c r="AC247" s="1028">
        <f t="shared" si="37"/>
        <v>30</v>
      </c>
      <c r="AD247" s="1028">
        <f>AC247*(списки!$C$56-AA247)</f>
        <v>630</v>
      </c>
      <c r="AE247" s="1029">
        <v>-9.3000000000000007</v>
      </c>
      <c r="AF247" s="1029"/>
      <c r="AG247" s="1029">
        <v>31</v>
      </c>
      <c r="AH247" s="1029">
        <f>AG247*(списки!$C$56-AE247)</f>
        <v>908.30000000000007</v>
      </c>
      <c r="AI247" s="1030">
        <v>-12.6</v>
      </c>
      <c r="AJ247" s="1030"/>
      <c r="AK247" s="1030">
        <v>31</v>
      </c>
      <c r="AL247" s="1030">
        <f>AK247*(списки!$C$56-AI247)</f>
        <v>1010.6</v>
      </c>
      <c r="AM247" s="1031">
        <v>-9.1</v>
      </c>
      <c r="AN247" s="1031"/>
      <c r="AO247" s="1031">
        <v>28</v>
      </c>
      <c r="AP247" s="1031">
        <f>AO247*(списки!$C$56-AM247)</f>
        <v>814.80000000000007</v>
      </c>
      <c r="AQ247" s="1026">
        <v>-2.1</v>
      </c>
      <c r="AR247" s="1026"/>
      <c r="AS247" s="1026">
        <f t="shared" si="38"/>
        <v>31</v>
      </c>
      <c r="AT247" s="1026">
        <f>AS247*(списки!$C$56-AQ247)</f>
        <v>685.1</v>
      </c>
      <c r="AU247" s="1032">
        <v>4.8</v>
      </c>
      <c r="AV247" s="1032"/>
      <c r="AW247" s="1032">
        <f t="shared" si="39"/>
        <v>23.5</v>
      </c>
      <c r="AX247" s="1032">
        <f>AW247*(списки!$C$56-AU247)</f>
        <v>357.2</v>
      </c>
      <c r="AY247" s="1033">
        <v>9.6999999999999993</v>
      </c>
      <c r="AZ247" s="1033"/>
      <c r="BA247" s="1033">
        <f t="shared" si="40"/>
        <v>0</v>
      </c>
      <c r="BB247" s="1033">
        <f>BA247*(списки!$C$56-AY247)</f>
        <v>0</v>
      </c>
      <c r="BC247" s="1034">
        <v>13.2</v>
      </c>
      <c r="BD247" s="1034"/>
      <c r="BE247" s="1034">
        <f t="shared" si="41"/>
        <v>0</v>
      </c>
      <c r="BF247" s="1035">
        <f>BE247*(списки!$C$56-BC247)</f>
        <v>0</v>
      </c>
      <c r="BG247" s="1424">
        <v>4597.3875000000007</v>
      </c>
      <c r="BH247" s="1424">
        <v>4277.55</v>
      </c>
    </row>
    <row r="248" spans="2:60" ht="15.75" customHeight="1" x14ac:dyDescent="0.25">
      <c r="B248" s="1038" t="s">
        <v>254</v>
      </c>
      <c r="C248" s="1038" t="s">
        <v>259</v>
      </c>
      <c r="D248" s="1015" t="str">
        <f t="shared" si="43"/>
        <v>Приморский крайДальнереченск</v>
      </c>
      <c r="E248" s="1016">
        <v>199</v>
      </c>
      <c r="F248" s="1017">
        <v>-8.6999999999999993</v>
      </c>
      <c r="G248" s="1017">
        <v>-29</v>
      </c>
      <c r="H248" s="1019">
        <v>2.9</v>
      </c>
      <c r="I248" s="1020">
        <f>E248*(списки!$C$56-F248)</f>
        <v>5711.3</v>
      </c>
      <c r="J248" s="1021" t="str">
        <f t="shared" si="33"/>
        <v>5000-6000</v>
      </c>
      <c r="K248" s="1022">
        <v>21.2</v>
      </c>
      <c r="L248" s="1022"/>
      <c r="M248" s="1023">
        <f t="shared" si="34"/>
        <v>0</v>
      </c>
      <c r="N248" s="1024">
        <f>M248*(списки!$C$56-K248)</f>
        <v>0</v>
      </c>
      <c r="O248" s="1025">
        <v>20.3</v>
      </c>
      <c r="P248" s="1025"/>
      <c r="Q248" s="1025">
        <f t="shared" si="35"/>
        <v>0</v>
      </c>
      <c r="R248" s="1025">
        <f>Q248*(списки!$C$56-O248)</f>
        <v>0</v>
      </c>
      <c r="S248" s="1026">
        <v>13.9</v>
      </c>
      <c r="T248" s="1026"/>
      <c r="U248" s="1026">
        <f t="shared" si="42"/>
        <v>0</v>
      </c>
      <c r="V248" s="1026">
        <f>U248*(списки!$C$56-S248)</f>
        <v>0</v>
      </c>
      <c r="W248" s="1027">
        <v>5.6</v>
      </c>
      <c r="X248" s="1027"/>
      <c r="Y248" s="1027">
        <f t="shared" si="36"/>
        <v>24</v>
      </c>
      <c r="Z248" s="1027">
        <f>Y248*(списки!$C$56-W248)</f>
        <v>345.6</v>
      </c>
      <c r="AA248" s="1028">
        <v>-5.8</v>
      </c>
      <c r="AB248" s="1028"/>
      <c r="AC248" s="1028">
        <f t="shared" si="37"/>
        <v>30</v>
      </c>
      <c r="AD248" s="1028">
        <f>AC248*(списки!$C$56-AA248)</f>
        <v>774</v>
      </c>
      <c r="AE248" s="1029">
        <v>-16.2</v>
      </c>
      <c r="AF248" s="1029"/>
      <c r="AG248" s="1029">
        <v>31</v>
      </c>
      <c r="AH248" s="1029">
        <f>AG248*(списки!$C$56-AE248)</f>
        <v>1122.2</v>
      </c>
      <c r="AI248" s="1030">
        <v>-19.3</v>
      </c>
      <c r="AJ248" s="1030"/>
      <c r="AK248" s="1030">
        <v>31</v>
      </c>
      <c r="AL248" s="1030">
        <f>AK248*(списки!$C$56-AI248)</f>
        <v>1218.3</v>
      </c>
      <c r="AM248" s="1031">
        <v>-14.8</v>
      </c>
      <c r="AN248" s="1031"/>
      <c r="AO248" s="1031">
        <v>28</v>
      </c>
      <c r="AP248" s="1031">
        <f>AO248*(списки!$C$56-AM248)</f>
        <v>974.39999999999986</v>
      </c>
      <c r="AQ248" s="1026">
        <v>-5.3</v>
      </c>
      <c r="AR248" s="1026"/>
      <c r="AS248" s="1026">
        <f t="shared" si="38"/>
        <v>31</v>
      </c>
      <c r="AT248" s="1026">
        <f>AS248*(списки!$C$56-AQ248)</f>
        <v>784.30000000000007</v>
      </c>
      <c r="AU248" s="1032">
        <v>5.6</v>
      </c>
      <c r="AV248" s="1032"/>
      <c r="AW248" s="1032">
        <f t="shared" si="39"/>
        <v>24</v>
      </c>
      <c r="AX248" s="1032">
        <f>AW248*(списки!$C$56-AU248)</f>
        <v>345.6</v>
      </c>
      <c r="AY248" s="1033">
        <v>12.7</v>
      </c>
      <c r="AZ248" s="1033"/>
      <c r="BA248" s="1033">
        <f t="shared" si="40"/>
        <v>0</v>
      </c>
      <c r="BB248" s="1033">
        <f>BA248*(списки!$C$56-AY248)</f>
        <v>0</v>
      </c>
      <c r="BC248" s="1034">
        <v>17.7</v>
      </c>
      <c r="BD248" s="1034"/>
      <c r="BE248" s="1034">
        <f t="shared" si="41"/>
        <v>0</v>
      </c>
      <c r="BF248" s="1035">
        <f>BE248*(списки!$C$56-BC248)</f>
        <v>0</v>
      </c>
      <c r="BG248" s="1424">
        <v>5765.1124999999984</v>
      </c>
      <c r="BH248" s="1424">
        <v>5411.0250000000033</v>
      </c>
    </row>
    <row r="249" spans="2:60" ht="15.75" customHeight="1" x14ac:dyDescent="0.25">
      <c r="B249" s="1014" t="s">
        <v>254</v>
      </c>
      <c r="C249" s="1014" t="s">
        <v>674</v>
      </c>
      <c r="D249" s="1015" t="str">
        <f t="shared" si="43"/>
        <v>Приморский крайКировский</v>
      </c>
      <c r="E249" s="1016">
        <v>201</v>
      </c>
      <c r="F249" s="1017">
        <v>-8.8000000000000007</v>
      </c>
      <c r="G249" s="1017">
        <v>-31</v>
      </c>
      <c r="H249" s="1019">
        <f>H248</f>
        <v>2.9</v>
      </c>
      <c r="I249" s="1020">
        <f>E249*(списки!$C$56-F249)</f>
        <v>5788.8</v>
      </c>
      <c r="J249" s="1021" t="str">
        <f t="shared" si="33"/>
        <v>5000-6000</v>
      </c>
      <c r="K249" s="1022">
        <v>21.5</v>
      </c>
      <c r="L249" s="1022"/>
      <c r="M249" s="1023">
        <f t="shared" si="34"/>
        <v>0</v>
      </c>
      <c r="N249" s="1024">
        <f>M249*(списки!$C$56-K249)</f>
        <v>0</v>
      </c>
      <c r="O249" s="1025">
        <v>20.8</v>
      </c>
      <c r="P249" s="1025"/>
      <c r="Q249" s="1025">
        <f t="shared" si="35"/>
        <v>0</v>
      </c>
      <c r="R249" s="1025">
        <f>Q249*(списки!$C$56-O249)</f>
        <v>0</v>
      </c>
      <c r="S249" s="1026">
        <v>14.2</v>
      </c>
      <c r="T249" s="1026"/>
      <c r="U249" s="1026">
        <f t="shared" si="42"/>
        <v>0</v>
      </c>
      <c r="V249" s="1026">
        <f>U249*(списки!$C$56-S249)</f>
        <v>0</v>
      </c>
      <c r="W249" s="1027">
        <v>5.9</v>
      </c>
      <c r="X249" s="1027"/>
      <c r="Y249" s="1027">
        <f t="shared" si="36"/>
        <v>25</v>
      </c>
      <c r="Z249" s="1027">
        <f>Y249*(списки!$C$56-W249)</f>
        <v>352.5</v>
      </c>
      <c r="AA249" s="1028">
        <v>-5.8</v>
      </c>
      <c r="AB249" s="1028"/>
      <c r="AC249" s="1028">
        <f t="shared" si="37"/>
        <v>30</v>
      </c>
      <c r="AD249" s="1028">
        <f>AC249*(списки!$C$56-AA249)</f>
        <v>774</v>
      </c>
      <c r="AE249" s="1029">
        <v>-16.7</v>
      </c>
      <c r="AF249" s="1029"/>
      <c r="AG249" s="1029">
        <v>31</v>
      </c>
      <c r="AH249" s="1029">
        <f>AG249*(списки!$C$56-AE249)</f>
        <v>1137.7</v>
      </c>
      <c r="AI249" s="1030">
        <v>-20.6</v>
      </c>
      <c r="AJ249" s="1030"/>
      <c r="AK249" s="1030">
        <v>31</v>
      </c>
      <c r="AL249" s="1030">
        <f>AK249*(списки!$C$56-AI249)</f>
        <v>1258.6000000000001</v>
      </c>
      <c r="AM249" s="1031">
        <v>-16.899999999999999</v>
      </c>
      <c r="AN249" s="1031"/>
      <c r="AO249" s="1031">
        <v>28</v>
      </c>
      <c r="AP249" s="1031">
        <f>AO249*(списки!$C$56-AM249)</f>
        <v>1033.2</v>
      </c>
      <c r="AQ249" s="1026">
        <v>-6.4</v>
      </c>
      <c r="AR249" s="1026"/>
      <c r="AS249" s="1026">
        <f t="shared" si="38"/>
        <v>31</v>
      </c>
      <c r="AT249" s="1026">
        <f>AS249*(списки!$C$56-AQ249)</f>
        <v>818.4</v>
      </c>
      <c r="AU249" s="1032">
        <v>5.0999999999999996</v>
      </c>
      <c r="AV249" s="1032"/>
      <c r="AW249" s="1032">
        <f t="shared" si="39"/>
        <v>25</v>
      </c>
      <c r="AX249" s="1032">
        <f>AW249*(списки!$C$56-AU249)</f>
        <v>372.5</v>
      </c>
      <c r="AY249" s="1033">
        <v>12.7</v>
      </c>
      <c r="AZ249" s="1033"/>
      <c r="BA249" s="1033">
        <f t="shared" si="40"/>
        <v>0</v>
      </c>
      <c r="BB249" s="1033">
        <f>BA249*(списки!$C$56-AY249)</f>
        <v>0</v>
      </c>
      <c r="BC249" s="1034">
        <v>17.600000000000001</v>
      </c>
      <c r="BD249" s="1034"/>
      <c r="BE249" s="1034">
        <f t="shared" si="41"/>
        <v>0</v>
      </c>
      <c r="BF249" s="1035">
        <f>BE249*(списки!$C$56-BC249)</f>
        <v>0</v>
      </c>
      <c r="BG249" s="1424">
        <v>5614.8375000000024</v>
      </c>
      <c r="BH249" s="1424">
        <v>5332.125</v>
      </c>
    </row>
    <row r="250" spans="2:60" ht="15.75" customHeight="1" x14ac:dyDescent="0.25">
      <c r="B250" s="1038" t="s">
        <v>254</v>
      </c>
      <c r="C250" s="1038" t="s">
        <v>260</v>
      </c>
      <c r="D250" s="1015" t="str">
        <f t="shared" si="43"/>
        <v>Приморский крайКрасный Яр</v>
      </c>
      <c r="E250" s="1016">
        <v>217</v>
      </c>
      <c r="F250" s="1017">
        <v>-10</v>
      </c>
      <c r="G250" s="1017">
        <v>-34</v>
      </c>
      <c r="H250" s="1019">
        <f>H249</f>
        <v>2.9</v>
      </c>
      <c r="I250" s="1020">
        <f>E250*(списки!$C$56-F250)</f>
        <v>6510</v>
      </c>
      <c r="J250" s="1021" t="str">
        <f t="shared" si="33"/>
        <v>6000-7000</v>
      </c>
      <c r="K250" s="1022">
        <v>20.399999999999999</v>
      </c>
      <c r="L250" s="1022"/>
      <c r="M250" s="1023">
        <f t="shared" si="34"/>
        <v>0</v>
      </c>
      <c r="N250" s="1024">
        <f>M250*(списки!$C$56-K250)</f>
        <v>0</v>
      </c>
      <c r="O250" s="1025">
        <v>19.100000000000001</v>
      </c>
      <c r="P250" s="1025"/>
      <c r="Q250" s="1025">
        <f t="shared" si="35"/>
        <v>0</v>
      </c>
      <c r="R250" s="1025">
        <f>Q250*(списки!$C$56-O250)</f>
        <v>0</v>
      </c>
      <c r="S250" s="1026">
        <v>12.1</v>
      </c>
      <c r="T250" s="1026"/>
      <c r="U250" s="1026">
        <f t="shared" si="42"/>
        <v>2.5</v>
      </c>
      <c r="V250" s="1026">
        <f>U250*(списки!$C$56-S250)</f>
        <v>19.75</v>
      </c>
      <c r="W250" s="1027">
        <v>3.1</v>
      </c>
      <c r="X250" s="1027"/>
      <c r="Y250" s="1027">
        <f t="shared" si="36"/>
        <v>31</v>
      </c>
      <c r="Z250" s="1027">
        <f>Y250*(списки!$C$56-W250)</f>
        <v>523.9</v>
      </c>
      <c r="AA250" s="1028">
        <v>-8.9</v>
      </c>
      <c r="AB250" s="1028"/>
      <c r="AC250" s="1028">
        <f t="shared" si="37"/>
        <v>30</v>
      </c>
      <c r="AD250" s="1028">
        <f>AC250*(списки!$C$56-AA250)</f>
        <v>867</v>
      </c>
      <c r="AE250" s="1029">
        <v>-19.899999999999999</v>
      </c>
      <c r="AF250" s="1029"/>
      <c r="AG250" s="1029">
        <v>31</v>
      </c>
      <c r="AH250" s="1029">
        <f>AG250*(списки!$C$56-AE250)</f>
        <v>1236.8999999999999</v>
      </c>
      <c r="AI250" s="1030">
        <v>-23.4</v>
      </c>
      <c r="AJ250" s="1030"/>
      <c r="AK250" s="1030">
        <v>31</v>
      </c>
      <c r="AL250" s="1030">
        <f>AK250*(списки!$C$56-AI250)</f>
        <v>1345.3999999999999</v>
      </c>
      <c r="AM250" s="1031">
        <v>-19.100000000000001</v>
      </c>
      <c r="AN250" s="1031"/>
      <c r="AO250" s="1031">
        <v>28</v>
      </c>
      <c r="AP250" s="1031">
        <f>AO250*(списки!$C$56-AM250)</f>
        <v>1094.8</v>
      </c>
      <c r="AQ250" s="1026">
        <v>-8.1999999999999993</v>
      </c>
      <c r="AR250" s="1026"/>
      <c r="AS250" s="1026">
        <f t="shared" si="38"/>
        <v>31</v>
      </c>
      <c r="AT250" s="1026">
        <f>AS250*(списки!$C$56-AQ250)</f>
        <v>874.19999999999993</v>
      </c>
      <c r="AU250" s="1032">
        <v>3.1</v>
      </c>
      <c r="AV250" s="1032"/>
      <c r="AW250" s="1032">
        <f t="shared" si="39"/>
        <v>30</v>
      </c>
      <c r="AX250" s="1032">
        <f>AW250*(списки!$C$56-AU250)</f>
        <v>506.99999999999994</v>
      </c>
      <c r="AY250" s="1033">
        <v>10.7</v>
      </c>
      <c r="AZ250" s="1033"/>
      <c r="BA250" s="1033">
        <f t="shared" si="40"/>
        <v>2.5</v>
      </c>
      <c r="BB250" s="1033">
        <f>BA250*(списки!$C$56-AY250)</f>
        <v>23.25</v>
      </c>
      <c r="BC250" s="1034">
        <v>16.399999999999999</v>
      </c>
      <c r="BD250" s="1034"/>
      <c r="BE250" s="1034">
        <f t="shared" si="41"/>
        <v>0</v>
      </c>
      <c r="BF250" s="1035">
        <f>BE250*(списки!$C$56-BC250)</f>
        <v>0</v>
      </c>
      <c r="BG250" s="1424">
        <v>6394.4464285714312</v>
      </c>
      <c r="BH250" s="1424">
        <v>6046.2928571428547</v>
      </c>
    </row>
    <row r="251" spans="2:60" ht="15.75" customHeight="1" x14ac:dyDescent="0.25">
      <c r="B251" s="1014" t="s">
        <v>254</v>
      </c>
      <c r="C251" s="1014" t="s">
        <v>675</v>
      </c>
      <c r="D251" s="1015" t="str">
        <f t="shared" si="43"/>
        <v>Приморский крайМаргаритово</v>
      </c>
      <c r="E251" s="1016">
        <v>209</v>
      </c>
      <c r="F251" s="1017">
        <v>-4.0999999999999996</v>
      </c>
      <c r="G251" s="1017">
        <v>-21</v>
      </c>
      <c r="H251" s="1019">
        <f>H250</f>
        <v>2.9</v>
      </c>
      <c r="I251" s="1020">
        <f>E251*(списки!$C$56-F251)</f>
        <v>5036.9000000000005</v>
      </c>
      <c r="J251" s="1021" t="str">
        <f t="shared" si="33"/>
        <v>5000-6000</v>
      </c>
      <c r="K251" s="1022">
        <v>17.600000000000001</v>
      </c>
      <c r="L251" s="1022"/>
      <c r="M251" s="1023">
        <f t="shared" si="34"/>
        <v>0</v>
      </c>
      <c r="N251" s="1024">
        <f>M251*(списки!$C$56-K251)</f>
        <v>0</v>
      </c>
      <c r="O251" s="1025">
        <v>19.2</v>
      </c>
      <c r="P251" s="1025"/>
      <c r="Q251" s="1025">
        <f t="shared" si="35"/>
        <v>0</v>
      </c>
      <c r="R251" s="1025">
        <f>Q251*(списки!$C$56-O251)</f>
        <v>0</v>
      </c>
      <c r="S251" s="1026">
        <v>14.1</v>
      </c>
      <c r="T251" s="1026"/>
      <c r="U251" s="1026">
        <f t="shared" si="42"/>
        <v>0</v>
      </c>
      <c r="V251" s="1026">
        <f>U251*(списки!$C$56-S251)</f>
        <v>0</v>
      </c>
      <c r="W251" s="1027">
        <v>7</v>
      </c>
      <c r="X251" s="1027"/>
      <c r="Y251" s="1027">
        <f t="shared" si="36"/>
        <v>29</v>
      </c>
      <c r="Z251" s="1027">
        <f>Y251*(списки!$C$56-W251)</f>
        <v>377</v>
      </c>
      <c r="AA251" s="1028">
        <v>-1.9</v>
      </c>
      <c r="AB251" s="1028"/>
      <c r="AC251" s="1028">
        <f t="shared" si="37"/>
        <v>30</v>
      </c>
      <c r="AD251" s="1028">
        <f>AC251*(списки!$C$56-AA251)</f>
        <v>657</v>
      </c>
      <c r="AE251" s="1029">
        <v>-10.1</v>
      </c>
      <c r="AF251" s="1029"/>
      <c r="AG251" s="1029">
        <v>31</v>
      </c>
      <c r="AH251" s="1029">
        <f>AG251*(списки!$C$56-AE251)</f>
        <v>933.1</v>
      </c>
      <c r="AI251" s="1030">
        <v>-12.7</v>
      </c>
      <c r="AJ251" s="1030"/>
      <c r="AK251" s="1030">
        <v>31</v>
      </c>
      <c r="AL251" s="1030">
        <f>AK251*(списки!$C$56-AI251)</f>
        <v>1013.7</v>
      </c>
      <c r="AM251" s="1031">
        <v>-9.9</v>
      </c>
      <c r="AN251" s="1031"/>
      <c r="AO251" s="1031">
        <v>28</v>
      </c>
      <c r="AP251" s="1031">
        <f>AO251*(списки!$C$56-AM251)</f>
        <v>837.19999999999993</v>
      </c>
      <c r="AQ251" s="1026">
        <v>-3.2</v>
      </c>
      <c r="AR251" s="1026"/>
      <c r="AS251" s="1026">
        <f t="shared" si="38"/>
        <v>31</v>
      </c>
      <c r="AT251" s="1026">
        <f>AS251*(списки!$C$56-AQ251)</f>
        <v>719.19999999999993</v>
      </c>
      <c r="AU251" s="1032">
        <v>4</v>
      </c>
      <c r="AV251" s="1032"/>
      <c r="AW251" s="1032">
        <f t="shared" si="39"/>
        <v>29</v>
      </c>
      <c r="AX251" s="1032">
        <f>AW251*(списки!$C$56-AU251)</f>
        <v>464</v>
      </c>
      <c r="AY251" s="1033">
        <v>9.1</v>
      </c>
      <c r="AZ251" s="1033"/>
      <c r="BA251" s="1033">
        <f t="shared" si="40"/>
        <v>0</v>
      </c>
      <c r="BB251" s="1033">
        <f>BA251*(списки!$C$56-AY251)</f>
        <v>0</v>
      </c>
      <c r="BC251" s="1034">
        <v>13</v>
      </c>
      <c r="BD251" s="1034"/>
      <c r="BE251" s="1034">
        <f t="shared" si="41"/>
        <v>0</v>
      </c>
      <c r="BF251" s="1035">
        <f>BE251*(списки!$C$56-BC251)</f>
        <v>0</v>
      </c>
      <c r="BG251" s="1424" t="e">
        <v>#N/A</v>
      </c>
      <c r="BH251" s="1424" t="e">
        <v>#N/A</v>
      </c>
    </row>
    <row r="252" spans="2:60" ht="15.75" customHeight="1" x14ac:dyDescent="0.25">
      <c r="B252" s="1038" t="s">
        <v>254</v>
      </c>
      <c r="C252" s="1038" t="s">
        <v>261</v>
      </c>
      <c r="D252" s="1015" t="str">
        <f>CONCATENATE(B252,C252)</f>
        <v>Приморский крайМельничное</v>
      </c>
      <c r="E252" s="1016">
        <v>221</v>
      </c>
      <c r="F252" s="1017">
        <v>-9.6</v>
      </c>
      <c r="G252" s="1017">
        <v>-31</v>
      </c>
      <c r="H252" s="1019">
        <v>4.2</v>
      </c>
      <c r="I252" s="1020">
        <f>E252*(списки!$C$56-F252)</f>
        <v>6541.6</v>
      </c>
      <c r="J252" s="1021" t="str">
        <f t="shared" si="33"/>
        <v>6000-7000</v>
      </c>
      <c r="K252" s="1022">
        <v>19.2</v>
      </c>
      <c r="L252" s="1022"/>
      <c r="M252" s="1023">
        <f t="shared" si="34"/>
        <v>0</v>
      </c>
      <c r="N252" s="1024">
        <f>M252*(списки!$C$56-K252)</f>
        <v>0</v>
      </c>
      <c r="O252" s="1025">
        <v>18.399999999999999</v>
      </c>
      <c r="P252" s="1025"/>
      <c r="Q252" s="1025">
        <f t="shared" si="35"/>
        <v>0</v>
      </c>
      <c r="R252" s="1025">
        <f>Q252*(списки!$C$56-O252)</f>
        <v>0</v>
      </c>
      <c r="S252" s="1026">
        <v>11.4</v>
      </c>
      <c r="T252" s="1026"/>
      <c r="U252" s="1026">
        <f t="shared" si="42"/>
        <v>4.5</v>
      </c>
      <c r="V252" s="1026">
        <f>U252*(списки!$C$56-S252)</f>
        <v>38.699999999999996</v>
      </c>
      <c r="W252" s="1027">
        <v>2.9</v>
      </c>
      <c r="X252" s="1027"/>
      <c r="Y252" s="1027">
        <f t="shared" si="36"/>
        <v>31</v>
      </c>
      <c r="Z252" s="1027">
        <f>Y252*(списки!$C$56-W252)</f>
        <v>530.1</v>
      </c>
      <c r="AA252" s="1028">
        <v>-8.6</v>
      </c>
      <c r="AB252" s="1028"/>
      <c r="AC252" s="1028">
        <f t="shared" si="37"/>
        <v>30</v>
      </c>
      <c r="AD252" s="1028">
        <f>AC252*(списки!$C$56-AA252)</f>
        <v>858</v>
      </c>
      <c r="AE252" s="1029">
        <v>-19.2</v>
      </c>
      <c r="AF252" s="1029"/>
      <c r="AG252" s="1029">
        <v>31</v>
      </c>
      <c r="AH252" s="1029">
        <f>AG252*(списки!$C$56-AE252)</f>
        <v>1215.2</v>
      </c>
      <c r="AI252" s="1030">
        <v>-21.9</v>
      </c>
      <c r="AJ252" s="1030"/>
      <c r="AK252" s="1030">
        <v>31</v>
      </c>
      <c r="AL252" s="1030">
        <f>AK252*(списки!$C$56-AI252)</f>
        <v>1298.8999999999999</v>
      </c>
      <c r="AM252" s="1031">
        <v>-17.2</v>
      </c>
      <c r="AN252" s="1031"/>
      <c r="AO252" s="1031">
        <v>28</v>
      </c>
      <c r="AP252" s="1031">
        <f>AO252*(списки!$C$56-AM252)</f>
        <v>1041.6000000000001</v>
      </c>
      <c r="AQ252" s="1026">
        <v>-7.7</v>
      </c>
      <c r="AR252" s="1026"/>
      <c r="AS252" s="1026">
        <f t="shared" si="38"/>
        <v>31</v>
      </c>
      <c r="AT252" s="1026">
        <f>AS252*(списки!$C$56-AQ252)</f>
        <v>858.69999999999993</v>
      </c>
      <c r="AU252" s="1032">
        <v>3</v>
      </c>
      <c r="AV252" s="1032"/>
      <c r="AW252" s="1032">
        <f t="shared" si="39"/>
        <v>30</v>
      </c>
      <c r="AX252" s="1032">
        <f>AW252*(списки!$C$56-AU252)</f>
        <v>510</v>
      </c>
      <c r="AY252" s="1033">
        <v>10</v>
      </c>
      <c r="AZ252" s="1033"/>
      <c r="BA252" s="1033">
        <f t="shared" si="40"/>
        <v>4.5</v>
      </c>
      <c r="BB252" s="1033">
        <f>BA252*(списки!$C$56-AY252)</f>
        <v>45</v>
      </c>
      <c r="BC252" s="1034">
        <v>15.5</v>
      </c>
      <c r="BD252" s="1034"/>
      <c r="BE252" s="1034">
        <f t="shared" si="41"/>
        <v>0</v>
      </c>
      <c r="BF252" s="1035">
        <f>BE252*(списки!$C$56-BC252)</f>
        <v>0</v>
      </c>
      <c r="BG252" s="1424" t="e">
        <v>#N/A</v>
      </c>
      <c r="BH252" s="1424" t="e">
        <v>#N/A</v>
      </c>
    </row>
    <row r="253" spans="2:60" ht="15.75" customHeight="1" x14ac:dyDescent="0.25">
      <c r="B253" s="1014" t="s">
        <v>254</v>
      </c>
      <c r="C253" s="1014" t="s">
        <v>262</v>
      </c>
      <c r="D253" s="1015" t="str">
        <f t="shared" si="43"/>
        <v>Приморский крайПартизанск</v>
      </c>
      <c r="E253" s="1016">
        <v>198</v>
      </c>
      <c r="F253" s="1017">
        <v>-4.5</v>
      </c>
      <c r="G253" s="1017">
        <v>-22</v>
      </c>
      <c r="H253" s="1019">
        <v>8.4</v>
      </c>
      <c r="I253" s="1020">
        <f>E253*(списки!$C$56-F253)</f>
        <v>4851</v>
      </c>
      <c r="J253" s="1021" t="str">
        <f t="shared" si="33"/>
        <v>4000-5000</v>
      </c>
      <c r="K253" s="1022">
        <v>19.399999999999999</v>
      </c>
      <c r="L253" s="1022"/>
      <c r="M253" s="1023">
        <f t="shared" si="34"/>
        <v>0</v>
      </c>
      <c r="N253" s="1024">
        <f>M253*(списки!$C$56-K253)</f>
        <v>0</v>
      </c>
      <c r="O253" s="1025">
        <v>20.100000000000001</v>
      </c>
      <c r="P253" s="1025"/>
      <c r="Q253" s="1025">
        <f t="shared" si="35"/>
        <v>0</v>
      </c>
      <c r="R253" s="1025">
        <f>Q253*(списки!$C$56-O253)</f>
        <v>0</v>
      </c>
      <c r="S253" s="1026">
        <v>14.6</v>
      </c>
      <c r="T253" s="1026"/>
      <c r="U253" s="1026">
        <f t="shared" si="42"/>
        <v>0</v>
      </c>
      <c r="V253" s="1026">
        <f>U253*(списки!$C$56-S253)</f>
        <v>0</v>
      </c>
      <c r="W253" s="1027">
        <v>7.5</v>
      </c>
      <c r="X253" s="1027"/>
      <c r="Y253" s="1027">
        <f t="shared" si="36"/>
        <v>23.5</v>
      </c>
      <c r="Z253" s="1027">
        <f>Y253*(списки!$C$56-W253)</f>
        <v>293.75</v>
      </c>
      <c r="AA253" s="1028">
        <v>-2.2000000000000002</v>
      </c>
      <c r="AB253" s="1028"/>
      <c r="AC253" s="1028">
        <f t="shared" si="37"/>
        <v>30</v>
      </c>
      <c r="AD253" s="1028">
        <f>AC253*(списки!$C$56-AA253)</f>
        <v>666</v>
      </c>
      <c r="AE253" s="1029">
        <v>-10.7</v>
      </c>
      <c r="AF253" s="1029"/>
      <c r="AG253" s="1029">
        <v>31</v>
      </c>
      <c r="AH253" s="1029">
        <f>AG253*(списки!$C$56-AE253)</f>
        <v>951.69999999999993</v>
      </c>
      <c r="AI253" s="1030">
        <v>-13.4</v>
      </c>
      <c r="AJ253" s="1030"/>
      <c r="AK253" s="1030">
        <v>31</v>
      </c>
      <c r="AL253" s="1030">
        <f>AK253*(списки!$C$56-AI253)</f>
        <v>1035.3999999999999</v>
      </c>
      <c r="AM253" s="1031">
        <v>-10.3</v>
      </c>
      <c r="AN253" s="1031"/>
      <c r="AO253" s="1031">
        <v>28</v>
      </c>
      <c r="AP253" s="1031">
        <f>AO253*(списки!$C$56-AM253)</f>
        <v>848.4</v>
      </c>
      <c r="AQ253" s="1026">
        <v>-3.1</v>
      </c>
      <c r="AR253" s="1026"/>
      <c r="AS253" s="1026">
        <f t="shared" si="38"/>
        <v>31</v>
      </c>
      <c r="AT253" s="1026">
        <f>AS253*(списки!$C$56-AQ253)</f>
        <v>716.1</v>
      </c>
      <c r="AU253" s="1032">
        <v>5.0999999999999996</v>
      </c>
      <c r="AV253" s="1032"/>
      <c r="AW253" s="1032">
        <f t="shared" si="39"/>
        <v>23.5</v>
      </c>
      <c r="AX253" s="1032">
        <f>AW253*(списки!$C$56-AU253)</f>
        <v>350.15000000000003</v>
      </c>
      <c r="AY253" s="1033">
        <v>11.3</v>
      </c>
      <c r="AZ253" s="1033"/>
      <c r="BA253" s="1033">
        <f t="shared" si="40"/>
        <v>0</v>
      </c>
      <c r="BB253" s="1033">
        <f>BA253*(списки!$C$56-AY253)</f>
        <v>0</v>
      </c>
      <c r="BC253" s="1034">
        <v>15.1</v>
      </c>
      <c r="BD253" s="1034"/>
      <c r="BE253" s="1034">
        <f t="shared" si="41"/>
        <v>0</v>
      </c>
      <c r="BF253" s="1035">
        <f>BE253*(списки!$C$56-BC253)</f>
        <v>0</v>
      </c>
      <c r="BG253" s="1424">
        <v>4653.8375000000024</v>
      </c>
      <c r="BH253" s="1424">
        <v>4613.2750000000015</v>
      </c>
    </row>
    <row r="254" spans="2:60" ht="15.75" customHeight="1" x14ac:dyDescent="0.25">
      <c r="B254" s="1038" t="s">
        <v>254</v>
      </c>
      <c r="C254" s="1038" t="s">
        <v>676</v>
      </c>
      <c r="D254" s="1015" t="str">
        <f t="shared" si="43"/>
        <v>Приморский крайПосьет</v>
      </c>
      <c r="E254" s="1016">
        <v>187</v>
      </c>
      <c r="F254" s="1017">
        <v>-2.9</v>
      </c>
      <c r="G254" s="1017">
        <v>-19</v>
      </c>
      <c r="H254" s="1019">
        <v>6.7</v>
      </c>
      <c r="I254" s="1020">
        <f>E254*(списки!$C$56-F254)</f>
        <v>4282.3</v>
      </c>
      <c r="J254" s="1021" t="str">
        <f t="shared" si="33"/>
        <v>4000-5000</v>
      </c>
      <c r="K254" s="1022">
        <v>19</v>
      </c>
      <c r="L254" s="1022"/>
      <c r="M254" s="1023">
        <f t="shared" si="34"/>
        <v>0</v>
      </c>
      <c r="N254" s="1024">
        <f>M254*(списки!$C$56-K254)</f>
        <v>0</v>
      </c>
      <c r="O254" s="1025">
        <v>21.1</v>
      </c>
      <c r="P254" s="1025"/>
      <c r="Q254" s="1025">
        <f t="shared" si="35"/>
        <v>0</v>
      </c>
      <c r="R254" s="1025">
        <f>Q254*(списки!$C$56-O254)</f>
        <v>0</v>
      </c>
      <c r="S254" s="1026">
        <v>16.7</v>
      </c>
      <c r="T254" s="1026"/>
      <c r="U254" s="1026">
        <f t="shared" si="42"/>
        <v>0</v>
      </c>
      <c r="V254" s="1026">
        <f>U254*(списки!$C$56-S254)</f>
        <v>0</v>
      </c>
      <c r="W254" s="1027">
        <v>9.8000000000000007</v>
      </c>
      <c r="X254" s="1027"/>
      <c r="Y254" s="1027">
        <f t="shared" si="36"/>
        <v>18</v>
      </c>
      <c r="Z254" s="1027">
        <f>Y254*(списки!$C$56-W254)</f>
        <v>183.6</v>
      </c>
      <c r="AA254" s="1028">
        <v>0.6</v>
      </c>
      <c r="AB254" s="1028"/>
      <c r="AC254" s="1028">
        <f t="shared" si="37"/>
        <v>30</v>
      </c>
      <c r="AD254" s="1028">
        <f>AC254*(списки!$C$56-AA254)</f>
        <v>582</v>
      </c>
      <c r="AE254" s="1029">
        <v>-6.9</v>
      </c>
      <c r="AF254" s="1029"/>
      <c r="AG254" s="1029">
        <v>31</v>
      </c>
      <c r="AH254" s="1029">
        <f>AG254*(списки!$C$56-AE254)</f>
        <v>833.9</v>
      </c>
      <c r="AI254" s="1030">
        <v>-9.6</v>
      </c>
      <c r="AJ254" s="1030"/>
      <c r="AK254" s="1030">
        <v>31</v>
      </c>
      <c r="AL254" s="1030">
        <f>AK254*(списки!$C$56-AI254)</f>
        <v>917.6</v>
      </c>
      <c r="AM254" s="1031">
        <v>-6.5</v>
      </c>
      <c r="AN254" s="1031"/>
      <c r="AO254" s="1031">
        <v>28</v>
      </c>
      <c r="AP254" s="1031">
        <f>AO254*(списки!$C$56-AM254)</f>
        <v>742</v>
      </c>
      <c r="AQ254" s="1026">
        <v>-0.5</v>
      </c>
      <c r="AR254" s="1026"/>
      <c r="AS254" s="1026">
        <f t="shared" si="38"/>
        <v>31</v>
      </c>
      <c r="AT254" s="1026">
        <f>AS254*(списки!$C$56-AQ254)</f>
        <v>635.5</v>
      </c>
      <c r="AU254" s="1032">
        <v>6.1</v>
      </c>
      <c r="AV254" s="1032"/>
      <c r="AW254" s="1032">
        <f t="shared" si="39"/>
        <v>18</v>
      </c>
      <c r="AX254" s="1032">
        <f>AW254*(списки!$C$56-AU254)</f>
        <v>250.20000000000002</v>
      </c>
      <c r="AY254" s="1033">
        <v>10.9</v>
      </c>
      <c r="AZ254" s="1033"/>
      <c r="BA254" s="1033">
        <f t="shared" si="40"/>
        <v>0</v>
      </c>
      <c r="BB254" s="1033">
        <f>BA254*(списки!$C$56-AY254)</f>
        <v>0</v>
      </c>
      <c r="BC254" s="1034">
        <v>14.7</v>
      </c>
      <c r="BD254" s="1034"/>
      <c r="BE254" s="1034">
        <f t="shared" si="41"/>
        <v>0</v>
      </c>
      <c r="BF254" s="1035">
        <f>BE254*(списки!$C$56-BC254)</f>
        <v>0</v>
      </c>
      <c r="BG254" s="1424">
        <v>4190.9589285714283</v>
      </c>
      <c r="BH254" s="1424">
        <v>3909.6708333333336</v>
      </c>
    </row>
    <row r="255" spans="2:60" ht="15.75" customHeight="1" x14ac:dyDescent="0.25">
      <c r="B255" s="1014" t="s">
        <v>254</v>
      </c>
      <c r="C255" s="1014" t="s">
        <v>1553</v>
      </c>
      <c r="D255" s="1015" t="str">
        <f t="shared" si="43"/>
        <v>Приморский крайПреображение</v>
      </c>
      <c r="E255" s="1016">
        <v>202</v>
      </c>
      <c r="F255" s="1017">
        <v>-1.6</v>
      </c>
      <c r="G255" s="1017">
        <v>-16</v>
      </c>
      <c r="H255" s="1019">
        <v>3.7</v>
      </c>
      <c r="I255" s="1020">
        <f>E255*(списки!$C$56-F255)</f>
        <v>4363.2000000000007</v>
      </c>
      <c r="J255" s="1021" t="str">
        <f t="shared" si="33"/>
        <v>4000-5000</v>
      </c>
      <c r="K255" s="1022">
        <v>16.899999999999999</v>
      </c>
      <c r="L255" s="1022"/>
      <c r="M255" s="1023">
        <f t="shared" si="34"/>
        <v>0</v>
      </c>
      <c r="N255" s="1024">
        <f>M255*(списки!$C$56-K255)</f>
        <v>0</v>
      </c>
      <c r="O255" s="1025">
        <v>19.399999999999999</v>
      </c>
      <c r="P255" s="1025"/>
      <c r="Q255" s="1025">
        <f t="shared" si="35"/>
        <v>0</v>
      </c>
      <c r="R255" s="1025">
        <f>Q255*(списки!$C$56-O255)</f>
        <v>0</v>
      </c>
      <c r="S255" s="1026">
        <v>15.8</v>
      </c>
      <c r="T255" s="1026"/>
      <c r="U255" s="1026">
        <f t="shared" si="42"/>
        <v>0</v>
      </c>
      <c r="V255" s="1026">
        <f>U255*(списки!$C$56-S255)</f>
        <v>0</v>
      </c>
      <c r="W255" s="1027">
        <v>9.4</v>
      </c>
      <c r="X255" s="1027"/>
      <c r="Y255" s="1027">
        <f t="shared" si="36"/>
        <v>25.5</v>
      </c>
      <c r="Z255" s="1027">
        <f>Y255*(списки!$C$56-W255)</f>
        <v>270.3</v>
      </c>
      <c r="AA255" s="1028">
        <v>1.4</v>
      </c>
      <c r="AB255" s="1028"/>
      <c r="AC255" s="1028">
        <f t="shared" si="37"/>
        <v>30</v>
      </c>
      <c r="AD255" s="1028">
        <f>AC255*(списки!$C$56-AA255)</f>
        <v>558</v>
      </c>
      <c r="AE255" s="1029">
        <v>-5.5</v>
      </c>
      <c r="AF255" s="1029"/>
      <c r="AG255" s="1029">
        <v>31</v>
      </c>
      <c r="AH255" s="1029">
        <f>AG255*(списки!$C$56-AE255)</f>
        <v>790.5</v>
      </c>
      <c r="AI255" s="1030">
        <v>-7.8</v>
      </c>
      <c r="AJ255" s="1030"/>
      <c r="AK255" s="1030">
        <v>31</v>
      </c>
      <c r="AL255" s="1030">
        <f>AK255*(списки!$C$56-AI255)</f>
        <v>861.80000000000007</v>
      </c>
      <c r="AM255" s="1031">
        <v>-5.7</v>
      </c>
      <c r="AN255" s="1031"/>
      <c r="AO255" s="1031">
        <v>28</v>
      </c>
      <c r="AP255" s="1031">
        <f>AO255*(списки!$C$56-AM255)</f>
        <v>719.6</v>
      </c>
      <c r="AQ255" s="1026">
        <v>-0.7</v>
      </c>
      <c r="AR255" s="1026"/>
      <c r="AS255" s="1026">
        <f t="shared" si="38"/>
        <v>31</v>
      </c>
      <c r="AT255" s="1026">
        <f>AS255*(списки!$C$56-AQ255)</f>
        <v>641.69999999999993</v>
      </c>
      <c r="AU255" s="1032">
        <v>4.5999999999999996</v>
      </c>
      <c r="AV255" s="1032"/>
      <c r="AW255" s="1032">
        <f t="shared" si="39"/>
        <v>25.5</v>
      </c>
      <c r="AX255" s="1032">
        <f>AW255*(списки!$C$56-AU255)</f>
        <v>392.7</v>
      </c>
      <c r="AY255" s="1033">
        <v>8.6</v>
      </c>
      <c r="AZ255" s="1033"/>
      <c r="BA255" s="1033">
        <f t="shared" si="40"/>
        <v>0</v>
      </c>
      <c r="BB255" s="1033">
        <f>BA255*(списки!$C$56-AY255)</f>
        <v>0</v>
      </c>
      <c r="BC255" s="1034">
        <v>12.2</v>
      </c>
      <c r="BD255" s="1034"/>
      <c r="BE255" s="1034">
        <f t="shared" si="41"/>
        <v>0</v>
      </c>
      <c r="BF255" s="1035">
        <f>BE255*(списки!$C$56-BC255)</f>
        <v>0</v>
      </c>
      <c r="BG255" s="1424">
        <v>4256.2071428571426</v>
      </c>
      <c r="BH255" s="1424">
        <v>4014.1374999999998</v>
      </c>
    </row>
    <row r="256" spans="2:60" ht="15.75" customHeight="1" x14ac:dyDescent="0.25">
      <c r="B256" s="1038" t="s">
        <v>254</v>
      </c>
      <c r="C256" s="1038" t="s">
        <v>263</v>
      </c>
      <c r="D256" s="1015" t="str">
        <f t="shared" si="43"/>
        <v>Приморский крайРудная Пристань</v>
      </c>
      <c r="E256" s="1016">
        <v>215</v>
      </c>
      <c r="F256" s="1017">
        <v>-3.1</v>
      </c>
      <c r="G256" s="1017">
        <v>-19</v>
      </c>
      <c r="H256" s="1019">
        <v>4.5999999999999996</v>
      </c>
      <c r="I256" s="1020">
        <f>E256*(списки!$C$56-F256)</f>
        <v>4966.5</v>
      </c>
      <c r="J256" s="1021" t="str">
        <f t="shared" si="33"/>
        <v>4000-5000</v>
      </c>
      <c r="K256" s="1022">
        <v>16.100000000000001</v>
      </c>
      <c r="L256" s="1022"/>
      <c r="M256" s="1023">
        <f t="shared" si="34"/>
        <v>0</v>
      </c>
      <c r="N256" s="1024">
        <f>M256*(списки!$C$56-K256)</f>
        <v>0</v>
      </c>
      <c r="O256" s="1025">
        <v>18.600000000000001</v>
      </c>
      <c r="P256" s="1025"/>
      <c r="Q256" s="1025">
        <f t="shared" si="35"/>
        <v>0</v>
      </c>
      <c r="R256" s="1025">
        <f>Q256*(списки!$C$56-O256)</f>
        <v>0</v>
      </c>
      <c r="S256" s="1026">
        <v>14.6</v>
      </c>
      <c r="T256" s="1026"/>
      <c r="U256" s="1026">
        <f t="shared" si="42"/>
        <v>1.5</v>
      </c>
      <c r="V256" s="1026">
        <f>U256*(списки!$C$56-S256)</f>
        <v>8.1000000000000014</v>
      </c>
      <c r="W256" s="1027">
        <v>7.7</v>
      </c>
      <c r="X256" s="1027"/>
      <c r="Y256" s="1027">
        <f t="shared" si="36"/>
        <v>31</v>
      </c>
      <c r="Z256" s="1027">
        <f>Y256*(списки!$C$56-W256)</f>
        <v>381.3</v>
      </c>
      <c r="AA256" s="1028">
        <v>-1.2</v>
      </c>
      <c r="AB256" s="1028"/>
      <c r="AC256" s="1028">
        <f t="shared" si="37"/>
        <v>30</v>
      </c>
      <c r="AD256" s="1028">
        <f>AC256*(списки!$C$56-AA256)</f>
        <v>636</v>
      </c>
      <c r="AE256" s="1029">
        <v>-8.8000000000000007</v>
      </c>
      <c r="AF256" s="1029"/>
      <c r="AG256" s="1029">
        <v>31</v>
      </c>
      <c r="AH256" s="1029">
        <f>AG256*(списки!$C$56-AE256)</f>
        <v>892.80000000000007</v>
      </c>
      <c r="AI256" s="1030">
        <v>-10.9</v>
      </c>
      <c r="AJ256" s="1030"/>
      <c r="AK256" s="1030">
        <v>31</v>
      </c>
      <c r="AL256" s="1030">
        <f>AK256*(списки!$C$56-AI256)</f>
        <v>957.9</v>
      </c>
      <c r="AM256" s="1031">
        <v>-8.1</v>
      </c>
      <c r="AN256" s="1031"/>
      <c r="AO256" s="1031">
        <v>28</v>
      </c>
      <c r="AP256" s="1031">
        <f>AO256*(списки!$C$56-AM256)</f>
        <v>786.80000000000007</v>
      </c>
      <c r="AQ256" s="1026">
        <v>-2</v>
      </c>
      <c r="AR256" s="1026"/>
      <c r="AS256" s="1026">
        <f t="shared" si="38"/>
        <v>31</v>
      </c>
      <c r="AT256" s="1026">
        <f>AS256*(списки!$C$56-AQ256)</f>
        <v>682</v>
      </c>
      <c r="AU256" s="1032">
        <v>3.7</v>
      </c>
      <c r="AV256" s="1032"/>
      <c r="AW256" s="1032">
        <f t="shared" si="39"/>
        <v>30</v>
      </c>
      <c r="AX256" s="1032">
        <f>AW256*(списки!$C$56-AU256)</f>
        <v>489</v>
      </c>
      <c r="AY256" s="1033">
        <v>7.9</v>
      </c>
      <c r="AZ256" s="1033"/>
      <c r="BA256" s="1033">
        <f t="shared" si="40"/>
        <v>1.5</v>
      </c>
      <c r="BB256" s="1033">
        <f>BA256*(списки!$C$56-AY256)</f>
        <v>18.149999999999999</v>
      </c>
      <c r="BC256" s="1034">
        <v>11.5</v>
      </c>
      <c r="BD256" s="1034"/>
      <c r="BE256" s="1034">
        <f t="shared" si="41"/>
        <v>0</v>
      </c>
      <c r="BF256" s="1035">
        <f>BE256*(списки!$C$56-BC256)</f>
        <v>0</v>
      </c>
      <c r="BG256" s="1424">
        <v>5074.3642857142868</v>
      </c>
      <c r="BH256" s="1424">
        <v>4862.7916666666679</v>
      </c>
    </row>
    <row r="257" spans="2:60" ht="15.75" customHeight="1" x14ac:dyDescent="0.25">
      <c r="B257" s="1014" t="s">
        <v>254</v>
      </c>
      <c r="C257" s="1014" t="s">
        <v>677</v>
      </c>
      <c r="D257" s="1015" t="str">
        <f t="shared" si="43"/>
        <v>Приморский крайСосуново</v>
      </c>
      <c r="E257" s="1016">
        <v>245</v>
      </c>
      <c r="F257" s="1017">
        <v>-3.8</v>
      </c>
      <c r="G257" s="1017">
        <v>-22</v>
      </c>
      <c r="H257" s="1019">
        <f>H256</f>
        <v>4.5999999999999996</v>
      </c>
      <c r="I257" s="1020">
        <f>E257*(списки!$C$56-F257)</f>
        <v>5831</v>
      </c>
      <c r="J257" s="1021" t="str">
        <f t="shared" si="33"/>
        <v>5000-6000</v>
      </c>
      <c r="K257" s="1022">
        <v>13.8</v>
      </c>
      <c r="L257" s="1022"/>
      <c r="M257" s="1023">
        <f t="shared" si="34"/>
        <v>0</v>
      </c>
      <c r="N257" s="1024">
        <f>M257*(списки!$C$56-K257)</f>
        <v>0</v>
      </c>
      <c r="O257" s="1025">
        <v>16.3</v>
      </c>
      <c r="P257" s="1025"/>
      <c r="Q257" s="1025">
        <f t="shared" si="35"/>
        <v>0</v>
      </c>
      <c r="R257" s="1025">
        <f>Q257*(списки!$C$56-O257)</f>
        <v>0</v>
      </c>
      <c r="S257" s="1026">
        <v>12.8</v>
      </c>
      <c r="T257" s="1026"/>
      <c r="U257" s="1026">
        <f t="shared" si="42"/>
        <v>16.5</v>
      </c>
      <c r="V257" s="1026">
        <f>U257*(списки!$C$56-S257)</f>
        <v>118.79999999999998</v>
      </c>
      <c r="W257" s="1027">
        <v>6.1</v>
      </c>
      <c r="X257" s="1027"/>
      <c r="Y257" s="1027">
        <f t="shared" si="36"/>
        <v>31</v>
      </c>
      <c r="Z257" s="1027">
        <f>Y257*(списки!$C$56-W257)</f>
        <v>430.90000000000003</v>
      </c>
      <c r="AA257" s="1028">
        <v>-3.3</v>
      </c>
      <c r="AB257" s="1028"/>
      <c r="AC257" s="1028">
        <f t="shared" si="37"/>
        <v>30</v>
      </c>
      <c r="AD257" s="1028">
        <f>AC257*(списки!$C$56-AA257)</f>
        <v>699</v>
      </c>
      <c r="AE257" s="1029">
        <v>-11.2</v>
      </c>
      <c r="AF257" s="1029"/>
      <c r="AG257" s="1029">
        <v>31</v>
      </c>
      <c r="AH257" s="1029">
        <f>AG257*(списки!$C$56-AE257)</f>
        <v>967.19999999999993</v>
      </c>
      <c r="AI257" s="1030">
        <v>-13.4</v>
      </c>
      <c r="AJ257" s="1030"/>
      <c r="AK257" s="1030">
        <v>31</v>
      </c>
      <c r="AL257" s="1030">
        <f>AK257*(списки!$C$56-AI257)</f>
        <v>1035.3999999999999</v>
      </c>
      <c r="AM257" s="1031">
        <v>-10.9</v>
      </c>
      <c r="AN257" s="1031"/>
      <c r="AO257" s="1031">
        <v>28</v>
      </c>
      <c r="AP257" s="1031">
        <f>AO257*(списки!$C$56-AM257)</f>
        <v>865.19999999999993</v>
      </c>
      <c r="AQ257" s="1026">
        <v>-4.8</v>
      </c>
      <c r="AR257" s="1026"/>
      <c r="AS257" s="1026">
        <f t="shared" si="38"/>
        <v>31</v>
      </c>
      <c r="AT257" s="1026">
        <f>AS257*(списки!$C$56-AQ257)</f>
        <v>768.80000000000007</v>
      </c>
      <c r="AU257" s="1032">
        <v>1.4</v>
      </c>
      <c r="AV257" s="1032"/>
      <c r="AW257" s="1032">
        <f t="shared" si="39"/>
        <v>30</v>
      </c>
      <c r="AX257" s="1032">
        <f>AW257*(списки!$C$56-AU257)</f>
        <v>558</v>
      </c>
      <c r="AY257" s="1033">
        <v>5.4</v>
      </c>
      <c r="AZ257" s="1033"/>
      <c r="BA257" s="1033">
        <f t="shared" si="40"/>
        <v>16.5</v>
      </c>
      <c r="BB257" s="1033">
        <f>BA257*(списки!$C$56-AY257)</f>
        <v>240.9</v>
      </c>
      <c r="BC257" s="1034">
        <v>9.1</v>
      </c>
      <c r="BD257" s="1034"/>
      <c r="BE257" s="1034">
        <f t="shared" si="41"/>
        <v>0</v>
      </c>
      <c r="BF257" s="1035">
        <f>BE257*(списки!$C$56-BC257)</f>
        <v>0</v>
      </c>
      <c r="BG257" s="1424">
        <v>5655.6625000000004</v>
      </c>
      <c r="BH257" s="1424">
        <v>5311.7196428571415</v>
      </c>
    </row>
    <row r="258" spans="2:60" ht="15.75" customHeight="1" x14ac:dyDescent="0.25">
      <c r="B258" s="1038" t="s">
        <v>254</v>
      </c>
      <c r="C258" s="1038" t="s">
        <v>258</v>
      </c>
      <c r="D258" s="1015" t="str">
        <f t="shared" si="43"/>
        <v>Приморский крайЧугуевка</v>
      </c>
      <c r="E258" s="1016">
        <v>211</v>
      </c>
      <c r="F258" s="1017">
        <v>-8.6</v>
      </c>
      <c r="G258" s="1017">
        <v>-32</v>
      </c>
      <c r="H258" s="1019">
        <f>H257</f>
        <v>4.5999999999999996</v>
      </c>
      <c r="I258" s="1020">
        <f>E258*(списки!$C$56-F258)</f>
        <v>6034.6</v>
      </c>
      <c r="J258" s="1021" t="str">
        <f t="shared" si="33"/>
        <v>6000-7000</v>
      </c>
      <c r="K258" s="1022">
        <v>20.399999999999999</v>
      </c>
      <c r="L258" s="1022"/>
      <c r="M258" s="1023">
        <f t="shared" si="34"/>
        <v>0</v>
      </c>
      <c r="N258" s="1024">
        <f>M258*(списки!$C$56-K258)</f>
        <v>0</v>
      </c>
      <c r="O258" s="1025">
        <v>19.5</v>
      </c>
      <c r="P258" s="1025"/>
      <c r="Q258" s="1025">
        <f t="shared" si="35"/>
        <v>0</v>
      </c>
      <c r="R258" s="1025">
        <f>Q258*(списки!$C$56-O258)</f>
        <v>0</v>
      </c>
      <c r="S258" s="1026">
        <v>12.5</v>
      </c>
      <c r="T258" s="1026"/>
      <c r="U258" s="1026">
        <f t="shared" si="42"/>
        <v>0</v>
      </c>
      <c r="V258" s="1026">
        <f>U258*(списки!$C$56-S258)</f>
        <v>0</v>
      </c>
      <c r="W258" s="1027">
        <v>4.4000000000000004</v>
      </c>
      <c r="X258" s="1027"/>
      <c r="Y258" s="1027">
        <f t="shared" si="36"/>
        <v>30</v>
      </c>
      <c r="Z258" s="1027">
        <f>Y258*(списки!$C$56-W258)</f>
        <v>468</v>
      </c>
      <c r="AA258" s="1028">
        <v>-7.2</v>
      </c>
      <c r="AB258" s="1028"/>
      <c r="AC258" s="1028">
        <f t="shared" si="37"/>
        <v>30</v>
      </c>
      <c r="AD258" s="1028">
        <f>AC258*(списки!$C$56-AA258)</f>
        <v>816</v>
      </c>
      <c r="AE258" s="1029">
        <v>-17.899999999999999</v>
      </c>
      <c r="AF258" s="1029"/>
      <c r="AG258" s="1029">
        <v>31</v>
      </c>
      <c r="AH258" s="1029">
        <f>AG258*(списки!$C$56-AE258)</f>
        <v>1174.8999999999999</v>
      </c>
      <c r="AI258" s="1030">
        <v>-21.3</v>
      </c>
      <c r="AJ258" s="1030"/>
      <c r="AK258" s="1030">
        <v>31</v>
      </c>
      <c r="AL258" s="1030">
        <f>AK258*(списки!$C$56-AI258)</f>
        <v>1280.3</v>
      </c>
      <c r="AM258" s="1031">
        <v>-17.3</v>
      </c>
      <c r="AN258" s="1031"/>
      <c r="AO258" s="1031">
        <v>28</v>
      </c>
      <c r="AP258" s="1031">
        <f>AO258*(списки!$C$56-AM258)</f>
        <v>1044.3999999999999</v>
      </c>
      <c r="AQ258" s="1026">
        <v>-6.7</v>
      </c>
      <c r="AR258" s="1026"/>
      <c r="AS258" s="1026">
        <f t="shared" si="38"/>
        <v>31</v>
      </c>
      <c r="AT258" s="1026">
        <f>AS258*(списки!$C$56-AQ258)</f>
        <v>827.69999999999993</v>
      </c>
      <c r="AU258" s="1032">
        <v>4.3</v>
      </c>
      <c r="AV258" s="1032"/>
      <c r="AW258" s="1032">
        <f t="shared" si="39"/>
        <v>30</v>
      </c>
      <c r="AX258" s="1032">
        <f>AW258*(списки!$C$56-AU258)</f>
        <v>471</v>
      </c>
      <c r="AY258" s="1033">
        <v>11.5</v>
      </c>
      <c r="AZ258" s="1033"/>
      <c r="BA258" s="1033">
        <f t="shared" si="40"/>
        <v>0</v>
      </c>
      <c r="BB258" s="1033">
        <f>BA258*(списки!$C$56-AY258)</f>
        <v>0</v>
      </c>
      <c r="BC258" s="1034">
        <v>16.3</v>
      </c>
      <c r="BD258" s="1034"/>
      <c r="BE258" s="1034">
        <f t="shared" si="41"/>
        <v>0</v>
      </c>
      <c r="BF258" s="1035">
        <f>BE258*(списки!$C$56-BC258)</f>
        <v>0</v>
      </c>
      <c r="BG258" s="1424">
        <v>5944.5689285714288</v>
      </c>
      <c r="BH258" s="1424">
        <v>5655.95154761905</v>
      </c>
    </row>
    <row r="259" spans="2:60" ht="15.75" customHeight="1" x14ac:dyDescent="0.25">
      <c r="B259" s="1014" t="s">
        <v>265</v>
      </c>
      <c r="C259" s="1014" t="s">
        <v>678</v>
      </c>
      <c r="D259" s="1015" t="str">
        <f t="shared" si="43"/>
        <v>Псковская областьВеликие Луки</v>
      </c>
      <c r="E259" s="1016">
        <v>208</v>
      </c>
      <c r="F259" s="1017">
        <v>-1.5</v>
      </c>
      <c r="G259" s="1017">
        <v>-27</v>
      </c>
      <c r="H259" s="1019">
        <v>4.2</v>
      </c>
      <c r="I259" s="1020">
        <f>E259*(списки!$C$56-F259)</f>
        <v>4472</v>
      </c>
      <c r="J259" s="1021" t="str">
        <f t="shared" si="33"/>
        <v>4000-5000</v>
      </c>
      <c r="K259" s="1022">
        <v>17.5</v>
      </c>
      <c r="L259" s="1022"/>
      <c r="M259" s="1023">
        <f t="shared" si="34"/>
        <v>0</v>
      </c>
      <c r="N259" s="1024">
        <f>M259*(списки!$C$56-K259)</f>
        <v>0</v>
      </c>
      <c r="O259" s="1025">
        <v>16</v>
      </c>
      <c r="P259" s="1025"/>
      <c r="Q259" s="1025">
        <f t="shared" si="35"/>
        <v>0</v>
      </c>
      <c r="R259" s="1025">
        <f>Q259*(списки!$C$56-O259)</f>
        <v>0</v>
      </c>
      <c r="S259" s="1026">
        <v>10.8</v>
      </c>
      <c r="T259" s="1026"/>
      <c r="U259" s="1026">
        <f t="shared" si="42"/>
        <v>0</v>
      </c>
      <c r="V259" s="1026">
        <f>U259*(списки!$C$56-S259)</f>
        <v>0</v>
      </c>
      <c r="W259" s="1027">
        <v>5.5</v>
      </c>
      <c r="X259" s="1027"/>
      <c r="Y259" s="1027">
        <f t="shared" si="36"/>
        <v>28.5</v>
      </c>
      <c r="Z259" s="1027">
        <f>Y259*(списки!$C$56-W259)</f>
        <v>413.25</v>
      </c>
      <c r="AA259" s="1028">
        <v>-0.1</v>
      </c>
      <c r="AB259" s="1028"/>
      <c r="AC259" s="1028">
        <f t="shared" si="37"/>
        <v>30</v>
      </c>
      <c r="AD259" s="1028">
        <f>AC259*(списки!$C$56-AA259)</f>
        <v>603</v>
      </c>
      <c r="AE259" s="1029">
        <v>-4.5</v>
      </c>
      <c r="AF259" s="1029"/>
      <c r="AG259" s="1029">
        <v>31</v>
      </c>
      <c r="AH259" s="1029">
        <f>AG259*(списки!$C$56-AE259)</f>
        <v>759.5</v>
      </c>
      <c r="AI259" s="1030">
        <v>-6.8</v>
      </c>
      <c r="AJ259" s="1030"/>
      <c r="AK259" s="1030">
        <v>31</v>
      </c>
      <c r="AL259" s="1030">
        <f>AK259*(списки!$C$56-AI259)</f>
        <v>830.80000000000007</v>
      </c>
      <c r="AM259" s="1031">
        <v>-6.5</v>
      </c>
      <c r="AN259" s="1031"/>
      <c r="AO259" s="1031">
        <v>28</v>
      </c>
      <c r="AP259" s="1031">
        <f>AO259*(списки!$C$56-AM259)</f>
        <v>742</v>
      </c>
      <c r="AQ259" s="1026">
        <v>-1.3</v>
      </c>
      <c r="AR259" s="1026"/>
      <c r="AS259" s="1026">
        <f t="shared" si="38"/>
        <v>31</v>
      </c>
      <c r="AT259" s="1026">
        <f>AS259*(списки!$C$56-AQ259)</f>
        <v>660.30000000000007</v>
      </c>
      <c r="AU259" s="1032">
        <v>5.8</v>
      </c>
      <c r="AV259" s="1032"/>
      <c r="AW259" s="1032">
        <f t="shared" si="39"/>
        <v>28.5</v>
      </c>
      <c r="AX259" s="1032">
        <f>AW259*(списки!$C$56-AU259)</f>
        <v>404.7</v>
      </c>
      <c r="AY259" s="1033">
        <v>12.2</v>
      </c>
      <c r="AZ259" s="1033"/>
      <c r="BA259" s="1033">
        <f t="shared" si="40"/>
        <v>0</v>
      </c>
      <c r="BB259" s="1033">
        <f>BA259*(списки!$C$56-AY259)</f>
        <v>0</v>
      </c>
      <c r="BC259" s="1034">
        <v>15.8</v>
      </c>
      <c r="BD259" s="1034"/>
      <c r="BE259" s="1034">
        <f t="shared" si="41"/>
        <v>0</v>
      </c>
      <c r="BF259" s="1035">
        <f>BE259*(списки!$C$56-BC259)</f>
        <v>0</v>
      </c>
      <c r="BG259" s="1424">
        <v>4276.3874999999998</v>
      </c>
      <c r="BH259" s="1424">
        <v>4047.0625000000005</v>
      </c>
    </row>
    <row r="260" spans="2:60" ht="15.75" customHeight="1" x14ac:dyDescent="0.25">
      <c r="B260" s="1038" t="s">
        <v>265</v>
      </c>
      <c r="C260" s="1038" t="s">
        <v>266</v>
      </c>
      <c r="D260" s="1015" t="str">
        <f t="shared" si="43"/>
        <v>Псковская областьПсков</v>
      </c>
      <c r="E260" s="1016">
        <v>208</v>
      </c>
      <c r="F260" s="1017">
        <v>-1.3</v>
      </c>
      <c r="G260" s="1017">
        <v>-26</v>
      </c>
      <c r="H260" s="1019">
        <v>3.5</v>
      </c>
      <c r="I260" s="1020">
        <f>E260*(списки!$C$56-F260)</f>
        <v>4430.4000000000005</v>
      </c>
      <c r="J260" s="1021" t="str">
        <f t="shared" si="33"/>
        <v>4000-5000</v>
      </c>
      <c r="K260" s="1022">
        <v>17.8</v>
      </c>
      <c r="L260" s="1022"/>
      <c r="M260" s="1023">
        <f t="shared" si="34"/>
        <v>0</v>
      </c>
      <c r="N260" s="1024">
        <f>M260*(списки!$C$56-K260)</f>
        <v>0</v>
      </c>
      <c r="O260" s="1025">
        <v>16.2</v>
      </c>
      <c r="P260" s="1025"/>
      <c r="Q260" s="1025">
        <f t="shared" si="35"/>
        <v>0</v>
      </c>
      <c r="R260" s="1025">
        <f>Q260*(списки!$C$56-O260)</f>
        <v>0</v>
      </c>
      <c r="S260" s="1026">
        <v>10.9</v>
      </c>
      <c r="T260" s="1026"/>
      <c r="U260" s="1026">
        <f t="shared" si="42"/>
        <v>0</v>
      </c>
      <c r="V260" s="1026">
        <f>U260*(списки!$C$56-S260)</f>
        <v>0</v>
      </c>
      <c r="W260" s="1027">
        <v>5.6</v>
      </c>
      <c r="X260" s="1027"/>
      <c r="Y260" s="1027">
        <f t="shared" si="36"/>
        <v>28.5</v>
      </c>
      <c r="Z260" s="1027">
        <f>Y260*(списки!$C$56-W260)</f>
        <v>410.40000000000003</v>
      </c>
      <c r="AA260" s="1028">
        <v>0.1</v>
      </c>
      <c r="AB260" s="1028"/>
      <c r="AC260" s="1028">
        <f t="shared" si="37"/>
        <v>30</v>
      </c>
      <c r="AD260" s="1028">
        <f>AC260*(списки!$C$56-AA260)</f>
        <v>597</v>
      </c>
      <c r="AE260" s="1029">
        <v>-4.0999999999999996</v>
      </c>
      <c r="AF260" s="1029"/>
      <c r="AG260" s="1029">
        <v>31</v>
      </c>
      <c r="AH260" s="1029">
        <f>AG260*(списки!$C$56-AE260)</f>
        <v>747.1</v>
      </c>
      <c r="AI260" s="1030">
        <v>-6.3</v>
      </c>
      <c r="AJ260" s="1030"/>
      <c r="AK260" s="1030">
        <v>31</v>
      </c>
      <c r="AL260" s="1030">
        <f>AK260*(списки!$C$56-AI260)</f>
        <v>815.30000000000007</v>
      </c>
      <c r="AM260" s="1031">
        <v>-6.2</v>
      </c>
      <c r="AN260" s="1031"/>
      <c r="AO260" s="1031">
        <v>28</v>
      </c>
      <c r="AP260" s="1031">
        <f>AO260*(списки!$C$56-AM260)</f>
        <v>733.6</v>
      </c>
      <c r="AQ260" s="1026">
        <v>-1.3</v>
      </c>
      <c r="AR260" s="1026"/>
      <c r="AS260" s="1026">
        <f t="shared" si="38"/>
        <v>31</v>
      </c>
      <c r="AT260" s="1026">
        <f>AS260*(списки!$C$56-AQ260)</f>
        <v>660.30000000000007</v>
      </c>
      <c r="AU260" s="1032">
        <v>5.5</v>
      </c>
      <c r="AV260" s="1032"/>
      <c r="AW260" s="1032">
        <f t="shared" si="39"/>
        <v>28.5</v>
      </c>
      <c r="AX260" s="1032">
        <f>AW260*(списки!$C$56-AU260)</f>
        <v>413.25</v>
      </c>
      <c r="AY260" s="1033">
        <v>12</v>
      </c>
      <c r="AZ260" s="1033"/>
      <c r="BA260" s="1033">
        <f t="shared" si="40"/>
        <v>0</v>
      </c>
      <c r="BB260" s="1033">
        <f>BA260*(списки!$C$56-AY260)</f>
        <v>0</v>
      </c>
      <c r="BC260" s="1034">
        <v>15.9</v>
      </c>
      <c r="BD260" s="1034"/>
      <c r="BE260" s="1034">
        <f t="shared" si="41"/>
        <v>0</v>
      </c>
      <c r="BF260" s="1035">
        <f>BE260*(списки!$C$56-BC260)</f>
        <v>0</v>
      </c>
      <c r="BG260" s="1424">
        <v>4215.7249999999995</v>
      </c>
      <c r="BH260" s="1424">
        <v>4000.2374999999997</v>
      </c>
    </row>
    <row r="261" spans="2:60" ht="15.75" customHeight="1" x14ac:dyDescent="0.25">
      <c r="B261" s="1014" t="s">
        <v>267</v>
      </c>
      <c r="C261" s="1014" t="s">
        <v>268</v>
      </c>
      <c r="D261" s="1015" t="str">
        <f t="shared" si="43"/>
        <v>Республика АдыгеяМайкоп</v>
      </c>
      <c r="E261" s="1016">
        <v>148</v>
      </c>
      <c r="F261" s="1017">
        <v>2.2999999999999998</v>
      </c>
      <c r="G261" s="1017">
        <v>-19</v>
      </c>
      <c r="H261" s="1019">
        <v>5.7</v>
      </c>
      <c r="I261" s="1020">
        <f>E261*(списки!$C$56-F261)</f>
        <v>2619.6</v>
      </c>
      <c r="J261" s="1021" t="str">
        <f t="shared" si="33"/>
        <v>2000-3000</v>
      </c>
      <c r="K261" s="1022">
        <v>22.2</v>
      </c>
      <c r="L261" s="1022"/>
      <c r="M261" s="1023">
        <f t="shared" si="34"/>
        <v>0</v>
      </c>
      <c r="N261" s="1024">
        <f>M261*(списки!$C$56-K261)</f>
        <v>0</v>
      </c>
      <c r="O261" s="1025">
        <v>21.9</v>
      </c>
      <c r="P261" s="1025"/>
      <c r="Q261" s="1025">
        <f t="shared" si="35"/>
        <v>0</v>
      </c>
      <c r="R261" s="1025">
        <f>Q261*(списки!$C$56-O261)</f>
        <v>0</v>
      </c>
      <c r="S261" s="1026">
        <v>17.100000000000001</v>
      </c>
      <c r="T261" s="1026"/>
      <c r="U261" s="1026">
        <f t="shared" si="42"/>
        <v>0</v>
      </c>
      <c r="V261" s="1026">
        <f>U261*(списки!$C$56-S261)</f>
        <v>0</v>
      </c>
      <c r="W261" s="1027">
        <v>11.2</v>
      </c>
      <c r="X261" s="1027"/>
      <c r="Y261" s="1027">
        <f t="shared" si="36"/>
        <v>0</v>
      </c>
      <c r="Z261" s="1027">
        <f>Y261*(списки!$C$56-W261)</f>
        <v>0</v>
      </c>
      <c r="AA261" s="1028">
        <v>6.2</v>
      </c>
      <c r="AB261" s="1028"/>
      <c r="AC261" s="1028">
        <f t="shared" si="37"/>
        <v>29</v>
      </c>
      <c r="AD261" s="1028">
        <f>AC261*(списки!$C$56-AA261)</f>
        <v>400.20000000000005</v>
      </c>
      <c r="AE261" s="1029">
        <v>1.4</v>
      </c>
      <c r="AF261" s="1029"/>
      <c r="AG261" s="1029">
        <v>31</v>
      </c>
      <c r="AH261" s="1029">
        <f>AG261*(списки!$C$56-AE261)</f>
        <v>576.6</v>
      </c>
      <c r="AI261" s="1030">
        <v>-1.4</v>
      </c>
      <c r="AJ261" s="1030"/>
      <c r="AK261" s="1030">
        <v>31</v>
      </c>
      <c r="AL261" s="1030">
        <f>AK261*(списки!$C$56-AI261)</f>
        <v>663.4</v>
      </c>
      <c r="AM261" s="1031">
        <v>0.3</v>
      </c>
      <c r="AN261" s="1031"/>
      <c r="AO261" s="1031">
        <v>28</v>
      </c>
      <c r="AP261" s="1031">
        <f>AO261*(списки!$C$56-AM261)</f>
        <v>551.6</v>
      </c>
      <c r="AQ261" s="1026">
        <v>4.0999999999999996</v>
      </c>
      <c r="AR261" s="1026"/>
      <c r="AS261" s="1026">
        <f t="shared" si="38"/>
        <v>29</v>
      </c>
      <c r="AT261" s="1026">
        <f>AS261*(списки!$C$56-AQ261)</f>
        <v>461.1</v>
      </c>
      <c r="AU261" s="1032">
        <v>11.3</v>
      </c>
      <c r="AV261" s="1032"/>
      <c r="AW261" s="1032">
        <f t="shared" si="39"/>
        <v>0</v>
      </c>
      <c r="AX261" s="1032">
        <f>AW261*(списки!$C$56-AU261)</f>
        <v>0</v>
      </c>
      <c r="AY261" s="1033">
        <v>16.5</v>
      </c>
      <c r="AZ261" s="1033"/>
      <c r="BA261" s="1033">
        <f t="shared" si="40"/>
        <v>0</v>
      </c>
      <c r="BB261" s="1033">
        <f>BA261*(списки!$C$56-AY261)</f>
        <v>0</v>
      </c>
      <c r="BC261" s="1034">
        <v>19.7</v>
      </c>
      <c r="BD261" s="1034"/>
      <c r="BE261" s="1034">
        <f t="shared" si="41"/>
        <v>0</v>
      </c>
      <c r="BF261" s="1035">
        <f>BE261*(списки!$C$56-BC261)</f>
        <v>0</v>
      </c>
      <c r="BG261" s="1424">
        <v>2649.4250000000006</v>
      </c>
      <c r="BH261" s="1424">
        <v>2469.7875000000004</v>
      </c>
    </row>
    <row r="262" spans="2:60" ht="15.75" customHeight="1" x14ac:dyDescent="0.25">
      <c r="B262" s="1038" t="s">
        <v>620</v>
      </c>
      <c r="C262" s="1038" t="s">
        <v>9</v>
      </c>
      <c r="D262" s="1015" t="str">
        <f t="shared" si="43"/>
        <v>республика АлтайБеля</v>
      </c>
      <c r="E262" s="1016">
        <v>223</v>
      </c>
      <c r="F262" s="1017">
        <v>-2.7</v>
      </c>
      <c r="G262" s="1017">
        <v>-23</v>
      </c>
      <c r="H262" s="1019">
        <v>7</v>
      </c>
      <c r="I262" s="1020">
        <f>E262*(списки!$C$56-F262)</f>
        <v>5062.0999999999995</v>
      </c>
      <c r="J262" s="1021" t="str">
        <f t="shared" si="33"/>
        <v>5000-6000</v>
      </c>
      <c r="K262" s="1022">
        <v>16.899999999999999</v>
      </c>
      <c r="L262" s="1022"/>
      <c r="M262" s="1023">
        <f t="shared" si="34"/>
        <v>0</v>
      </c>
      <c r="N262" s="1024">
        <f>M262*(списки!$C$56-K262)</f>
        <v>0</v>
      </c>
      <c r="O262" s="1025">
        <v>15.5</v>
      </c>
      <c r="P262" s="1025"/>
      <c r="Q262" s="1025">
        <f t="shared" si="35"/>
        <v>0</v>
      </c>
      <c r="R262" s="1025">
        <f>Q262*(списки!$C$56-O262)</f>
        <v>0</v>
      </c>
      <c r="S262" s="1026">
        <v>10.7</v>
      </c>
      <c r="T262" s="1026"/>
      <c r="U262" s="1026">
        <f t="shared" si="42"/>
        <v>5.5</v>
      </c>
      <c r="V262" s="1026">
        <f>U262*(списки!$C$56-S262)</f>
        <v>51.150000000000006</v>
      </c>
      <c r="W262" s="1027">
        <v>4.0999999999999996</v>
      </c>
      <c r="X262" s="1027"/>
      <c r="Y262" s="1027">
        <f t="shared" si="36"/>
        <v>31</v>
      </c>
      <c r="Z262" s="1027">
        <f>Y262*(списки!$C$56-W262)</f>
        <v>492.90000000000003</v>
      </c>
      <c r="AA262" s="1028">
        <v>-3.2</v>
      </c>
      <c r="AB262" s="1028"/>
      <c r="AC262" s="1028">
        <f t="shared" si="37"/>
        <v>30</v>
      </c>
      <c r="AD262" s="1028">
        <f>AC262*(списки!$C$56-AA262)</f>
        <v>696</v>
      </c>
      <c r="AE262" s="1029">
        <v>-7.9</v>
      </c>
      <c r="AF262" s="1029"/>
      <c r="AG262" s="1029">
        <v>31</v>
      </c>
      <c r="AH262" s="1029">
        <f>AG262*(списки!$C$56-AE262)</f>
        <v>864.9</v>
      </c>
      <c r="AI262" s="1030">
        <v>-9.1999999999999993</v>
      </c>
      <c r="AJ262" s="1030"/>
      <c r="AK262" s="1030">
        <v>31</v>
      </c>
      <c r="AL262" s="1030">
        <f>AK262*(списки!$C$56-AI262)</f>
        <v>905.19999999999993</v>
      </c>
      <c r="AM262" s="1031">
        <v>-8.1</v>
      </c>
      <c r="AN262" s="1031"/>
      <c r="AO262" s="1031">
        <v>28</v>
      </c>
      <c r="AP262" s="1031">
        <f>AO262*(списки!$C$56-AM262)</f>
        <v>786.80000000000007</v>
      </c>
      <c r="AQ262" s="1026">
        <v>-3.2</v>
      </c>
      <c r="AR262" s="1026"/>
      <c r="AS262" s="1026">
        <f t="shared" si="38"/>
        <v>31</v>
      </c>
      <c r="AT262" s="1026">
        <f>AS262*(списки!$C$56-AQ262)</f>
        <v>719.19999999999993</v>
      </c>
      <c r="AU262" s="1032">
        <v>3.2</v>
      </c>
      <c r="AV262" s="1032"/>
      <c r="AW262" s="1032">
        <f t="shared" si="39"/>
        <v>30</v>
      </c>
      <c r="AX262" s="1032">
        <f>AW262*(списки!$C$56-AU262)</f>
        <v>504</v>
      </c>
      <c r="AY262" s="1033">
        <v>9.5</v>
      </c>
      <c r="AZ262" s="1033"/>
      <c r="BA262" s="1033">
        <f t="shared" si="40"/>
        <v>5.5</v>
      </c>
      <c r="BB262" s="1033">
        <f>BA262*(списки!$C$56-AY262)</f>
        <v>57.75</v>
      </c>
      <c r="BC262" s="1034">
        <v>14.6</v>
      </c>
      <c r="BD262" s="1034"/>
      <c r="BE262" s="1034">
        <f t="shared" si="41"/>
        <v>0</v>
      </c>
      <c r="BF262" s="1035">
        <f>BE262*(списки!$C$56-BC262)</f>
        <v>0</v>
      </c>
      <c r="BG262" s="1424">
        <v>4822.4107142857147</v>
      </c>
      <c r="BH262" s="1424">
        <v>4609.8250000000007</v>
      </c>
    </row>
    <row r="263" spans="2:60" ht="15.75" customHeight="1" x14ac:dyDescent="0.25">
      <c r="B263" s="1014" t="s">
        <v>620</v>
      </c>
      <c r="C263" s="1014" t="s">
        <v>10</v>
      </c>
      <c r="D263" s="1015" t="str">
        <f t="shared" si="43"/>
        <v>республика АлтайКатанда</v>
      </c>
      <c r="E263" s="1016">
        <v>237</v>
      </c>
      <c r="F263" s="1017">
        <v>-9.1999999999999993</v>
      </c>
      <c r="G263" s="1017">
        <v>-40</v>
      </c>
      <c r="H263" s="1019">
        <v>1.8</v>
      </c>
      <c r="I263" s="1020">
        <f>E263*(списки!$C$56-F263)</f>
        <v>6920.4</v>
      </c>
      <c r="J263" s="1021" t="str">
        <f t="shared" si="33"/>
        <v>6000-7000</v>
      </c>
      <c r="K263" s="1022">
        <v>15.5</v>
      </c>
      <c r="L263" s="1022"/>
      <c r="M263" s="1023">
        <f t="shared" si="34"/>
        <v>0</v>
      </c>
      <c r="N263" s="1024">
        <f>M263*(списки!$C$56-K263)</f>
        <v>0</v>
      </c>
      <c r="O263" s="1025">
        <v>13.3</v>
      </c>
      <c r="P263" s="1025"/>
      <c r="Q263" s="1025">
        <f t="shared" si="35"/>
        <v>0</v>
      </c>
      <c r="R263" s="1025">
        <f>Q263*(списки!$C$56-O263)</f>
        <v>0</v>
      </c>
      <c r="S263" s="1026">
        <v>7.9</v>
      </c>
      <c r="T263" s="1026"/>
      <c r="U263" s="1026">
        <f t="shared" si="42"/>
        <v>12.5</v>
      </c>
      <c r="V263" s="1026">
        <f>U263*(списки!$C$56-S263)</f>
        <v>151.25</v>
      </c>
      <c r="W263" s="1027">
        <v>0.2</v>
      </c>
      <c r="X263" s="1027"/>
      <c r="Y263" s="1027">
        <f t="shared" si="36"/>
        <v>31</v>
      </c>
      <c r="Z263" s="1027">
        <f>Y263*(списки!$C$56-W263)</f>
        <v>613.80000000000007</v>
      </c>
      <c r="AA263" s="1028">
        <v>-11.4</v>
      </c>
      <c r="AB263" s="1028"/>
      <c r="AC263" s="1028">
        <f t="shared" si="37"/>
        <v>30</v>
      </c>
      <c r="AD263" s="1028">
        <f>AC263*(списки!$C$56-AA263)</f>
        <v>942</v>
      </c>
      <c r="AE263" s="1029">
        <v>-19.899999999999999</v>
      </c>
      <c r="AF263" s="1029"/>
      <c r="AG263" s="1029">
        <v>31</v>
      </c>
      <c r="AH263" s="1029">
        <f>AG263*(списки!$C$56-AE263)</f>
        <v>1236.8999999999999</v>
      </c>
      <c r="AI263" s="1030">
        <v>-22.8</v>
      </c>
      <c r="AJ263" s="1030"/>
      <c r="AK263" s="1030">
        <v>31</v>
      </c>
      <c r="AL263" s="1030">
        <f>AK263*(списки!$C$56-AI263)</f>
        <v>1326.8</v>
      </c>
      <c r="AM263" s="1031">
        <v>-18.8</v>
      </c>
      <c r="AN263" s="1031"/>
      <c r="AO263" s="1031">
        <v>28</v>
      </c>
      <c r="AP263" s="1031">
        <f>AO263*(списки!$C$56-AM263)</f>
        <v>1086.3999999999999</v>
      </c>
      <c r="AQ263" s="1026">
        <v>-9.1999999999999993</v>
      </c>
      <c r="AR263" s="1026"/>
      <c r="AS263" s="1026">
        <f t="shared" si="38"/>
        <v>31</v>
      </c>
      <c r="AT263" s="1026">
        <f>AS263*(списки!$C$56-AQ263)</f>
        <v>905.19999999999993</v>
      </c>
      <c r="AU263" s="1032">
        <v>2.2999999999999998</v>
      </c>
      <c r="AV263" s="1032"/>
      <c r="AW263" s="1032">
        <f t="shared" si="39"/>
        <v>30</v>
      </c>
      <c r="AX263" s="1032">
        <f>AW263*(списки!$C$56-AU263)</f>
        <v>531</v>
      </c>
      <c r="AY263" s="1033">
        <v>9.5</v>
      </c>
      <c r="AZ263" s="1033"/>
      <c r="BA263" s="1033">
        <f t="shared" si="40"/>
        <v>12.5</v>
      </c>
      <c r="BB263" s="1033">
        <f>BA263*(списки!$C$56-AY263)</f>
        <v>131.25</v>
      </c>
      <c r="BC263" s="1034">
        <v>14.2</v>
      </c>
      <c r="BD263" s="1034"/>
      <c r="BE263" s="1034">
        <f t="shared" si="41"/>
        <v>0</v>
      </c>
      <c r="BF263" s="1035">
        <f>BE263*(списки!$C$56-BC263)</f>
        <v>0</v>
      </c>
      <c r="BG263" s="1424" t="e">
        <v>#N/A</v>
      </c>
      <c r="BH263" s="1424" t="e">
        <v>#N/A</v>
      </c>
    </row>
    <row r="264" spans="2:60" ht="15.75" customHeight="1" x14ac:dyDescent="0.25">
      <c r="B264" s="1038" t="s">
        <v>620</v>
      </c>
      <c r="C264" s="1038" t="s">
        <v>11</v>
      </c>
      <c r="D264" s="1015" t="str">
        <f t="shared" si="43"/>
        <v>республика АлтайКош-Агач</v>
      </c>
      <c r="E264" s="1016">
        <v>256</v>
      </c>
      <c r="F264" s="1017">
        <v>-12</v>
      </c>
      <c r="G264" s="1017">
        <v>-42</v>
      </c>
      <c r="H264" s="1019">
        <v>1.5</v>
      </c>
      <c r="I264" s="1020">
        <f>E264*(списки!$C$56-F264)</f>
        <v>8192</v>
      </c>
      <c r="J264" s="1021" t="str">
        <f t="shared" si="33"/>
        <v>8000-9000</v>
      </c>
      <c r="K264" s="1022">
        <v>14.6</v>
      </c>
      <c r="L264" s="1022"/>
      <c r="M264" s="1023">
        <f t="shared" si="34"/>
        <v>0</v>
      </c>
      <c r="N264" s="1024">
        <f>M264*(списки!$C$56-K264)</f>
        <v>0</v>
      </c>
      <c r="O264" s="1025">
        <v>12.4</v>
      </c>
      <c r="P264" s="1025"/>
      <c r="Q264" s="1025">
        <f t="shared" si="35"/>
        <v>0</v>
      </c>
      <c r="R264" s="1025">
        <f>Q264*(списки!$C$56-O264)</f>
        <v>0</v>
      </c>
      <c r="S264" s="1026">
        <v>6.4</v>
      </c>
      <c r="T264" s="1026"/>
      <c r="U264" s="1026">
        <f t="shared" si="42"/>
        <v>22</v>
      </c>
      <c r="V264" s="1026">
        <f>U264*(списки!$C$56-S264)</f>
        <v>299.2</v>
      </c>
      <c r="W264" s="1027">
        <v>-2.9</v>
      </c>
      <c r="X264" s="1027"/>
      <c r="Y264" s="1027">
        <f t="shared" si="36"/>
        <v>31</v>
      </c>
      <c r="Z264" s="1027">
        <f>Y264*(списки!$C$56-W264)</f>
        <v>709.9</v>
      </c>
      <c r="AA264" s="1028">
        <v>-15.5</v>
      </c>
      <c r="AB264" s="1028"/>
      <c r="AC264" s="1028">
        <f t="shared" si="37"/>
        <v>30</v>
      </c>
      <c r="AD264" s="1028">
        <f>AC264*(списки!$C$56-AA264)</f>
        <v>1065</v>
      </c>
      <c r="AE264" s="1029">
        <v>-24.6</v>
      </c>
      <c r="AF264" s="1029"/>
      <c r="AG264" s="1029">
        <v>31</v>
      </c>
      <c r="AH264" s="1029">
        <f>AG264*(списки!$C$56-AE264)</f>
        <v>1382.6000000000001</v>
      </c>
      <c r="AI264" s="1030">
        <v>-27.5</v>
      </c>
      <c r="AJ264" s="1030"/>
      <c r="AK264" s="1030">
        <v>31</v>
      </c>
      <c r="AL264" s="1030">
        <f>AK264*(списки!$C$56-AI264)</f>
        <v>1472.5</v>
      </c>
      <c r="AM264" s="1031">
        <v>-23.6</v>
      </c>
      <c r="AN264" s="1031"/>
      <c r="AO264" s="1031">
        <v>28</v>
      </c>
      <c r="AP264" s="1031">
        <f>AO264*(списки!$C$56-AM264)</f>
        <v>1220.8</v>
      </c>
      <c r="AQ264" s="1026">
        <v>-12.2</v>
      </c>
      <c r="AR264" s="1026"/>
      <c r="AS264" s="1026">
        <f t="shared" si="38"/>
        <v>31</v>
      </c>
      <c r="AT264" s="1026">
        <f>AS264*(списки!$C$56-AQ264)</f>
        <v>998.2</v>
      </c>
      <c r="AU264" s="1032">
        <v>-0.2</v>
      </c>
      <c r="AV264" s="1032"/>
      <c r="AW264" s="1032">
        <f t="shared" si="39"/>
        <v>30</v>
      </c>
      <c r="AX264" s="1032">
        <f>AW264*(списки!$C$56-AU264)</f>
        <v>606</v>
      </c>
      <c r="AY264" s="1033">
        <v>7</v>
      </c>
      <c r="AZ264" s="1033"/>
      <c r="BA264" s="1033">
        <f t="shared" si="40"/>
        <v>22</v>
      </c>
      <c r="BB264" s="1033">
        <f>BA264*(списки!$C$56-AY264)</f>
        <v>286</v>
      </c>
      <c r="BC264" s="1034">
        <v>12.7</v>
      </c>
      <c r="BD264" s="1034"/>
      <c r="BE264" s="1034">
        <f t="shared" si="41"/>
        <v>0</v>
      </c>
      <c r="BF264" s="1035">
        <f>BE264*(списки!$C$56-BC264)</f>
        <v>0</v>
      </c>
      <c r="BG264" s="1424">
        <v>8222.1892857142848</v>
      </c>
      <c r="BH264" s="1424">
        <v>7519.4089285714272</v>
      </c>
    </row>
    <row r="265" spans="2:60" ht="15.75" customHeight="1" x14ac:dyDescent="0.25">
      <c r="B265" s="1014" t="s">
        <v>620</v>
      </c>
      <c r="C265" s="1014" t="s">
        <v>12</v>
      </c>
      <c r="D265" s="1015" t="str">
        <f t="shared" si="43"/>
        <v>республика АлтайОнгудай</v>
      </c>
      <c r="E265" s="1016">
        <v>231</v>
      </c>
      <c r="F265" s="1017">
        <v>-8.3000000000000007</v>
      </c>
      <c r="G265" s="1017">
        <v>-38</v>
      </c>
      <c r="H265" s="1019">
        <v>2.2999999999999998</v>
      </c>
      <c r="I265" s="1020">
        <f>E265*(списки!$C$56-F265)</f>
        <v>6537.3</v>
      </c>
      <c r="J265" s="1021" t="str">
        <f t="shared" ref="J265:J328" si="44">CONCATENATE(ROUNDDOWN(I265/1000,0)*1000,"-",ROUNDUP(I265/1000,0)*1000)</f>
        <v>6000-7000</v>
      </c>
      <c r="K265" s="1022">
        <v>16.3</v>
      </c>
      <c r="L265" s="1022"/>
      <c r="M265" s="1023">
        <f t="shared" ref="M265:M328" si="45">MAX(0,E265-Q265-U265-Y265-AC265-AG265-AK265-AO265-AS265-AW265-BA265-BE265)</f>
        <v>0</v>
      </c>
      <c r="N265" s="1024">
        <f>M265*(списки!$C$56-K265)</f>
        <v>0</v>
      </c>
      <c r="O265" s="1025">
        <v>13.9</v>
      </c>
      <c r="P265" s="1025"/>
      <c r="Q265" s="1025">
        <f t="shared" ref="Q265:Q328" si="46">IF((E265-273)&gt;0,IF((E265-273)/2&gt;31,31,(E265-273)/2),0)</f>
        <v>0</v>
      </c>
      <c r="R265" s="1025">
        <f>Q265*(списки!$C$56-O265)</f>
        <v>0</v>
      </c>
      <c r="S265" s="1026">
        <v>8.5</v>
      </c>
      <c r="T265" s="1026"/>
      <c r="U265" s="1026">
        <f t="shared" si="42"/>
        <v>9.5</v>
      </c>
      <c r="V265" s="1026">
        <f>U265*(списки!$C$56-S265)</f>
        <v>109.25</v>
      </c>
      <c r="W265" s="1027">
        <v>1.1000000000000001</v>
      </c>
      <c r="X265" s="1027"/>
      <c r="Y265" s="1027">
        <f t="shared" ref="Y265:Y328" si="47">IF((E265-151)&gt;0,IF((E265-151)/2&gt;31,31,(E265-151)/2),0)</f>
        <v>31</v>
      </c>
      <c r="Z265" s="1027">
        <f>Y265*(списки!$C$56-W265)</f>
        <v>585.9</v>
      </c>
      <c r="AA265" s="1028">
        <v>-10.1</v>
      </c>
      <c r="AB265" s="1028"/>
      <c r="AC265" s="1028">
        <f t="shared" ref="AC265:AC328" si="48">IF((E265-90)/2&gt;30,30,(E265-90)/2)</f>
        <v>30</v>
      </c>
      <c r="AD265" s="1028">
        <f>AC265*(списки!$C$56-AA265)</f>
        <v>903</v>
      </c>
      <c r="AE265" s="1029">
        <v>-18.3</v>
      </c>
      <c r="AF265" s="1029"/>
      <c r="AG265" s="1029">
        <v>31</v>
      </c>
      <c r="AH265" s="1029">
        <f>AG265*(списки!$C$56-AE265)</f>
        <v>1187.3</v>
      </c>
      <c r="AI265" s="1030">
        <v>-21.1</v>
      </c>
      <c r="AJ265" s="1030"/>
      <c r="AK265" s="1030">
        <v>31</v>
      </c>
      <c r="AL265" s="1030">
        <f>AK265*(списки!$C$56-AI265)</f>
        <v>1274.1000000000001</v>
      </c>
      <c r="AM265" s="1031">
        <v>-17.5</v>
      </c>
      <c r="AN265" s="1031"/>
      <c r="AO265" s="1031">
        <v>28</v>
      </c>
      <c r="AP265" s="1031">
        <f>AO265*(списки!$C$56-AM265)</f>
        <v>1050</v>
      </c>
      <c r="AQ265" s="1026">
        <v>-7.2</v>
      </c>
      <c r="AR265" s="1026"/>
      <c r="AS265" s="1026">
        <f t="shared" ref="AS265:AS328" si="49">IF((E265-90)/2&gt;31,31,(E265-90)/2)</f>
        <v>31</v>
      </c>
      <c r="AT265" s="1026">
        <f>AS265*(списки!$C$56-AQ265)</f>
        <v>843.19999999999993</v>
      </c>
      <c r="AU265" s="1032">
        <v>3.5</v>
      </c>
      <c r="AV265" s="1032"/>
      <c r="AW265" s="1032">
        <f t="shared" ref="AW265:AW328" si="50">IF((E265-151)&gt;0,IF((E265-151)/2&gt;30,30,(E265-151)/2),0)</f>
        <v>30</v>
      </c>
      <c r="AX265" s="1032">
        <f>AW265*(списки!$C$56-AU265)</f>
        <v>495</v>
      </c>
      <c r="AY265" s="1033">
        <v>10</v>
      </c>
      <c r="AZ265" s="1033"/>
      <c r="BA265" s="1033">
        <f t="shared" ref="BA265:BA328" si="51">IF((E265-212)&gt;0,IF((E265-212)/2&gt;31,31,(E265-212)/2),0)</f>
        <v>9.5</v>
      </c>
      <c r="BB265" s="1033">
        <f>BA265*(списки!$C$56-AY265)</f>
        <v>95</v>
      </c>
      <c r="BC265" s="1034">
        <v>14.9</v>
      </c>
      <c r="BD265" s="1034"/>
      <c r="BE265" s="1034">
        <f t="shared" ref="BE265:BE328" si="52">IF((E265-273)&gt;0,IF((E265-273)/2&gt;30,30,(E265-273)/2),0)</f>
        <v>0</v>
      </c>
      <c r="BF265" s="1035">
        <f>BE265*(списки!$C$56-BC265)</f>
        <v>0</v>
      </c>
      <c r="BG265" s="1424" t="e">
        <v>#N/A</v>
      </c>
      <c r="BH265" s="1424" t="e">
        <v>#N/A</v>
      </c>
    </row>
    <row r="266" spans="2:60" ht="15.75" customHeight="1" x14ac:dyDescent="0.25">
      <c r="B266" s="1038" t="s">
        <v>269</v>
      </c>
      <c r="C266" s="1038" t="s">
        <v>270</v>
      </c>
      <c r="D266" s="1015" t="str">
        <f t="shared" si="43"/>
        <v>Республика БашкортостанБелорецк</v>
      </c>
      <c r="E266" s="1016">
        <v>231</v>
      </c>
      <c r="F266" s="1017">
        <v>-6.5</v>
      </c>
      <c r="G266" s="1017">
        <v>-34</v>
      </c>
      <c r="H266" s="1019">
        <v>5.6</v>
      </c>
      <c r="I266" s="1020">
        <f>E266*(списки!$C$56-F266)</f>
        <v>6121.5</v>
      </c>
      <c r="J266" s="1021" t="str">
        <f t="shared" si="44"/>
        <v>6000-7000</v>
      </c>
      <c r="K266" s="1022">
        <v>16</v>
      </c>
      <c r="L266" s="1022"/>
      <c r="M266" s="1023">
        <f t="shared" si="45"/>
        <v>0</v>
      </c>
      <c r="N266" s="1024">
        <f>M266*(списки!$C$56-K266)</f>
        <v>0</v>
      </c>
      <c r="O266" s="1025">
        <v>14.2</v>
      </c>
      <c r="P266" s="1025"/>
      <c r="Q266" s="1025">
        <f t="shared" si="46"/>
        <v>0</v>
      </c>
      <c r="R266" s="1025">
        <f>Q266*(списки!$C$56-O266)</f>
        <v>0</v>
      </c>
      <c r="S266" s="1026">
        <v>8.6999999999999993</v>
      </c>
      <c r="T266" s="1026"/>
      <c r="U266" s="1026">
        <f t="shared" ref="U266:U329" si="53">IF((E266-212)&gt;0,IF((E266-212)/2&gt;30,30,(E266-212)/2),0)</f>
        <v>9.5</v>
      </c>
      <c r="V266" s="1026">
        <f>U266*(списки!$C$56-S266)</f>
        <v>107.35000000000001</v>
      </c>
      <c r="W266" s="1027">
        <v>0.7</v>
      </c>
      <c r="X266" s="1027"/>
      <c r="Y266" s="1027">
        <f t="shared" si="47"/>
        <v>31</v>
      </c>
      <c r="Z266" s="1027">
        <f>Y266*(списки!$C$56-W266)</f>
        <v>598.30000000000007</v>
      </c>
      <c r="AA266" s="1028">
        <v>-7.4</v>
      </c>
      <c r="AB266" s="1028"/>
      <c r="AC266" s="1028">
        <f t="shared" si="48"/>
        <v>30</v>
      </c>
      <c r="AD266" s="1028">
        <f>AC266*(списки!$C$56-AA266)</f>
        <v>822</v>
      </c>
      <c r="AE266" s="1029">
        <v>-13.8</v>
      </c>
      <c r="AF266" s="1029"/>
      <c r="AG266" s="1029">
        <v>31</v>
      </c>
      <c r="AH266" s="1029">
        <f>AG266*(списки!$C$56-AE266)</f>
        <v>1047.8</v>
      </c>
      <c r="AI266" s="1030">
        <v>-16.2</v>
      </c>
      <c r="AJ266" s="1030"/>
      <c r="AK266" s="1030">
        <v>31</v>
      </c>
      <c r="AL266" s="1030">
        <f>AK266*(списки!$C$56-AI266)</f>
        <v>1122.2</v>
      </c>
      <c r="AM266" s="1031">
        <v>-14.4</v>
      </c>
      <c r="AN266" s="1031"/>
      <c r="AO266" s="1031">
        <v>28</v>
      </c>
      <c r="AP266" s="1031">
        <f>AO266*(списки!$C$56-AM266)</f>
        <v>963.19999999999993</v>
      </c>
      <c r="AQ266" s="1026">
        <v>-7.8</v>
      </c>
      <c r="AR266" s="1026"/>
      <c r="AS266" s="1026">
        <f t="shared" si="49"/>
        <v>31</v>
      </c>
      <c r="AT266" s="1026">
        <f>AS266*(списки!$C$56-AQ266)</f>
        <v>861.80000000000007</v>
      </c>
      <c r="AU266" s="1032">
        <v>2.7</v>
      </c>
      <c r="AV266" s="1032"/>
      <c r="AW266" s="1032">
        <f t="shared" si="50"/>
        <v>30</v>
      </c>
      <c r="AX266" s="1032">
        <f>AW266*(списки!$C$56-AU266)</f>
        <v>519</v>
      </c>
      <c r="AY266" s="1033">
        <v>10.199999999999999</v>
      </c>
      <c r="AZ266" s="1033"/>
      <c r="BA266" s="1033">
        <f t="shared" si="51"/>
        <v>9.5</v>
      </c>
      <c r="BB266" s="1033">
        <f>BA266*(списки!$C$56-AY266)</f>
        <v>93.100000000000009</v>
      </c>
      <c r="BC266" s="1034">
        <v>14.5</v>
      </c>
      <c r="BD266" s="1034"/>
      <c r="BE266" s="1034">
        <f t="shared" si="52"/>
        <v>0</v>
      </c>
      <c r="BF266" s="1035">
        <f>BE266*(списки!$C$56-BC266)</f>
        <v>0</v>
      </c>
      <c r="BG266" s="1424" t="e">
        <v>#N/A</v>
      </c>
      <c r="BH266" s="1424" t="e">
        <v>#N/A</v>
      </c>
    </row>
    <row r="267" spans="2:60" ht="15.75" customHeight="1" x14ac:dyDescent="0.25">
      <c r="B267" s="1014" t="s">
        <v>269</v>
      </c>
      <c r="C267" s="1014" t="s">
        <v>271</v>
      </c>
      <c r="D267" s="1015" t="str">
        <f t="shared" si="43"/>
        <v>Республика БашкортостанДуван</v>
      </c>
      <c r="E267" s="1016">
        <v>224</v>
      </c>
      <c r="F267" s="1017">
        <v>-6</v>
      </c>
      <c r="G267" s="1017">
        <v>-34</v>
      </c>
      <c r="H267" s="1019">
        <v>3.6</v>
      </c>
      <c r="I267" s="1020">
        <f>E267*(списки!$C$56-F267)</f>
        <v>5824</v>
      </c>
      <c r="J267" s="1021" t="str">
        <f t="shared" si="44"/>
        <v>5000-6000</v>
      </c>
      <c r="K267" s="1022">
        <v>17.600000000000001</v>
      </c>
      <c r="L267" s="1022"/>
      <c r="M267" s="1023">
        <f t="shared" si="45"/>
        <v>0</v>
      </c>
      <c r="N267" s="1024">
        <f>M267*(списки!$C$56-K267)</f>
        <v>0</v>
      </c>
      <c r="O267" s="1025">
        <v>15.1</v>
      </c>
      <c r="P267" s="1025"/>
      <c r="Q267" s="1025">
        <f t="shared" si="46"/>
        <v>0</v>
      </c>
      <c r="R267" s="1025">
        <f>Q267*(списки!$C$56-O267)</f>
        <v>0</v>
      </c>
      <c r="S267" s="1026">
        <v>9.5</v>
      </c>
      <c r="T267" s="1026"/>
      <c r="U267" s="1026">
        <f t="shared" si="53"/>
        <v>6</v>
      </c>
      <c r="V267" s="1026">
        <f>U267*(списки!$C$56-S267)</f>
        <v>63</v>
      </c>
      <c r="W267" s="1027">
        <v>2.2000000000000002</v>
      </c>
      <c r="X267" s="1027"/>
      <c r="Y267" s="1027">
        <f t="shared" si="47"/>
        <v>31</v>
      </c>
      <c r="Z267" s="1027">
        <f>Y267*(списки!$C$56-W267)</f>
        <v>551.80000000000007</v>
      </c>
      <c r="AA267" s="1028">
        <v>-5.7</v>
      </c>
      <c r="AB267" s="1028"/>
      <c r="AC267" s="1028">
        <f t="shared" si="48"/>
        <v>30</v>
      </c>
      <c r="AD267" s="1028">
        <f>AC267*(списки!$C$56-AA267)</f>
        <v>771</v>
      </c>
      <c r="AE267" s="1029">
        <v>-11.8</v>
      </c>
      <c r="AF267" s="1029"/>
      <c r="AG267" s="1029">
        <v>31</v>
      </c>
      <c r="AH267" s="1029">
        <f>AG267*(списки!$C$56-AE267)</f>
        <v>985.80000000000007</v>
      </c>
      <c r="AI267" s="1030">
        <v>-14.3</v>
      </c>
      <c r="AJ267" s="1030"/>
      <c r="AK267" s="1030">
        <v>31</v>
      </c>
      <c r="AL267" s="1030">
        <f>AK267*(списки!$C$56-AI267)</f>
        <v>1063.3</v>
      </c>
      <c r="AM267" s="1031">
        <v>-13.1</v>
      </c>
      <c r="AN267" s="1031"/>
      <c r="AO267" s="1031">
        <v>28</v>
      </c>
      <c r="AP267" s="1031">
        <f>AO267*(списки!$C$56-AM267)</f>
        <v>926.80000000000007</v>
      </c>
      <c r="AQ267" s="1026">
        <v>-5.8</v>
      </c>
      <c r="AR267" s="1026"/>
      <c r="AS267" s="1026">
        <f t="shared" si="49"/>
        <v>31</v>
      </c>
      <c r="AT267" s="1026">
        <f>AS267*(списки!$C$56-AQ267)</f>
        <v>799.80000000000007</v>
      </c>
      <c r="AU267" s="1032">
        <v>3.4</v>
      </c>
      <c r="AV267" s="1032"/>
      <c r="AW267" s="1032">
        <f t="shared" si="50"/>
        <v>30</v>
      </c>
      <c r="AX267" s="1032">
        <f>AW267*(списки!$C$56-AU267)</f>
        <v>498.00000000000006</v>
      </c>
      <c r="AY267" s="1033">
        <v>11.1</v>
      </c>
      <c r="AZ267" s="1033"/>
      <c r="BA267" s="1033">
        <f t="shared" si="51"/>
        <v>6</v>
      </c>
      <c r="BB267" s="1033">
        <f>BA267*(списки!$C$56-AY267)</f>
        <v>53.400000000000006</v>
      </c>
      <c r="BC267" s="1034">
        <v>15.9</v>
      </c>
      <c r="BD267" s="1034"/>
      <c r="BE267" s="1034">
        <f t="shared" si="52"/>
        <v>0</v>
      </c>
      <c r="BF267" s="1035">
        <f>BE267*(списки!$C$56-BC267)</f>
        <v>0</v>
      </c>
      <c r="BG267" s="1424" t="e">
        <v>#N/A</v>
      </c>
      <c r="BH267" s="1424" t="e">
        <v>#N/A</v>
      </c>
    </row>
    <row r="268" spans="2:60" ht="15.75" customHeight="1" x14ac:dyDescent="0.25">
      <c r="B268" s="1038" t="s">
        <v>269</v>
      </c>
      <c r="C268" s="1038" t="s">
        <v>272</v>
      </c>
      <c r="D268" s="1015" t="str">
        <f t="shared" ref="D268:D331" si="54">CONCATENATE(B268,C268)</f>
        <v>Республика БашкортостанМелеуз</v>
      </c>
      <c r="E268" s="1016">
        <v>210</v>
      </c>
      <c r="F268" s="1017">
        <v>-6.4</v>
      </c>
      <c r="G268" s="1017">
        <v>-35</v>
      </c>
      <c r="H268" s="1019">
        <v>5</v>
      </c>
      <c r="I268" s="1020">
        <f>E268*(списки!$C$56-F268)</f>
        <v>5544</v>
      </c>
      <c r="J268" s="1021" t="str">
        <f t="shared" si="44"/>
        <v>5000-6000</v>
      </c>
      <c r="K268" s="1022">
        <v>19.600000000000001</v>
      </c>
      <c r="L268" s="1022"/>
      <c r="M268" s="1023">
        <f t="shared" si="45"/>
        <v>0</v>
      </c>
      <c r="N268" s="1024">
        <f>M268*(списки!$C$56-K268)</f>
        <v>0</v>
      </c>
      <c r="O268" s="1025">
        <v>17.899999999999999</v>
      </c>
      <c r="P268" s="1025"/>
      <c r="Q268" s="1025">
        <f t="shared" si="46"/>
        <v>0</v>
      </c>
      <c r="R268" s="1025">
        <f>Q268*(списки!$C$56-O268)</f>
        <v>0</v>
      </c>
      <c r="S268" s="1026">
        <v>11.7</v>
      </c>
      <c r="T268" s="1026"/>
      <c r="U268" s="1026">
        <f t="shared" si="53"/>
        <v>0</v>
      </c>
      <c r="V268" s="1026">
        <f>U268*(списки!$C$56-S268)</f>
        <v>0</v>
      </c>
      <c r="W268" s="1027">
        <v>3.2</v>
      </c>
      <c r="X268" s="1027"/>
      <c r="Y268" s="1027">
        <f t="shared" si="47"/>
        <v>29.5</v>
      </c>
      <c r="Z268" s="1027">
        <f>Y268*(списки!$C$56-W268)</f>
        <v>495.6</v>
      </c>
      <c r="AA268" s="1028">
        <v>-5.0999999999999996</v>
      </c>
      <c r="AB268" s="1028"/>
      <c r="AC268" s="1028">
        <f t="shared" si="48"/>
        <v>30</v>
      </c>
      <c r="AD268" s="1028">
        <f>AC268*(списки!$C$56-AA268)</f>
        <v>753</v>
      </c>
      <c r="AE268" s="1029">
        <v>-11.8</v>
      </c>
      <c r="AF268" s="1029"/>
      <c r="AG268" s="1029">
        <v>31</v>
      </c>
      <c r="AH268" s="1029">
        <f>AG268*(списки!$C$56-AE268)</f>
        <v>985.80000000000007</v>
      </c>
      <c r="AI268" s="1030">
        <v>-15.5</v>
      </c>
      <c r="AJ268" s="1030"/>
      <c r="AK268" s="1030">
        <v>31</v>
      </c>
      <c r="AL268" s="1030">
        <f>AK268*(списки!$C$56-AI268)</f>
        <v>1100.5</v>
      </c>
      <c r="AM268" s="1031">
        <v>-14.4</v>
      </c>
      <c r="AN268" s="1031"/>
      <c r="AO268" s="1031">
        <v>28</v>
      </c>
      <c r="AP268" s="1031">
        <f>AO268*(списки!$C$56-AM268)</f>
        <v>963.19999999999993</v>
      </c>
      <c r="AQ268" s="1026">
        <v>-7.5</v>
      </c>
      <c r="AR268" s="1026"/>
      <c r="AS268" s="1026">
        <f t="shared" si="49"/>
        <v>31</v>
      </c>
      <c r="AT268" s="1026">
        <f>AS268*(списки!$C$56-AQ268)</f>
        <v>852.5</v>
      </c>
      <c r="AU268" s="1032">
        <v>4.5999999999999996</v>
      </c>
      <c r="AV268" s="1032"/>
      <c r="AW268" s="1032">
        <f t="shared" si="50"/>
        <v>29.5</v>
      </c>
      <c r="AX268" s="1032">
        <f>AW268*(списки!$C$56-AU268)</f>
        <v>454.3</v>
      </c>
      <c r="AY268" s="1033">
        <v>13.6</v>
      </c>
      <c r="AZ268" s="1033"/>
      <c r="BA268" s="1033">
        <f t="shared" si="51"/>
        <v>0</v>
      </c>
      <c r="BB268" s="1033">
        <f>BA268*(списки!$C$56-AY268)</f>
        <v>0</v>
      </c>
      <c r="BC268" s="1034">
        <v>17.8</v>
      </c>
      <c r="BD268" s="1034"/>
      <c r="BE268" s="1034">
        <f t="shared" si="52"/>
        <v>0</v>
      </c>
      <c r="BF268" s="1035">
        <f>BE268*(списки!$C$56-BC268)</f>
        <v>0</v>
      </c>
      <c r="BG268" s="1424" t="e">
        <v>#N/A</v>
      </c>
      <c r="BH268" s="1424" t="e">
        <v>#N/A</v>
      </c>
    </row>
    <row r="269" spans="2:60" ht="15.75" customHeight="1" x14ac:dyDescent="0.25">
      <c r="B269" s="1014" t="s">
        <v>269</v>
      </c>
      <c r="C269" s="1014" t="s">
        <v>273</v>
      </c>
      <c r="D269" s="1015" t="str">
        <f t="shared" si="54"/>
        <v>Республика БашкортостанУфа</v>
      </c>
      <c r="E269" s="1016">
        <v>209</v>
      </c>
      <c r="F269" s="1017">
        <v>-6</v>
      </c>
      <c r="G269" s="1017">
        <v>-33</v>
      </c>
      <c r="H269" s="1019">
        <v>4</v>
      </c>
      <c r="I269" s="1020">
        <f>E269*(списки!$C$56-F269)</f>
        <v>5434</v>
      </c>
      <c r="J269" s="1021" t="str">
        <f t="shared" si="44"/>
        <v>5000-6000</v>
      </c>
      <c r="K269" s="1022">
        <v>19.399999999999999</v>
      </c>
      <c r="L269" s="1022"/>
      <c r="M269" s="1023">
        <f t="shared" si="45"/>
        <v>0</v>
      </c>
      <c r="N269" s="1024">
        <f>M269*(списки!$C$56-K269)</f>
        <v>0</v>
      </c>
      <c r="O269" s="1025">
        <v>17</v>
      </c>
      <c r="P269" s="1025"/>
      <c r="Q269" s="1025">
        <f t="shared" si="46"/>
        <v>0</v>
      </c>
      <c r="R269" s="1025">
        <f>Q269*(списки!$C$56-O269)</f>
        <v>0</v>
      </c>
      <c r="S269" s="1026">
        <v>11.2</v>
      </c>
      <c r="T269" s="1026"/>
      <c r="U269" s="1026">
        <f t="shared" si="53"/>
        <v>0</v>
      </c>
      <c r="V269" s="1026">
        <f>U269*(списки!$C$56-S269)</f>
        <v>0</v>
      </c>
      <c r="W269" s="1027">
        <v>3.8</v>
      </c>
      <c r="X269" s="1027"/>
      <c r="Y269" s="1027">
        <f t="shared" si="47"/>
        <v>29</v>
      </c>
      <c r="Z269" s="1027">
        <f>Y269*(списки!$C$56-W269)</f>
        <v>469.79999999999995</v>
      </c>
      <c r="AA269" s="1028">
        <v>-4</v>
      </c>
      <c r="AB269" s="1028"/>
      <c r="AC269" s="1028">
        <f t="shared" si="48"/>
        <v>30</v>
      </c>
      <c r="AD269" s="1028">
        <f>AC269*(списки!$C$56-AA269)</f>
        <v>720</v>
      </c>
      <c r="AE269" s="1029">
        <v>-11</v>
      </c>
      <c r="AF269" s="1029"/>
      <c r="AG269" s="1029">
        <v>31</v>
      </c>
      <c r="AH269" s="1029">
        <f>AG269*(списки!$C$56-AE269)</f>
        <v>961</v>
      </c>
      <c r="AI269" s="1030">
        <v>-13.8</v>
      </c>
      <c r="AJ269" s="1030"/>
      <c r="AK269" s="1030">
        <v>31</v>
      </c>
      <c r="AL269" s="1030">
        <f>AK269*(списки!$C$56-AI269)</f>
        <v>1047.8</v>
      </c>
      <c r="AM269" s="1031">
        <v>-12.7</v>
      </c>
      <c r="AN269" s="1031"/>
      <c r="AO269" s="1031">
        <v>28</v>
      </c>
      <c r="AP269" s="1031">
        <f>AO269*(списки!$C$56-AM269)</f>
        <v>915.60000000000014</v>
      </c>
      <c r="AQ269" s="1026">
        <v>-5.4</v>
      </c>
      <c r="AR269" s="1026"/>
      <c r="AS269" s="1026">
        <f t="shared" si="49"/>
        <v>31</v>
      </c>
      <c r="AT269" s="1026">
        <f>AS269*(списки!$C$56-AQ269)</f>
        <v>787.4</v>
      </c>
      <c r="AU269" s="1032">
        <v>5.2</v>
      </c>
      <c r="AV269" s="1032"/>
      <c r="AW269" s="1032">
        <f t="shared" si="50"/>
        <v>29</v>
      </c>
      <c r="AX269" s="1032">
        <f>AW269*(списки!$C$56-AU269)</f>
        <v>429.20000000000005</v>
      </c>
      <c r="AY269" s="1033">
        <v>13.2</v>
      </c>
      <c r="AZ269" s="1033"/>
      <c r="BA269" s="1033">
        <f t="shared" si="51"/>
        <v>0</v>
      </c>
      <c r="BB269" s="1033">
        <f>BA269*(списки!$C$56-AY269)</f>
        <v>0</v>
      </c>
      <c r="BC269" s="1034">
        <v>17.600000000000001</v>
      </c>
      <c r="BD269" s="1034"/>
      <c r="BE269" s="1034">
        <f t="shared" si="52"/>
        <v>0</v>
      </c>
      <c r="BF269" s="1035">
        <f>BE269*(списки!$C$56-BC269)</f>
        <v>0</v>
      </c>
      <c r="BG269" s="1424">
        <v>4803.5642857142875</v>
      </c>
      <c r="BH269" s="1424">
        <v>5098.3375000000005</v>
      </c>
    </row>
    <row r="270" spans="2:60" ht="15.75" customHeight="1" x14ac:dyDescent="0.25">
      <c r="B270" s="1038" t="s">
        <v>269</v>
      </c>
      <c r="C270" s="1038" t="s">
        <v>274</v>
      </c>
      <c r="D270" s="1015" t="str">
        <f t="shared" si="54"/>
        <v>Республика БашкортостанЯнаул</v>
      </c>
      <c r="E270" s="1016">
        <v>218</v>
      </c>
      <c r="F270" s="1017">
        <v>-6.1</v>
      </c>
      <c r="G270" s="1017">
        <v>-34</v>
      </c>
      <c r="H270" s="1019">
        <v>6</v>
      </c>
      <c r="I270" s="1020">
        <f>E270*(списки!$C$56-F270)</f>
        <v>5689.8</v>
      </c>
      <c r="J270" s="1021" t="str">
        <f t="shared" si="44"/>
        <v>5000-6000</v>
      </c>
      <c r="K270" s="1022">
        <v>18.8</v>
      </c>
      <c r="L270" s="1022"/>
      <c r="M270" s="1023">
        <f t="shared" si="45"/>
        <v>0</v>
      </c>
      <c r="N270" s="1024">
        <f>M270*(списки!$C$56-K270)</f>
        <v>0</v>
      </c>
      <c r="O270" s="1025">
        <v>16.100000000000001</v>
      </c>
      <c r="P270" s="1025"/>
      <c r="Q270" s="1025">
        <f t="shared" si="46"/>
        <v>0</v>
      </c>
      <c r="R270" s="1025">
        <f>Q270*(списки!$C$56-O270)</f>
        <v>0</v>
      </c>
      <c r="S270" s="1026">
        <v>10.3</v>
      </c>
      <c r="T270" s="1026"/>
      <c r="U270" s="1026">
        <f t="shared" si="53"/>
        <v>3</v>
      </c>
      <c r="V270" s="1026">
        <f>U270*(списки!$C$56-S270)</f>
        <v>29.099999999999998</v>
      </c>
      <c r="W270" s="1027">
        <v>3</v>
      </c>
      <c r="X270" s="1027"/>
      <c r="Y270" s="1027">
        <f t="shared" si="47"/>
        <v>31</v>
      </c>
      <c r="Z270" s="1027">
        <f>Y270*(списки!$C$56-W270)</f>
        <v>527</v>
      </c>
      <c r="AA270" s="1028">
        <v>-4.8</v>
      </c>
      <c r="AB270" s="1028"/>
      <c r="AC270" s="1028">
        <f t="shared" si="48"/>
        <v>30</v>
      </c>
      <c r="AD270" s="1028">
        <f>AC270*(списки!$C$56-AA270)</f>
        <v>744</v>
      </c>
      <c r="AE270" s="1029">
        <v>-11.3</v>
      </c>
      <c r="AF270" s="1029"/>
      <c r="AG270" s="1029">
        <v>31</v>
      </c>
      <c r="AH270" s="1029">
        <f>AG270*(списки!$C$56-AE270)</f>
        <v>970.30000000000007</v>
      </c>
      <c r="AI270" s="1030">
        <v>-14.2</v>
      </c>
      <c r="AJ270" s="1030"/>
      <c r="AK270" s="1030">
        <v>31</v>
      </c>
      <c r="AL270" s="1030">
        <f>AK270*(списки!$C$56-AI270)</f>
        <v>1060.2</v>
      </c>
      <c r="AM270" s="1031">
        <v>-13.5</v>
      </c>
      <c r="AN270" s="1031"/>
      <c r="AO270" s="1031">
        <v>28</v>
      </c>
      <c r="AP270" s="1031">
        <f>AO270*(списки!$C$56-AM270)</f>
        <v>938</v>
      </c>
      <c r="AQ270" s="1026">
        <v>-6.3</v>
      </c>
      <c r="AR270" s="1026"/>
      <c r="AS270" s="1026">
        <f t="shared" si="49"/>
        <v>31</v>
      </c>
      <c r="AT270" s="1026">
        <f>AS270*(списки!$C$56-AQ270)</f>
        <v>815.30000000000007</v>
      </c>
      <c r="AU270" s="1032">
        <v>3.5</v>
      </c>
      <c r="AV270" s="1032"/>
      <c r="AW270" s="1032">
        <f t="shared" si="50"/>
        <v>30</v>
      </c>
      <c r="AX270" s="1032">
        <f>AW270*(списки!$C$56-AU270)</f>
        <v>495</v>
      </c>
      <c r="AY270" s="1033">
        <v>11.9</v>
      </c>
      <c r="AZ270" s="1033"/>
      <c r="BA270" s="1033">
        <f t="shared" si="51"/>
        <v>3</v>
      </c>
      <c r="BB270" s="1033">
        <f>BA270*(списки!$C$56-AY270)</f>
        <v>24.299999999999997</v>
      </c>
      <c r="BC270" s="1034">
        <v>16.7</v>
      </c>
      <c r="BD270" s="1034"/>
      <c r="BE270" s="1034">
        <f t="shared" si="52"/>
        <v>0</v>
      </c>
      <c r="BF270" s="1035">
        <f>BE270*(списки!$C$56-BC270)</f>
        <v>0</v>
      </c>
      <c r="BG270" s="1424" t="e">
        <v>#N/A</v>
      </c>
      <c r="BH270" s="1424" t="e">
        <v>#N/A</v>
      </c>
    </row>
    <row r="271" spans="2:60" ht="15.75" customHeight="1" x14ac:dyDescent="0.25">
      <c r="B271" s="1014" t="s">
        <v>275</v>
      </c>
      <c r="C271" s="1014" t="s">
        <v>276</v>
      </c>
      <c r="D271" s="1015" t="str">
        <f t="shared" si="54"/>
        <v>Республика БурятияБабушкин</v>
      </c>
      <c r="E271" s="1016">
        <v>250</v>
      </c>
      <c r="F271" s="1017">
        <v>-5.5</v>
      </c>
      <c r="G271" s="1017">
        <v>-29</v>
      </c>
      <c r="H271" s="1019">
        <v>5.7</v>
      </c>
      <c r="I271" s="1020">
        <f>E271*(списки!$C$56-F271)</f>
        <v>6375</v>
      </c>
      <c r="J271" s="1021" t="str">
        <f t="shared" si="44"/>
        <v>6000-7000</v>
      </c>
      <c r="K271" s="1022">
        <v>15</v>
      </c>
      <c r="L271" s="1022"/>
      <c r="M271" s="1023">
        <f t="shared" si="45"/>
        <v>0</v>
      </c>
      <c r="N271" s="1024">
        <f>M271*(списки!$C$56-K271)</f>
        <v>0</v>
      </c>
      <c r="O271" s="1025">
        <v>14.5</v>
      </c>
      <c r="P271" s="1025"/>
      <c r="Q271" s="1025">
        <f t="shared" si="46"/>
        <v>0</v>
      </c>
      <c r="R271" s="1025">
        <f>Q271*(списки!$C$56-O271)</f>
        <v>0</v>
      </c>
      <c r="S271" s="1026">
        <v>9.1</v>
      </c>
      <c r="T271" s="1026"/>
      <c r="U271" s="1026">
        <f t="shared" si="53"/>
        <v>19</v>
      </c>
      <c r="V271" s="1026">
        <f>U271*(списки!$C$56-S271)</f>
        <v>207.1</v>
      </c>
      <c r="W271" s="1027">
        <v>2.7</v>
      </c>
      <c r="X271" s="1027"/>
      <c r="Y271" s="1027">
        <f t="shared" si="47"/>
        <v>31</v>
      </c>
      <c r="Z271" s="1027">
        <f>Y271*(списки!$C$56-W271)</f>
        <v>536.30000000000007</v>
      </c>
      <c r="AA271" s="1028">
        <v>-4.3</v>
      </c>
      <c r="AB271" s="1028"/>
      <c r="AC271" s="1028">
        <f t="shared" si="48"/>
        <v>30</v>
      </c>
      <c r="AD271" s="1028">
        <f>AC271*(списки!$C$56-AA271)</f>
        <v>729</v>
      </c>
      <c r="AE271" s="1029">
        <v>-9.3000000000000007</v>
      </c>
      <c r="AF271" s="1029"/>
      <c r="AG271" s="1029">
        <v>31</v>
      </c>
      <c r="AH271" s="1029">
        <f>AG271*(списки!$C$56-AE271)</f>
        <v>908.30000000000007</v>
      </c>
      <c r="AI271" s="1030">
        <v>-15.5</v>
      </c>
      <c r="AJ271" s="1030"/>
      <c r="AK271" s="1030">
        <v>31</v>
      </c>
      <c r="AL271" s="1030">
        <f>AK271*(списки!$C$56-AI271)</f>
        <v>1100.5</v>
      </c>
      <c r="AM271" s="1031">
        <v>-16</v>
      </c>
      <c r="AN271" s="1031"/>
      <c r="AO271" s="1031">
        <v>28</v>
      </c>
      <c r="AP271" s="1031">
        <f>AO271*(списки!$C$56-AM271)</f>
        <v>1008</v>
      </c>
      <c r="AQ271" s="1026">
        <v>-8.9</v>
      </c>
      <c r="AR271" s="1026"/>
      <c r="AS271" s="1026">
        <f t="shared" si="49"/>
        <v>31</v>
      </c>
      <c r="AT271" s="1026">
        <f>AS271*(списки!$C$56-AQ271)</f>
        <v>895.9</v>
      </c>
      <c r="AU271" s="1032">
        <v>-0.5</v>
      </c>
      <c r="AV271" s="1032"/>
      <c r="AW271" s="1032">
        <f t="shared" si="50"/>
        <v>30</v>
      </c>
      <c r="AX271" s="1032">
        <f>AW271*(списки!$C$56-AU271)</f>
        <v>615</v>
      </c>
      <c r="AY271" s="1033">
        <v>6</v>
      </c>
      <c r="AZ271" s="1033"/>
      <c r="BA271" s="1033">
        <f t="shared" si="51"/>
        <v>19</v>
      </c>
      <c r="BB271" s="1033">
        <f>BA271*(списки!$C$56-AY271)</f>
        <v>266</v>
      </c>
      <c r="BC271" s="1034">
        <v>11</v>
      </c>
      <c r="BD271" s="1034"/>
      <c r="BE271" s="1034">
        <f t="shared" si="52"/>
        <v>0</v>
      </c>
      <c r="BF271" s="1035">
        <f>BE271*(списки!$C$56-BC271)</f>
        <v>0</v>
      </c>
      <c r="BG271" s="1424">
        <v>5873.1982142857141</v>
      </c>
      <c r="BH271" s="1424">
        <v>5725.0874999999996</v>
      </c>
    </row>
    <row r="272" spans="2:60" ht="15.75" customHeight="1" x14ac:dyDescent="0.25">
      <c r="B272" s="1038" t="s">
        <v>275</v>
      </c>
      <c r="C272" s="1038" t="s">
        <v>1552</v>
      </c>
      <c r="D272" s="1015" t="str">
        <f t="shared" si="54"/>
        <v>Республика БурятияБагдарин</v>
      </c>
      <c r="E272" s="1016">
        <v>261</v>
      </c>
      <c r="F272" s="1017">
        <v>-13.4</v>
      </c>
      <c r="G272" s="1017">
        <v>-42</v>
      </c>
      <c r="H272" s="1019">
        <v>3.2</v>
      </c>
      <c r="I272" s="1020">
        <f>E272*(списки!$C$56-F272)</f>
        <v>8717.4</v>
      </c>
      <c r="J272" s="1021" t="str">
        <f t="shared" si="44"/>
        <v>8000-9000</v>
      </c>
      <c r="K272" s="1022">
        <v>15.7</v>
      </c>
      <c r="L272" s="1022"/>
      <c r="M272" s="1023">
        <f t="shared" si="45"/>
        <v>0</v>
      </c>
      <c r="N272" s="1024">
        <f>M272*(списки!$C$56-K272)</f>
        <v>0</v>
      </c>
      <c r="O272" s="1025">
        <v>12.7</v>
      </c>
      <c r="P272" s="1025"/>
      <c r="Q272" s="1025">
        <f t="shared" si="46"/>
        <v>0</v>
      </c>
      <c r="R272" s="1025">
        <f>Q272*(списки!$C$56-O272)</f>
        <v>0</v>
      </c>
      <c r="S272" s="1026">
        <v>5.4</v>
      </c>
      <c r="T272" s="1026"/>
      <c r="U272" s="1026">
        <f t="shared" si="53"/>
        <v>24.5</v>
      </c>
      <c r="V272" s="1026">
        <f>U272*(списки!$C$56-S272)</f>
        <v>357.7</v>
      </c>
      <c r="W272" s="1027">
        <v>-4.9000000000000004</v>
      </c>
      <c r="X272" s="1027"/>
      <c r="Y272" s="1027">
        <f t="shared" si="47"/>
        <v>31</v>
      </c>
      <c r="Z272" s="1027">
        <f>Y272*(списки!$C$56-W272)</f>
        <v>771.9</v>
      </c>
      <c r="AA272" s="1028">
        <v>-18</v>
      </c>
      <c r="AB272" s="1028"/>
      <c r="AC272" s="1028">
        <f t="shared" si="48"/>
        <v>30</v>
      </c>
      <c r="AD272" s="1028">
        <f>AC272*(списки!$C$56-AA272)</f>
        <v>1140</v>
      </c>
      <c r="AE272" s="1029">
        <v>-27</v>
      </c>
      <c r="AF272" s="1029"/>
      <c r="AG272" s="1029">
        <v>31</v>
      </c>
      <c r="AH272" s="1029">
        <f>AG272*(списки!$C$56-AE272)</f>
        <v>1457</v>
      </c>
      <c r="AI272" s="1030">
        <v>-28.6</v>
      </c>
      <c r="AJ272" s="1030"/>
      <c r="AK272" s="1030">
        <v>31</v>
      </c>
      <c r="AL272" s="1030">
        <f>AK272*(списки!$C$56-AI272)</f>
        <v>1506.6000000000001</v>
      </c>
      <c r="AM272" s="1031">
        <v>-23.8</v>
      </c>
      <c r="AN272" s="1031"/>
      <c r="AO272" s="1031">
        <v>28</v>
      </c>
      <c r="AP272" s="1031">
        <f>AO272*(списки!$C$56-AM272)</f>
        <v>1226.3999999999999</v>
      </c>
      <c r="AQ272" s="1026">
        <v>-14.3</v>
      </c>
      <c r="AR272" s="1026"/>
      <c r="AS272" s="1026">
        <f t="shared" si="49"/>
        <v>31</v>
      </c>
      <c r="AT272" s="1026">
        <f>AS272*(списки!$C$56-AQ272)</f>
        <v>1063.3</v>
      </c>
      <c r="AU272" s="1032">
        <v>-2.9</v>
      </c>
      <c r="AV272" s="1032"/>
      <c r="AW272" s="1032">
        <f t="shared" si="50"/>
        <v>30</v>
      </c>
      <c r="AX272" s="1032">
        <f>AW272*(списки!$C$56-AU272)</f>
        <v>687</v>
      </c>
      <c r="AY272" s="1033">
        <v>6</v>
      </c>
      <c r="AZ272" s="1033"/>
      <c r="BA272" s="1033">
        <f t="shared" si="51"/>
        <v>24.5</v>
      </c>
      <c r="BB272" s="1033">
        <f>BA272*(списки!$C$56-AY272)</f>
        <v>343</v>
      </c>
      <c r="BC272" s="1034">
        <v>13</v>
      </c>
      <c r="BD272" s="1034"/>
      <c r="BE272" s="1034">
        <f t="shared" si="52"/>
        <v>0</v>
      </c>
      <c r="BF272" s="1035">
        <f>BE272*(списки!$C$56-BC272)</f>
        <v>0</v>
      </c>
      <c r="BG272" s="1424">
        <v>8446.6714285714297</v>
      </c>
      <c r="BH272" s="1424">
        <v>8423.5392857142833</v>
      </c>
    </row>
    <row r="273" spans="2:60" ht="15.75" customHeight="1" x14ac:dyDescent="0.25">
      <c r="B273" s="1014" t="s">
        <v>275</v>
      </c>
      <c r="C273" s="1014" t="s">
        <v>277</v>
      </c>
      <c r="D273" s="1015" t="str">
        <f t="shared" si="54"/>
        <v>Республика БурятияБаргузин</v>
      </c>
      <c r="E273" s="1016">
        <v>240</v>
      </c>
      <c r="F273" s="1017">
        <v>-11.7</v>
      </c>
      <c r="G273" s="1017">
        <v>-41</v>
      </c>
      <c r="H273" s="1019">
        <f>H272</f>
        <v>3.2</v>
      </c>
      <c r="I273" s="1020">
        <f>E273*(списки!$C$56-F273)</f>
        <v>7608</v>
      </c>
      <c r="J273" s="1021" t="str">
        <f t="shared" si="44"/>
        <v>7000-8000</v>
      </c>
      <c r="K273" s="1022">
        <v>18.600000000000001</v>
      </c>
      <c r="L273" s="1022"/>
      <c r="M273" s="1023">
        <f t="shared" si="45"/>
        <v>0</v>
      </c>
      <c r="N273" s="1024">
        <f>M273*(списки!$C$56-K273)</f>
        <v>0</v>
      </c>
      <c r="O273" s="1025">
        <v>16</v>
      </c>
      <c r="P273" s="1025"/>
      <c r="Q273" s="1025">
        <f t="shared" si="46"/>
        <v>0</v>
      </c>
      <c r="R273" s="1025">
        <f>Q273*(списки!$C$56-O273)</f>
        <v>0</v>
      </c>
      <c r="S273" s="1026">
        <v>8.6</v>
      </c>
      <c r="T273" s="1026"/>
      <c r="U273" s="1026">
        <f t="shared" si="53"/>
        <v>14</v>
      </c>
      <c r="V273" s="1026">
        <f>U273*(списки!$C$56-S273)</f>
        <v>159.6</v>
      </c>
      <c r="W273" s="1027">
        <v>-0.5</v>
      </c>
      <c r="X273" s="1027"/>
      <c r="Y273" s="1027">
        <f t="shared" si="47"/>
        <v>31</v>
      </c>
      <c r="Z273" s="1027">
        <f>Y273*(списки!$C$56-W273)</f>
        <v>635.5</v>
      </c>
      <c r="AA273" s="1028">
        <v>-12</v>
      </c>
      <c r="AB273" s="1028"/>
      <c r="AC273" s="1028">
        <f t="shared" si="48"/>
        <v>30</v>
      </c>
      <c r="AD273" s="1028">
        <f>AC273*(списки!$C$56-AA273)</f>
        <v>960</v>
      </c>
      <c r="AE273" s="1029">
        <v>-22.2</v>
      </c>
      <c r="AF273" s="1029"/>
      <c r="AG273" s="1029">
        <v>31</v>
      </c>
      <c r="AH273" s="1029">
        <f>AG273*(списки!$C$56-AE273)</f>
        <v>1308.2</v>
      </c>
      <c r="AI273" s="1030">
        <v>-27.4</v>
      </c>
      <c r="AJ273" s="1030"/>
      <c r="AK273" s="1030">
        <v>31</v>
      </c>
      <c r="AL273" s="1030">
        <f>AK273*(списки!$C$56-AI273)</f>
        <v>1469.3999999999999</v>
      </c>
      <c r="AM273" s="1031">
        <v>-22.6</v>
      </c>
      <c r="AN273" s="1031"/>
      <c r="AO273" s="1031">
        <v>28</v>
      </c>
      <c r="AP273" s="1031">
        <f>AO273*(списки!$C$56-AM273)</f>
        <v>1192.8</v>
      </c>
      <c r="AQ273" s="1026">
        <v>-10.9</v>
      </c>
      <c r="AR273" s="1026"/>
      <c r="AS273" s="1026">
        <f t="shared" si="49"/>
        <v>31</v>
      </c>
      <c r="AT273" s="1026">
        <f>AS273*(списки!$C$56-AQ273)</f>
        <v>957.9</v>
      </c>
      <c r="AU273" s="1032">
        <v>0.2</v>
      </c>
      <c r="AV273" s="1032"/>
      <c r="AW273" s="1032">
        <f t="shared" si="50"/>
        <v>30</v>
      </c>
      <c r="AX273" s="1032">
        <f>AW273*(списки!$C$56-AU273)</f>
        <v>594</v>
      </c>
      <c r="AY273" s="1033">
        <v>8.5</v>
      </c>
      <c r="AZ273" s="1033"/>
      <c r="BA273" s="1033">
        <f t="shared" si="51"/>
        <v>14</v>
      </c>
      <c r="BB273" s="1033">
        <f>BA273*(списки!$C$56-AY273)</f>
        <v>161</v>
      </c>
      <c r="BC273" s="1034">
        <v>15.5</v>
      </c>
      <c r="BD273" s="1034"/>
      <c r="BE273" s="1034">
        <f t="shared" si="52"/>
        <v>0</v>
      </c>
      <c r="BF273" s="1035">
        <f>BE273*(списки!$C$56-BC273)</f>
        <v>0</v>
      </c>
      <c r="BG273" s="1424">
        <v>7213.332142857138</v>
      </c>
      <c r="BH273" s="1424">
        <v>6816.4125000000004</v>
      </c>
    </row>
    <row r="274" spans="2:60" ht="15.75" customHeight="1" x14ac:dyDescent="0.25">
      <c r="B274" s="1038" t="s">
        <v>275</v>
      </c>
      <c r="C274" s="1038" t="s">
        <v>279</v>
      </c>
      <c r="D274" s="1015" t="str">
        <f t="shared" si="54"/>
        <v>Республика БурятияКяхта</v>
      </c>
      <c r="E274" s="1016">
        <v>229</v>
      </c>
      <c r="F274" s="1017">
        <v>-8.6999999999999993</v>
      </c>
      <c r="G274" s="1017">
        <v>-31</v>
      </c>
      <c r="H274" s="1019">
        <v>2.2000000000000002</v>
      </c>
      <c r="I274" s="1020">
        <f>E274*(списки!$C$56-F274)</f>
        <v>6572.3</v>
      </c>
      <c r="J274" s="1021" t="str">
        <f t="shared" si="44"/>
        <v>6000-7000</v>
      </c>
      <c r="K274" s="1022">
        <v>18.899999999999999</v>
      </c>
      <c r="L274" s="1022"/>
      <c r="M274" s="1023">
        <f t="shared" si="45"/>
        <v>0</v>
      </c>
      <c r="N274" s="1024">
        <f>M274*(списки!$C$56-K274)</f>
        <v>0</v>
      </c>
      <c r="O274" s="1025">
        <v>16.399999999999999</v>
      </c>
      <c r="P274" s="1025"/>
      <c r="Q274" s="1025">
        <f t="shared" si="46"/>
        <v>0</v>
      </c>
      <c r="R274" s="1025">
        <f>Q274*(списки!$C$56-O274)</f>
        <v>0</v>
      </c>
      <c r="S274" s="1026">
        <v>9.5</v>
      </c>
      <c r="T274" s="1026"/>
      <c r="U274" s="1026">
        <f t="shared" si="53"/>
        <v>8.5</v>
      </c>
      <c r="V274" s="1026">
        <f>U274*(списки!$C$56-S274)</f>
        <v>89.25</v>
      </c>
      <c r="W274" s="1027">
        <v>0.9</v>
      </c>
      <c r="X274" s="1027"/>
      <c r="Y274" s="1027">
        <f t="shared" si="47"/>
        <v>31</v>
      </c>
      <c r="Z274" s="1027">
        <f>Y274*(списки!$C$56-W274)</f>
        <v>592.1</v>
      </c>
      <c r="AA274" s="1028">
        <v>-9.4</v>
      </c>
      <c r="AB274" s="1028"/>
      <c r="AC274" s="1028">
        <f t="shared" si="48"/>
        <v>30</v>
      </c>
      <c r="AD274" s="1028">
        <f>AC274*(списки!$C$56-AA274)</f>
        <v>882</v>
      </c>
      <c r="AE274" s="1029">
        <v>-17.600000000000001</v>
      </c>
      <c r="AF274" s="1029"/>
      <c r="AG274" s="1029">
        <v>31</v>
      </c>
      <c r="AH274" s="1029">
        <f>AG274*(списки!$C$56-AE274)</f>
        <v>1165.6000000000001</v>
      </c>
      <c r="AI274" s="1030">
        <v>-20.5</v>
      </c>
      <c r="AJ274" s="1030"/>
      <c r="AK274" s="1030">
        <v>31</v>
      </c>
      <c r="AL274" s="1030">
        <f>AK274*(списки!$C$56-AI274)</f>
        <v>1255.5</v>
      </c>
      <c r="AM274" s="1031">
        <v>-16.3</v>
      </c>
      <c r="AN274" s="1031"/>
      <c r="AO274" s="1031">
        <v>28</v>
      </c>
      <c r="AP274" s="1031">
        <f>AO274*(списки!$C$56-AM274)</f>
        <v>1016.3999999999999</v>
      </c>
      <c r="AQ274" s="1026">
        <v>-6.9</v>
      </c>
      <c r="AR274" s="1026"/>
      <c r="AS274" s="1026">
        <f t="shared" si="49"/>
        <v>31</v>
      </c>
      <c r="AT274" s="1026">
        <f>AS274*(списки!$C$56-AQ274)</f>
        <v>833.9</v>
      </c>
      <c r="AU274" s="1032">
        <v>2.6</v>
      </c>
      <c r="AV274" s="1032"/>
      <c r="AW274" s="1032">
        <f t="shared" si="50"/>
        <v>30</v>
      </c>
      <c r="AX274" s="1032">
        <f>AW274*(списки!$C$56-AU274)</f>
        <v>522</v>
      </c>
      <c r="AY274" s="1033">
        <v>10.4</v>
      </c>
      <c r="AZ274" s="1033"/>
      <c r="BA274" s="1033">
        <f t="shared" si="51"/>
        <v>8.5</v>
      </c>
      <c r="BB274" s="1033">
        <f>BA274*(списки!$C$56-AY274)</f>
        <v>81.599999999999994</v>
      </c>
      <c r="BC274" s="1034">
        <v>16.600000000000001</v>
      </c>
      <c r="BD274" s="1034"/>
      <c r="BE274" s="1034">
        <f t="shared" si="52"/>
        <v>0</v>
      </c>
      <c r="BF274" s="1035">
        <f>BE274*(списки!$C$56-BC274)</f>
        <v>0</v>
      </c>
      <c r="BG274" s="1424">
        <v>6458.9714285714244</v>
      </c>
      <c r="BH274" s="1424">
        <v>5955.5000000000018</v>
      </c>
    </row>
    <row r="275" spans="2:60" ht="15.75" customHeight="1" x14ac:dyDescent="0.25">
      <c r="B275" s="1014" t="s">
        <v>275</v>
      </c>
      <c r="C275" s="1014" t="s">
        <v>280</v>
      </c>
      <c r="D275" s="1015" t="str">
        <f t="shared" si="54"/>
        <v>Республика БурятияМонды</v>
      </c>
      <c r="E275" s="1016">
        <v>266</v>
      </c>
      <c r="F275" s="1017">
        <v>-8.1</v>
      </c>
      <c r="G275" s="1017">
        <v>-33</v>
      </c>
      <c r="H275" s="1019">
        <v>5.2</v>
      </c>
      <c r="I275" s="1020">
        <f>E275*(списки!$C$56-F275)</f>
        <v>7474.6</v>
      </c>
      <c r="J275" s="1021" t="str">
        <f t="shared" si="44"/>
        <v>7000-8000</v>
      </c>
      <c r="K275" s="1022">
        <v>14.2</v>
      </c>
      <c r="L275" s="1022"/>
      <c r="M275" s="1023">
        <f t="shared" si="45"/>
        <v>0</v>
      </c>
      <c r="N275" s="1024">
        <f>M275*(списки!$C$56-K275)</f>
        <v>0</v>
      </c>
      <c r="O275" s="1025">
        <v>12</v>
      </c>
      <c r="P275" s="1025"/>
      <c r="Q275" s="1025">
        <f t="shared" si="46"/>
        <v>0</v>
      </c>
      <c r="R275" s="1025">
        <f>Q275*(списки!$C$56-O275)</f>
        <v>0</v>
      </c>
      <c r="S275" s="1026">
        <v>5.5</v>
      </c>
      <c r="T275" s="1026"/>
      <c r="U275" s="1026">
        <f t="shared" si="53"/>
        <v>27</v>
      </c>
      <c r="V275" s="1026">
        <f>U275*(списки!$C$56-S275)</f>
        <v>391.5</v>
      </c>
      <c r="W275" s="1027">
        <v>-2.2000000000000002</v>
      </c>
      <c r="X275" s="1027"/>
      <c r="Y275" s="1027">
        <f t="shared" si="47"/>
        <v>31</v>
      </c>
      <c r="Z275" s="1027">
        <f>Y275*(списки!$C$56-W275)</f>
        <v>688.19999999999993</v>
      </c>
      <c r="AA275" s="1028">
        <v>-11.8</v>
      </c>
      <c r="AB275" s="1028"/>
      <c r="AC275" s="1028">
        <f t="shared" si="48"/>
        <v>30</v>
      </c>
      <c r="AD275" s="1028">
        <f>AC275*(списки!$C$56-AA275)</f>
        <v>954</v>
      </c>
      <c r="AE275" s="1029">
        <v>-18.2</v>
      </c>
      <c r="AF275" s="1029"/>
      <c r="AG275" s="1029">
        <v>31</v>
      </c>
      <c r="AH275" s="1029">
        <f>AG275*(списки!$C$56-AE275)</f>
        <v>1184.2</v>
      </c>
      <c r="AI275" s="1030">
        <v>-19.899999999999999</v>
      </c>
      <c r="AJ275" s="1030"/>
      <c r="AK275" s="1030">
        <v>31</v>
      </c>
      <c r="AL275" s="1030">
        <f>AK275*(списки!$C$56-AI275)</f>
        <v>1236.8999999999999</v>
      </c>
      <c r="AM275" s="1031">
        <v>-17.600000000000001</v>
      </c>
      <c r="AN275" s="1031"/>
      <c r="AO275" s="1031">
        <v>28</v>
      </c>
      <c r="AP275" s="1031">
        <f>AO275*(списки!$C$56-AM275)</f>
        <v>1052.8</v>
      </c>
      <c r="AQ275" s="1026">
        <v>-10.1</v>
      </c>
      <c r="AR275" s="1026"/>
      <c r="AS275" s="1026">
        <f t="shared" si="49"/>
        <v>31</v>
      </c>
      <c r="AT275" s="1026">
        <f>AS275*(списки!$C$56-AQ275)</f>
        <v>933.1</v>
      </c>
      <c r="AU275" s="1032">
        <v>-1.8</v>
      </c>
      <c r="AV275" s="1032"/>
      <c r="AW275" s="1032">
        <f t="shared" si="50"/>
        <v>30</v>
      </c>
      <c r="AX275" s="1032">
        <f>AW275*(списки!$C$56-AU275)</f>
        <v>654</v>
      </c>
      <c r="AY275" s="1033">
        <v>5.6</v>
      </c>
      <c r="AZ275" s="1033"/>
      <c r="BA275" s="1033">
        <f t="shared" si="51"/>
        <v>27</v>
      </c>
      <c r="BB275" s="1033">
        <f>BA275*(списки!$C$56-AY275)</f>
        <v>388.8</v>
      </c>
      <c r="BC275" s="1034">
        <v>12.1</v>
      </c>
      <c r="BD275" s="1034"/>
      <c r="BE275" s="1034">
        <f t="shared" si="52"/>
        <v>0</v>
      </c>
      <c r="BF275" s="1035">
        <f>BE275*(списки!$C$56-BC275)</f>
        <v>0</v>
      </c>
      <c r="BG275" s="1424">
        <v>7047.9934523809516</v>
      </c>
      <c r="BH275" s="1424">
        <v>6391.7035714285703</v>
      </c>
    </row>
    <row r="276" spans="2:60" ht="15.75" customHeight="1" x14ac:dyDescent="0.25">
      <c r="B276" s="1038" t="s">
        <v>275</v>
      </c>
      <c r="C276" s="1038" t="s">
        <v>281</v>
      </c>
      <c r="D276" s="1015" t="str">
        <f t="shared" si="54"/>
        <v>Республика БурятияНижнеангарск</v>
      </c>
      <c r="E276" s="1016">
        <v>255</v>
      </c>
      <c r="F276" s="1017">
        <v>-9.6</v>
      </c>
      <c r="G276" s="1017">
        <v>-32</v>
      </c>
      <c r="H276" s="1019">
        <v>1.9</v>
      </c>
      <c r="I276" s="1020">
        <f>E276*(списки!$C$56-F276)</f>
        <v>7548</v>
      </c>
      <c r="J276" s="1021" t="str">
        <f t="shared" si="44"/>
        <v>7000-8000</v>
      </c>
      <c r="K276" s="1022">
        <v>16.3</v>
      </c>
      <c r="L276" s="1022"/>
      <c r="M276" s="1023">
        <f t="shared" si="45"/>
        <v>0</v>
      </c>
      <c r="N276" s="1024">
        <f>M276*(списки!$C$56-K276)</f>
        <v>0</v>
      </c>
      <c r="O276" s="1025">
        <v>15</v>
      </c>
      <c r="P276" s="1025"/>
      <c r="Q276" s="1025">
        <f t="shared" si="46"/>
        <v>0</v>
      </c>
      <c r="R276" s="1025">
        <f>Q276*(списки!$C$56-O276)</f>
        <v>0</v>
      </c>
      <c r="S276" s="1026">
        <v>8.3000000000000007</v>
      </c>
      <c r="T276" s="1026"/>
      <c r="U276" s="1026">
        <f t="shared" si="53"/>
        <v>21.5</v>
      </c>
      <c r="V276" s="1026">
        <f>U276*(списки!$C$56-S276)</f>
        <v>251.54999999999998</v>
      </c>
      <c r="W276" s="1027">
        <v>-0.6</v>
      </c>
      <c r="X276" s="1027"/>
      <c r="Y276" s="1027">
        <f t="shared" si="47"/>
        <v>31</v>
      </c>
      <c r="Z276" s="1027">
        <f>Y276*(списки!$C$56-W276)</f>
        <v>638.6</v>
      </c>
      <c r="AA276" s="1028">
        <v>-10.7</v>
      </c>
      <c r="AB276" s="1028"/>
      <c r="AC276" s="1028">
        <f t="shared" si="48"/>
        <v>30</v>
      </c>
      <c r="AD276" s="1028">
        <f>AC276*(списки!$C$56-AA276)</f>
        <v>921</v>
      </c>
      <c r="AE276" s="1029">
        <v>-17.3</v>
      </c>
      <c r="AF276" s="1029"/>
      <c r="AG276" s="1029">
        <v>31</v>
      </c>
      <c r="AH276" s="1029">
        <f>AG276*(списки!$C$56-AE276)</f>
        <v>1156.3</v>
      </c>
      <c r="AI276" s="1030">
        <v>-21.9</v>
      </c>
      <c r="AJ276" s="1030"/>
      <c r="AK276" s="1030">
        <v>31</v>
      </c>
      <c r="AL276" s="1030">
        <f>AK276*(списки!$C$56-AI276)</f>
        <v>1298.8999999999999</v>
      </c>
      <c r="AM276" s="1031">
        <v>-20.3</v>
      </c>
      <c r="AN276" s="1031"/>
      <c r="AO276" s="1031">
        <v>28</v>
      </c>
      <c r="AP276" s="1031">
        <f>AO276*(списки!$C$56-AM276)</f>
        <v>1128.3999999999999</v>
      </c>
      <c r="AQ276" s="1026">
        <v>-12.5</v>
      </c>
      <c r="AR276" s="1026"/>
      <c r="AS276" s="1026">
        <f t="shared" si="49"/>
        <v>31</v>
      </c>
      <c r="AT276" s="1026">
        <f>AS276*(списки!$C$56-AQ276)</f>
        <v>1007.5</v>
      </c>
      <c r="AU276" s="1032">
        <v>-2.5</v>
      </c>
      <c r="AV276" s="1032"/>
      <c r="AW276" s="1032">
        <f t="shared" si="50"/>
        <v>30</v>
      </c>
      <c r="AX276" s="1032">
        <f>AW276*(списки!$C$56-AU276)</f>
        <v>675</v>
      </c>
      <c r="AY276" s="1033">
        <v>5.0999999999999996</v>
      </c>
      <c r="AZ276" s="1033"/>
      <c r="BA276" s="1033">
        <f t="shared" si="51"/>
        <v>21.5</v>
      </c>
      <c r="BB276" s="1033">
        <f>BA276*(списки!$C$56-AY276)</f>
        <v>320.35000000000002</v>
      </c>
      <c r="BC276" s="1034">
        <v>12.1</v>
      </c>
      <c r="BD276" s="1034"/>
      <c r="BE276" s="1034">
        <f t="shared" si="52"/>
        <v>0</v>
      </c>
      <c r="BF276" s="1035">
        <f>BE276*(списки!$C$56-BC276)</f>
        <v>0</v>
      </c>
      <c r="BG276" s="1424">
        <v>7184.476785714287</v>
      </c>
      <c r="BH276" s="1424">
        <v>7200.1874999999991</v>
      </c>
    </row>
    <row r="277" spans="2:60" ht="15.75" customHeight="1" x14ac:dyDescent="0.25">
      <c r="B277" s="1014" t="s">
        <v>275</v>
      </c>
      <c r="C277" s="1014" t="s">
        <v>679</v>
      </c>
      <c r="D277" s="1015" t="str">
        <f t="shared" si="54"/>
        <v>Республика БурятияСосново- Озерское</v>
      </c>
      <c r="E277" s="1016">
        <v>258</v>
      </c>
      <c r="F277" s="1017">
        <v>-10.5</v>
      </c>
      <c r="G277" s="1017">
        <v>-36</v>
      </c>
      <c r="H277" s="1019">
        <v>5</v>
      </c>
      <c r="I277" s="1020">
        <f>E277*(списки!$C$56-F277)</f>
        <v>7869</v>
      </c>
      <c r="J277" s="1021" t="str">
        <f t="shared" si="44"/>
        <v>7000-8000</v>
      </c>
      <c r="K277" s="1022">
        <v>16.7</v>
      </c>
      <c r="L277" s="1022"/>
      <c r="M277" s="1023">
        <f t="shared" si="45"/>
        <v>0</v>
      </c>
      <c r="N277" s="1024">
        <f>M277*(списки!$C$56-K277)</f>
        <v>0</v>
      </c>
      <c r="O277" s="1025">
        <v>13.9</v>
      </c>
      <c r="P277" s="1025"/>
      <c r="Q277" s="1025">
        <f t="shared" si="46"/>
        <v>0</v>
      </c>
      <c r="R277" s="1025">
        <f>Q277*(списки!$C$56-O277)</f>
        <v>0</v>
      </c>
      <c r="S277" s="1026">
        <v>6.8</v>
      </c>
      <c r="T277" s="1026"/>
      <c r="U277" s="1026">
        <f t="shared" si="53"/>
        <v>23</v>
      </c>
      <c r="V277" s="1026">
        <f>U277*(списки!$C$56-S277)</f>
        <v>303.59999999999997</v>
      </c>
      <c r="W277" s="1027">
        <v>-2.2000000000000002</v>
      </c>
      <c r="X277" s="1027"/>
      <c r="Y277" s="1027">
        <f t="shared" si="47"/>
        <v>31</v>
      </c>
      <c r="Z277" s="1027">
        <f>Y277*(списки!$C$56-W277)</f>
        <v>688.19999999999993</v>
      </c>
      <c r="AA277" s="1028">
        <v>-12.9</v>
      </c>
      <c r="AB277" s="1028"/>
      <c r="AC277" s="1028">
        <f t="shared" si="48"/>
        <v>30</v>
      </c>
      <c r="AD277" s="1028">
        <f>AC277*(списки!$C$56-AA277)</f>
        <v>987</v>
      </c>
      <c r="AE277" s="1029">
        <v>-20.6</v>
      </c>
      <c r="AF277" s="1029"/>
      <c r="AG277" s="1029">
        <v>31</v>
      </c>
      <c r="AH277" s="1029">
        <f>AG277*(списки!$C$56-AE277)</f>
        <v>1258.6000000000001</v>
      </c>
      <c r="AI277" s="1030">
        <v>-24</v>
      </c>
      <c r="AJ277" s="1030"/>
      <c r="AK277" s="1030">
        <v>31</v>
      </c>
      <c r="AL277" s="1030">
        <f>AK277*(списки!$C$56-AI277)</f>
        <v>1364</v>
      </c>
      <c r="AM277" s="1031">
        <v>-20.2</v>
      </c>
      <c r="AN277" s="1031"/>
      <c r="AO277" s="1031">
        <v>28</v>
      </c>
      <c r="AP277" s="1031">
        <f>AO277*(списки!$C$56-AM277)</f>
        <v>1125.6000000000001</v>
      </c>
      <c r="AQ277" s="1026">
        <v>-12.1</v>
      </c>
      <c r="AR277" s="1026"/>
      <c r="AS277" s="1026">
        <f t="shared" si="49"/>
        <v>31</v>
      </c>
      <c r="AT277" s="1026">
        <f>AS277*(списки!$C$56-AQ277)</f>
        <v>995.1</v>
      </c>
      <c r="AU277" s="1032">
        <v>-2.2000000000000002</v>
      </c>
      <c r="AV277" s="1032"/>
      <c r="AW277" s="1032">
        <f t="shared" si="50"/>
        <v>30</v>
      </c>
      <c r="AX277" s="1032">
        <f>AW277*(списки!$C$56-AU277)</f>
        <v>666</v>
      </c>
      <c r="AY277" s="1033">
        <v>5.4</v>
      </c>
      <c r="AZ277" s="1033"/>
      <c r="BA277" s="1033">
        <f t="shared" si="51"/>
        <v>23</v>
      </c>
      <c r="BB277" s="1033">
        <f>BA277*(списки!$C$56-AY277)</f>
        <v>335.8</v>
      </c>
      <c r="BC277" s="1034">
        <v>14</v>
      </c>
      <c r="BD277" s="1034"/>
      <c r="BE277" s="1034">
        <f t="shared" si="52"/>
        <v>0</v>
      </c>
      <c r="BF277" s="1035">
        <f>BE277*(списки!$C$56-BC277)</f>
        <v>0</v>
      </c>
      <c r="BG277" s="1424">
        <v>7592.3874999999998</v>
      </c>
      <c r="BH277" s="1424">
        <v>7320.8249999999935</v>
      </c>
    </row>
    <row r="278" spans="2:60" ht="15.75" customHeight="1" x14ac:dyDescent="0.25">
      <c r="B278" s="1038" t="s">
        <v>275</v>
      </c>
      <c r="C278" s="1038" t="s">
        <v>680</v>
      </c>
      <c r="D278" s="1015" t="str">
        <f t="shared" si="54"/>
        <v>Республика БурятияУакит</v>
      </c>
      <c r="E278" s="1016">
        <v>274</v>
      </c>
      <c r="F278" s="1017">
        <v>-12.7</v>
      </c>
      <c r="G278" s="1017">
        <v>-40</v>
      </c>
      <c r="H278" s="1019">
        <f>H277</f>
        <v>5</v>
      </c>
      <c r="I278" s="1020">
        <f>E278*(списки!$C$56-F278)</f>
        <v>8959.8000000000011</v>
      </c>
      <c r="J278" s="1021" t="str">
        <f t="shared" si="44"/>
        <v>8000-9000</v>
      </c>
      <c r="K278" s="1022">
        <v>14.8</v>
      </c>
      <c r="L278" s="1022"/>
      <c r="M278" s="1023">
        <f t="shared" si="45"/>
        <v>0</v>
      </c>
      <c r="N278" s="1024">
        <f>M278*(списки!$C$56-K278)</f>
        <v>0</v>
      </c>
      <c r="O278" s="1025">
        <v>11.8</v>
      </c>
      <c r="P278" s="1025"/>
      <c r="Q278" s="1025">
        <f t="shared" si="46"/>
        <v>0.5</v>
      </c>
      <c r="R278" s="1025">
        <f>Q278*(списки!$C$56-O278)</f>
        <v>4.0999999999999996</v>
      </c>
      <c r="S278" s="1026">
        <v>4.7</v>
      </c>
      <c r="T278" s="1026"/>
      <c r="U278" s="1026">
        <f t="shared" si="53"/>
        <v>30</v>
      </c>
      <c r="V278" s="1026">
        <f>U278*(списки!$C$56-S278)</f>
        <v>459</v>
      </c>
      <c r="W278" s="1027">
        <v>-6</v>
      </c>
      <c r="X278" s="1027"/>
      <c r="Y278" s="1027">
        <f t="shared" si="47"/>
        <v>31</v>
      </c>
      <c r="Z278" s="1027">
        <f>Y278*(списки!$C$56-W278)</f>
        <v>806</v>
      </c>
      <c r="AA278" s="1028">
        <v>-18.7</v>
      </c>
      <c r="AB278" s="1028"/>
      <c r="AC278" s="1028">
        <f t="shared" si="48"/>
        <v>30</v>
      </c>
      <c r="AD278" s="1028">
        <f>AC278*(списки!$C$56-AA278)</f>
        <v>1161</v>
      </c>
      <c r="AE278" s="1029">
        <v>-26.5</v>
      </c>
      <c r="AF278" s="1029"/>
      <c r="AG278" s="1029">
        <v>31</v>
      </c>
      <c r="AH278" s="1029">
        <f>AG278*(списки!$C$56-AE278)</f>
        <v>1441.5</v>
      </c>
      <c r="AI278" s="1030">
        <v>-28.3</v>
      </c>
      <c r="AJ278" s="1030"/>
      <c r="AK278" s="1030">
        <v>31</v>
      </c>
      <c r="AL278" s="1030">
        <f>AK278*(списки!$C$56-AI278)</f>
        <v>1497.3</v>
      </c>
      <c r="AM278" s="1031">
        <v>-24.5</v>
      </c>
      <c r="AN278" s="1031"/>
      <c r="AO278" s="1031">
        <v>28</v>
      </c>
      <c r="AP278" s="1031">
        <f>AO278*(списки!$C$56-AM278)</f>
        <v>1246</v>
      </c>
      <c r="AQ278" s="1026">
        <v>-15.7</v>
      </c>
      <c r="AR278" s="1026"/>
      <c r="AS278" s="1026">
        <f t="shared" si="49"/>
        <v>31</v>
      </c>
      <c r="AT278" s="1026">
        <f>AS278*(списки!$C$56-AQ278)</f>
        <v>1106.7</v>
      </c>
      <c r="AU278" s="1032">
        <v>-5.2</v>
      </c>
      <c r="AV278" s="1032"/>
      <c r="AW278" s="1032">
        <f t="shared" si="50"/>
        <v>30</v>
      </c>
      <c r="AX278" s="1032">
        <f>AW278*(списки!$C$56-AU278)</f>
        <v>756</v>
      </c>
      <c r="AY278" s="1033">
        <v>3.5</v>
      </c>
      <c r="AZ278" s="1033"/>
      <c r="BA278" s="1033">
        <f t="shared" si="51"/>
        <v>31</v>
      </c>
      <c r="BB278" s="1033">
        <f>BA278*(списки!$C$56-AY278)</f>
        <v>511.5</v>
      </c>
      <c r="BC278" s="1034">
        <v>11.6</v>
      </c>
      <c r="BD278" s="1034"/>
      <c r="BE278" s="1034">
        <f t="shared" si="52"/>
        <v>0.5</v>
      </c>
      <c r="BF278" s="1035">
        <f>BE278*(списки!$C$56-BC278)</f>
        <v>4.2</v>
      </c>
      <c r="BG278" s="1424">
        <v>8567.8549999999996</v>
      </c>
      <c r="BH278" s="1424">
        <v>8630.4328571428559</v>
      </c>
    </row>
    <row r="279" spans="2:60" ht="15.75" customHeight="1" x14ac:dyDescent="0.25">
      <c r="B279" s="1014" t="s">
        <v>275</v>
      </c>
      <c r="C279" s="1014" t="s">
        <v>282</v>
      </c>
      <c r="D279" s="1015" t="str">
        <f t="shared" si="54"/>
        <v>Республика БурятияУлан-Удэ</v>
      </c>
      <c r="E279" s="1016">
        <v>230</v>
      </c>
      <c r="F279" s="1017">
        <v>-10.3</v>
      </c>
      <c r="G279" s="1017">
        <v>-35</v>
      </c>
      <c r="H279" s="1019">
        <v>2.1</v>
      </c>
      <c r="I279" s="1020">
        <f>E279*(списки!$C$56-F279)</f>
        <v>6969</v>
      </c>
      <c r="J279" s="1021" t="str">
        <f t="shared" si="44"/>
        <v>6000-7000</v>
      </c>
      <c r="K279" s="1022">
        <v>19.600000000000001</v>
      </c>
      <c r="L279" s="1022"/>
      <c r="M279" s="1023">
        <f t="shared" si="45"/>
        <v>0</v>
      </c>
      <c r="N279" s="1024">
        <f>M279*(списки!$C$56-K279)</f>
        <v>0</v>
      </c>
      <c r="O279" s="1025">
        <v>16.8</v>
      </c>
      <c r="P279" s="1025"/>
      <c r="Q279" s="1025">
        <f t="shared" si="46"/>
        <v>0</v>
      </c>
      <c r="R279" s="1025">
        <f>Q279*(списки!$C$56-O279)</f>
        <v>0</v>
      </c>
      <c r="S279" s="1026">
        <v>9.4</v>
      </c>
      <c r="T279" s="1026"/>
      <c r="U279" s="1026">
        <f t="shared" si="53"/>
        <v>9</v>
      </c>
      <c r="V279" s="1026">
        <f>U279*(списки!$C$56-S279)</f>
        <v>95.399999999999991</v>
      </c>
      <c r="W279" s="1027">
        <v>0.4</v>
      </c>
      <c r="X279" s="1027"/>
      <c r="Y279" s="1027">
        <f t="shared" si="47"/>
        <v>31</v>
      </c>
      <c r="Z279" s="1027">
        <f>Y279*(списки!$C$56-W279)</f>
        <v>607.6</v>
      </c>
      <c r="AA279" s="1028">
        <v>-10.5</v>
      </c>
      <c r="AB279" s="1028"/>
      <c r="AC279" s="1028">
        <f t="shared" si="48"/>
        <v>30</v>
      </c>
      <c r="AD279" s="1028">
        <f>AC279*(списки!$C$56-AA279)</f>
        <v>915</v>
      </c>
      <c r="AE279" s="1029">
        <v>-19.7</v>
      </c>
      <c r="AF279" s="1029"/>
      <c r="AG279" s="1029">
        <v>31</v>
      </c>
      <c r="AH279" s="1029">
        <f>AG279*(списки!$C$56-AE279)</f>
        <v>1230.7</v>
      </c>
      <c r="AI279" s="1030">
        <v>-23.8</v>
      </c>
      <c r="AJ279" s="1030"/>
      <c r="AK279" s="1030">
        <v>31</v>
      </c>
      <c r="AL279" s="1030">
        <f>AK279*(списки!$C$56-AI279)</f>
        <v>1357.8</v>
      </c>
      <c r="AM279" s="1031">
        <v>-19</v>
      </c>
      <c r="AN279" s="1031"/>
      <c r="AO279" s="1031">
        <v>28</v>
      </c>
      <c r="AP279" s="1031">
        <f>AO279*(списки!$C$56-AM279)</f>
        <v>1092</v>
      </c>
      <c r="AQ279" s="1026">
        <v>-8</v>
      </c>
      <c r="AR279" s="1026"/>
      <c r="AS279" s="1026">
        <f t="shared" si="49"/>
        <v>31</v>
      </c>
      <c r="AT279" s="1026">
        <f>AS279*(списки!$C$56-AQ279)</f>
        <v>868</v>
      </c>
      <c r="AU279" s="1032">
        <v>2</v>
      </c>
      <c r="AV279" s="1032"/>
      <c r="AW279" s="1032">
        <f t="shared" si="50"/>
        <v>30</v>
      </c>
      <c r="AX279" s="1032">
        <f>AW279*(списки!$C$56-AU279)</f>
        <v>540</v>
      </c>
      <c r="AY279" s="1033">
        <v>10.199999999999999</v>
      </c>
      <c r="AZ279" s="1033"/>
      <c r="BA279" s="1033">
        <f t="shared" si="51"/>
        <v>9</v>
      </c>
      <c r="BB279" s="1033">
        <f>BA279*(списки!$C$56-AY279)</f>
        <v>88.2</v>
      </c>
      <c r="BC279" s="1034">
        <v>16.899999999999999</v>
      </c>
      <c r="BD279" s="1034"/>
      <c r="BE279" s="1034">
        <f t="shared" si="52"/>
        <v>0</v>
      </c>
      <c r="BF279" s="1035">
        <f>BE279*(списки!$C$56-BC279)</f>
        <v>0</v>
      </c>
      <c r="BG279" s="1424">
        <v>6685.3696428571402</v>
      </c>
      <c r="BH279" s="1424">
        <v>6220.8250000000007</v>
      </c>
    </row>
    <row r="280" spans="2:60" ht="15.75" customHeight="1" x14ac:dyDescent="0.25">
      <c r="B280" s="1038" t="s">
        <v>275</v>
      </c>
      <c r="C280" s="1038" t="s">
        <v>278</v>
      </c>
      <c r="D280" s="1015" t="str">
        <f t="shared" si="54"/>
        <v>Республика БурятияХоринск</v>
      </c>
      <c r="E280" s="1016">
        <v>241</v>
      </c>
      <c r="F280" s="1017">
        <v>-10.8</v>
      </c>
      <c r="G280" s="1017">
        <v>-39</v>
      </c>
      <c r="H280" s="1019">
        <f>H279</f>
        <v>2.1</v>
      </c>
      <c r="I280" s="1020">
        <f>E280*(списки!$C$56-F280)</f>
        <v>7422.8</v>
      </c>
      <c r="J280" s="1021" t="str">
        <f t="shared" si="44"/>
        <v>7000-8000</v>
      </c>
      <c r="K280" s="1022">
        <v>18.8</v>
      </c>
      <c r="L280" s="1022"/>
      <c r="M280" s="1023">
        <f t="shared" si="45"/>
        <v>0</v>
      </c>
      <c r="N280" s="1024">
        <f>M280*(списки!$C$56-K280)</f>
        <v>0</v>
      </c>
      <c r="O280" s="1025">
        <v>15.8</v>
      </c>
      <c r="P280" s="1025"/>
      <c r="Q280" s="1025">
        <f t="shared" si="46"/>
        <v>0</v>
      </c>
      <c r="R280" s="1025">
        <f>Q280*(списки!$C$56-O280)</f>
        <v>0</v>
      </c>
      <c r="S280" s="1026">
        <v>8</v>
      </c>
      <c r="T280" s="1026"/>
      <c r="U280" s="1026">
        <f t="shared" si="53"/>
        <v>14.5</v>
      </c>
      <c r="V280" s="1026">
        <f>U280*(списки!$C$56-S280)</f>
        <v>174</v>
      </c>
      <c r="W280" s="1027">
        <v>-1.1000000000000001</v>
      </c>
      <c r="X280" s="1027"/>
      <c r="Y280" s="1027">
        <f t="shared" si="47"/>
        <v>31</v>
      </c>
      <c r="Z280" s="1027">
        <f>Y280*(списки!$C$56-W280)</f>
        <v>654.1</v>
      </c>
      <c r="AA280" s="1028">
        <v>-13.4</v>
      </c>
      <c r="AB280" s="1028"/>
      <c r="AC280" s="1028">
        <f t="shared" si="48"/>
        <v>30</v>
      </c>
      <c r="AD280" s="1028">
        <f>AC280*(списки!$C$56-AA280)</f>
        <v>1002</v>
      </c>
      <c r="AE280" s="1029">
        <v>-21.9</v>
      </c>
      <c r="AF280" s="1029"/>
      <c r="AG280" s="1029">
        <v>31</v>
      </c>
      <c r="AH280" s="1029">
        <f>AG280*(списки!$C$56-AE280)</f>
        <v>1298.8999999999999</v>
      </c>
      <c r="AI280" s="1030">
        <v>-25.6</v>
      </c>
      <c r="AJ280" s="1030"/>
      <c r="AK280" s="1030">
        <v>31</v>
      </c>
      <c r="AL280" s="1030">
        <f>AK280*(списки!$C$56-AI280)</f>
        <v>1413.6000000000001</v>
      </c>
      <c r="AM280" s="1031">
        <v>-22</v>
      </c>
      <c r="AN280" s="1031"/>
      <c r="AO280" s="1031">
        <v>28</v>
      </c>
      <c r="AP280" s="1031">
        <f>AO280*(списки!$C$56-AM280)</f>
        <v>1176</v>
      </c>
      <c r="AQ280" s="1026">
        <v>-10.7</v>
      </c>
      <c r="AR280" s="1026"/>
      <c r="AS280" s="1026">
        <f t="shared" si="49"/>
        <v>31</v>
      </c>
      <c r="AT280" s="1026">
        <f>AS280*(списки!$C$56-AQ280)</f>
        <v>951.69999999999993</v>
      </c>
      <c r="AU280" s="1032">
        <v>0.4</v>
      </c>
      <c r="AV280" s="1032"/>
      <c r="AW280" s="1032">
        <f t="shared" si="50"/>
        <v>30</v>
      </c>
      <c r="AX280" s="1032">
        <f>AW280*(списки!$C$56-AU280)</f>
        <v>588</v>
      </c>
      <c r="AY280" s="1033">
        <v>8.4</v>
      </c>
      <c r="AZ280" s="1033"/>
      <c r="BA280" s="1033">
        <f t="shared" si="51"/>
        <v>14.5</v>
      </c>
      <c r="BB280" s="1033">
        <f>BA280*(списки!$C$56-AY280)</f>
        <v>168.2</v>
      </c>
      <c r="BC280" s="1034">
        <v>16.2</v>
      </c>
      <c r="BD280" s="1034"/>
      <c r="BE280" s="1034">
        <f t="shared" si="52"/>
        <v>0</v>
      </c>
      <c r="BF280" s="1035">
        <f>BE280*(списки!$C$56-BC280)</f>
        <v>0</v>
      </c>
      <c r="BG280" s="1424">
        <v>7163.4382142857139</v>
      </c>
      <c r="BH280" s="1424">
        <v>6687.0559523809534</v>
      </c>
    </row>
    <row r="281" spans="2:60" ht="15.75" customHeight="1" x14ac:dyDescent="0.25">
      <c r="B281" s="1014" t="s">
        <v>2</v>
      </c>
      <c r="C281" s="1014" t="s">
        <v>283</v>
      </c>
      <c r="D281" s="1015" t="str">
        <f t="shared" si="54"/>
        <v>Республика ДагестанДербент</v>
      </c>
      <c r="E281" s="1016">
        <v>138</v>
      </c>
      <c r="F281" s="1017">
        <v>3.7</v>
      </c>
      <c r="G281" s="1017">
        <v>-9</v>
      </c>
      <c r="H281" s="1019">
        <v>5.2</v>
      </c>
      <c r="I281" s="1020">
        <f>E281*(списки!$C$56-F281)</f>
        <v>2249.4</v>
      </c>
      <c r="J281" s="1021" t="str">
        <f t="shared" si="44"/>
        <v>2000-3000</v>
      </c>
      <c r="K281" s="1022">
        <v>24.9</v>
      </c>
      <c r="L281" s="1022"/>
      <c r="M281" s="1023">
        <f t="shared" si="45"/>
        <v>0</v>
      </c>
      <c r="N281" s="1024">
        <f>M281*(списки!$C$56-K281)</f>
        <v>0</v>
      </c>
      <c r="O281" s="1025">
        <v>24.7</v>
      </c>
      <c r="P281" s="1025"/>
      <c r="Q281" s="1025">
        <f t="shared" si="46"/>
        <v>0</v>
      </c>
      <c r="R281" s="1025">
        <f>Q281*(списки!$C$56-O281)</f>
        <v>0</v>
      </c>
      <c r="S281" s="1026">
        <v>20.3</v>
      </c>
      <c r="T281" s="1026"/>
      <c r="U281" s="1026">
        <f t="shared" si="53"/>
        <v>0</v>
      </c>
      <c r="V281" s="1026">
        <f>U281*(списки!$C$56-S281)</f>
        <v>0</v>
      </c>
      <c r="W281" s="1027">
        <v>14.5</v>
      </c>
      <c r="X281" s="1027"/>
      <c r="Y281" s="1027">
        <f t="shared" si="47"/>
        <v>0</v>
      </c>
      <c r="Z281" s="1027">
        <f>Y281*(списки!$C$56-W281)</f>
        <v>0</v>
      </c>
      <c r="AA281" s="1028">
        <v>9.1</v>
      </c>
      <c r="AB281" s="1028"/>
      <c r="AC281" s="1028">
        <f t="shared" si="48"/>
        <v>24</v>
      </c>
      <c r="AD281" s="1028">
        <f>AC281*(списки!$C$56-AA281)</f>
        <v>261.60000000000002</v>
      </c>
      <c r="AE281" s="1029">
        <v>4.8</v>
      </c>
      <c r="AF281" s="1029"/>
      <c r="AG281" s="1029">
        <v>31</v>
      </c>
      <c r="AH281" s="1029">
        <f>AG281*(списки!$C$56-AE281)</f>
        <v>471.2</v>
      </c>
      <c r="AI281" s="1030">
        <v>2.5</v>
      </c>
      <c r="AJ281" s="1030"/>
      <c r="AK281" s="1030">
        <v>31</v>
      </c>
      <c r="AL281" s="1030">
        <f>AK281*(списки!$C$56-AI281)</f>
        <v>542.5</v>
      </c>
      <c r="AM281" s="1031">
        <v>2.2000000000000002</v>
      </c>
      <c r="AN281" s="1031"/>
      <c r="AO281" s="1031">
        <v>28</v>
      </c>
      <c r="AP281" s="1031">
        <f>AO281*(списки!$C$56-AM281)</f>
        <v>498.40000000000003</v>
      </c>
      <c r="AQ281" s="1026">
        <v>5</v>
      </c>
      <c r="AR281" s="1026"/>
      <c r="AS281" s="1026">
        <f t="shared" si="49"/>
        <v>24</v>
      </c>
      <c r="AT281" s="1026">
        <f>AS281*(списки!$C$56-AQ281)</f>
        <v>360</v>
      </c>
      <c r="AU281" s="1032">
        <v>10.3</v>
      </c>
      <c r="AV281" s="1032"/>
      <c r="AW281" s="1032">
        <f t="shared" si="50"/>
        <v>0</v>
      </c>
      <c r="AX281" s="1032">
        <f>AW281*(списки!$C$56-AU281)</f>
        <v>0</v>
      </c>
      <c r="AY281" s="1033">
        <v>16.3</v>
      </c>
      <c r="AZ281" s="1033"/>
      <c r="BA281" s="1033">
        <f t="shared" si="51"/>
        <v>0</v>
      </c>
      <c r="BB281" s="1033">
        <f>BA281*(списки!$C$56-AY281)</f>
        <v>0</v>
      </c>
      <c r="BC281" s="1034">
        <v>21.7</v>
      </c>
      <c r="BD281" s="1034"/>
      <c r="BE281" s="1034">
        <f t="shared" si="52"/>
        <v>0</v>
      </c>
      <c r="BF281" s="1035">
        <f>BE281*(списки!$C$56-BC281)</f>
        <v>0</v>
      </c>
      <c r="BG281" s="1424">
        <v>2246.0374999999999</v>
      </c>
      <c r="BH281" s="1424">
        <v>2229.1571428571438</v>
      </c>
    </row>
    <row r="282" spans="2:60" ht="15.75" customHeight="1" x14ac:dyDescent="0.25">
      <c r="B282" s="1038" t="s">
        <v>2</v>
      </c>
      <c r="C282" s="1038" t="s">
        <v>284</v>
      </c>
      <c r="D282" s="1015" t="str">
        <f t="shared" si="54"/>
        <v>Республика ДагестанМахачкала</v>
      </c>
      <c r="E282" s="1016">
        <v>144</v>
      </c>
      <c r="F282" s="1017">
        <v>2.7</v>
      </c>
      <c r="G282" s="1017">
        <v>-13</v>
      </c>
      <c r="H282" s="1019">
        <v>5.0999999999999996</v>
      </c>
      <c r="I282" s="1020">
        <f>E282*(списки!$C$56-F282)</f>
        <v>2491.2000000000003</v>
      </c>
      <c r="J282" s="1021" t="str">
        <f t="shared" si="44"/>
        <v>2000-3000</v>
      </c>
      <c r="K282" s="1022">
        <v>24.6</v>
      </c>
      <c r="L282" s="1022"/>
      <c r="M282" s="1023">
        <f t="shared" si="45"/>
        <v>0</v>
      </c>
      <c r="N282" s="1024">
        <f>M282*(списки!$C$56-K282)</f>
        <v>0</v>
      </c>
      <c r="O282" s="1025">
        <v>24.3</v>
      </c>
      <c r="P282" s="1025"/>
      <c r="Q282" s="1025">
        <f t="shared" si="46"/>
        <v>0</v>
      </c>
      <c r="R282" s="1025">
        <f>Q282*(списки!$C$56-O282)</f>
        <v>0</v>
      </c>
      <c r="S282" s="1026">
        <v>19.899999999999999</v>
      </c>
      <c r="T282" s="1026"/>
      <c r="U282" s="1026">
        <f t="shared" si="53"/>
        <v>0</v>
      </c>
      <c r="V282" s="1026">
        <f>U282*(списки!$C$56-S282)</f>
        <v>0</v>
      </c>
      <c r="W282" s="1027">
        <v>13.7</v>
      </c>
      <c r="X282" s="1027"/>
      <c r="Y282" s="1027">
        <f t="shared" si="47"/>
        <v>0</v>
      </c>
      <c r="Z282" s="1027">
        <f>Y282*(списки!$C$56-W282)</f>
        <v>0</v>
      </c>
      <c r="AA282" s="1028">
        <v>7.8</v>
      </c>
      <c r="AB282" s="1028"/>
      <c r="AC282" s="1028">
        <f t="shared" si="48"/>
        <v>27</v>
      </c>
      <c r="AD282" s="1028">
        <f>AC282*(списки!$C$56-AA282)</f>
        <v>329.4</v>
      </c>
      <c r="AE282" s="1029">
        <v>2.9</v>
      </c>
      <c r="AF282" s="1029"/>
      <c r="AG282" s="1029">
        <v>31</v>
      </c>
      <c r="AH282" s="1029">
        <f>AG282*(списки!$C$56-AE282)</f>
        <v>530.1</v>
      </c>
      <c r="AI282" s="1030">
        <v>0.6</v>
      </c>
      <c r="AJ282" s="1030"/>
      <c r="AK282" s="1030">
        <v>31</v>
      </c>
      <c r="AL282" s="1030">
        <f>AK282*(списки!$C$56-AI282)</f>
        <v>601.4</v>
      </c>
      <c r="AM282" s="1031">
        <v>0.8</v>
      </c>
      <c r="AN282" s="1031"/>
      <c r="AO282" s="1031">
        <v>28</v>
      </c>
      <c r="AP282" s="1031">
        <f>AO282*(списки!$C$56-AM282)</f>
        <v>537.6</v>
      </c>
      <c r="AQ282" s="1026">
        <v>4.4000000000000004</v>
      </c>
      <c r="AR282" s="1026"/>
      <c r="AS282" s="1026">
        <f t="shared" si="49"/>
        <v>27</v>
      </c>
      <c r="AT282" s="1026">
        <f>AS282*(списки!$C$56-AQ282)</f>
        <v>421.2</v>
      </c>
      <c r="AU282" s="1032">
        <v>10.3</v>
      </c>
      <c r="AV282" s="1032"/>
      <c r="AW282" s="1032">
        <f t="shared" si="50"/>
        <v>0</v>
      </c>
      <c r="AX282" s="1032">
        <f>AW282*(списки!$C$56-AU282)</f>
        <v>0</v>
      </c>
      <c r="AY282" s="1033">
        <v>16.2</v>
      </c>
      <c r="AZ282" s="1033"/>
      <c r="BA282" s="1033">
        <f t="shared" si="51"/>
        <v>0</v>
      </c>
      <c r="BB282" s="1033">
        <f>BA282*(списки!$C$56-AY282)</f>
        <v>0</v>
      </c>
      <c r="BC282" s="1034">
        <v>21.6</v>
      </c>
      <c r="BD282" s="1034"/>
      <c r="BE282" s="1034">
        <f t="shared" si="52"/>
        <v>0</v>
      </c>
      <c r="BF282" s="1035">
        <f>BE282*(списки!$C$56-BC282)</f>
        <v>0</v>
      </c>
      <c r="BG282" s="1424">
        <v>2527.0930555555565</v>
      </c>
      <c r="BH282" s="1424">
        <v>2490.6124999999997</v>
      </c>
    </row>
    <row r="283" spans="2:60" ht="15.75" customHeight="1" x14ac:dyDescent="0.25">
      <c r="B283" s="1014" t="s">
        <v>2</v>
      </c>
      <c r="C283" s="1014" t="s">
        <v>94</v>
      </c>
      <c r="D283" s="1015" t="str">
        <f t="shared" si="54"/>
        <v>Республика ДагестанЮжно-Сухокумск</v>
      </c>
      <c r="E283" s="1016">
        <v>162</v>
      </c>
      <c r="F283" s="1017">
        <v>0.8</v>
      </c>
      <c r="G283" s="1017">
        <v>-19</v>
      </c>
      <c r="H283" s="1019">
        <v>5.0999999999999996</v>
      </c>
      <c r="I283" s="1020">
        <f>E283*(списки!$C$56-F283)</f>
        <v>3110.4</v>
      </c>
      <c r="J283" s="1021" t="str">
        <f t="shared" si="44"/>
        <v>3000-4000</v>
      </c>
      <c r="K283" s="1022">
        <v>25.1</v>
      </c>
      <c r="L283" s="1022"/>
      <c r="M283" s="1023">
        <f t="shared" si="45"/>
        <v>0</v>
      </c>
      <c r="N283" s="1024">
        <f>M283*(списки!$C$56-K283)</f>
        <v>0</v>
      </c>
      <c r="O283" s="1025">
        <v>24.2</v>
      </c>
      <c r="P283" s="1025"/>
      <c r="Q283" s="1025">
        <f t="shared" si="46"/>
        <v>0</v>
      </c>
      <c r="R283" s="1025">
        <f>Q283*(списки!$C$56-O283)</f>
        <v>0</v>
      </c>
      <c r="S283" s="1026">
        <v>18.2</v>
      </c>
      <c r="T283" s="1026"/>
      <c r="U283" s="1026">
        <f t="shared" si="53"/>
        <v>0</v>
      </c>
      <c r="V283" s="1026">
        <f>U283*(списки!$C$56-S283)</f>
        <v>0</v>
      </c>
      <c r="W283" s="1027">
        <v>10.8</v>
      </c>
      <c r="X283" s="1027"/>
      <c r="Y283" s="1027">
        <f t="shared" si="47"/>
        <v>5.5</v>
      </c>
      <c r="Z283" s="1027">
        <f>Y283*(списки!$C$56-W283)</f>
        <v>50.599999999999994</v>
      </c>
      <c r="AA283" s="1028">
        <v>4.8</v>
      </c>
      <c r="AB283" s="1028"/>
      <c r="AC283" s="1028">
        <f t="shared" si="48"/>
        <v>30</v>
      </c>
      <c r="AD283" s="1028">
        <f>AC283*(списки!$C$56-AA283)</f>
        <v>456</v>
      </c>
      <c r="AE283" s="1029">
        <v>0.5</v>
      </c>
      <c r="AF283" s="1029"/>
      <c r="AG283" s="1029">
        <v>31</v>
      </c>
      <c r="AH283" s="1029">
        <f>AG283*(списки!$C$56-AE283)</f>
        <v>604.5</v>
      </c>
      <c r="AI283" s="1030">
        <v>-3.6</v>
      </c>
      <c r="AJ283" s="1030"/>
      <c r="AK283" s="1030">
        <v>31</v>
      </c>
      <c r="AL283" s="1030">
        <f>AK283*(списки!$C$56-AI283)</f>
        <v>731.6</v>
      </c>
      <c r="AM283" s="1031">
        <v>-2.5</v>
      </c>
      <c r="AN283" s="1031"/>
      <c r="AO283" s="1031">
        <v>28</v>
      </c>
      <c r="AP283" s="1031">
        <f>AO283*(списки!$C$56-AM283)</f>
        <v>630</v>
      </c>
      <c r="AQ283" s="1026">
        <v>2.4</v>
      </c>
      <c r="AR283" s="1026"/>
      <c r="AS283" s="1026">
        <f t="shared" si="49"/>
        <v>31</v>
      </c>
      <c r="AT283" s="1026">
        <f>AS283*(списки!$C$56-AQ283)</f>
        <v>545.6</v>
      </c>
      <c r="AU283" s="1032">
        <v>10.6</v>
      </c>
      <c r="AV283" s="1032"/>
      <c r="AW283" s="1032">
        <f t="shared" si="50"/>
        <v>5.5</v>
      </c>
      <c r="AX283" s="1032">
        <f>AW283*(списки!$C$56-AU283)</f>
        <v>51.7</v>
      </c>
      <c r="AY283" s="1033">
        <v>17.8</v>
      </c>
      <c r="AZ283" s="1033"/>
      <c r="BA283" s="1033">
        <f t="shared" si="51"/>
        <v>0</v>
      </c>
      <c r="BB283" s="1033">
        <f>BA283*(списки!$C$56-AY283)</f>
        <v>0</v>
      </c>
      <c r="BC283" s="1034">
        <v>22.4</v>
      </c>
      <c r="BD283" s="1034"/>
      <c r="BE283" s="1034">
        <f t="shared" si="52"/>
        <v>0</v>
      </c>
      <c r="BF283" s="1035">
        <f>BE283*(списки!$C$56-BC283)</f>
        <v>0</v>
      </c>
      <c r="BG283" s="1424" t="e">
        <v>#N/A</v>
      </c>
      <c r="BH283" s="1424" t="e">
        <v>#N/A</v>
      </c>
    </row>
    <row r="284" spans="2:60" ht="15.75" customHeight="1" x14ac:dyDescent="0.25">
      <c r="B284" s="1038" t="s">
        <v>68</v>
      </c>
      <c r="C284" s="1038" t="s">
        <v>69</v>
      </c>
      <c r="D284" s="1015" t="str">
        <f t="shared" si="54"/>
        <v>Республика ИнгушетияМагас</v>
      </c>
      <c r="E284" s="1016">
        <v>159</v>
      </c>
      <c r="F284" s="1017">
        <v>0.9</v>
      </c>
      <c r="G284" s="1017">
        <v>-17</v>
      </c>
      <c r="H284" s="1019">
        <v>5.2</v>
      </c>
      <c r="I284" s="1020">
        <f>E284*(списки!$C$56-F284)</f>
        <v>3036.9</v>
      </c>
      <c r="J284" s="1021" t="str">
        <f t="shared" si="44"/>
        <v>3000-4000</v>
      </c>
      <c r="K284" s="1022">
        <v>24</v>
      </c>
      <c r="L284" s="1022"/>
      <c r="M284" s="1023">
        <f t="shared" si="45"/>
        <v>0</v>
      </c>
      <c r="N284" s="1024">
        <f>M284*(списки!$C$56-K284)</f>
        <v>0</v>
      </c>
      <c r="O284" s="1025">
        <v>22.9</v>
      </c>
      <c r="P284" s="1025"/>
      <c r="Q284" s="1025">
        <f t="shared" si="46"/>
        <v>0</v>
      </c>
      <c r="R284" s="1025">
        <f>Q284*(списки!$C$56-O284)</f>
        <v>0</v>
      </c>
      <c r="S284" s="1026">
        <v>18</v>
      </c>
      <c r="T284" s="1026"/>
      <c r="U284" s="1026">
        <f t="shared" si="53"/>
        <v>0</v>
      </c>
      <c r="V284" s="1026">
        <f>U284*(списки!$C$56-S284)</f>
        <v>0</v>
      </c>
      <c r="W284" s="1027">
        <v>10.8</v>
      </c>
      <c r="X284" s="1027"/>
      <c r="Y284" s="1027">
        <f t="shared" si="47"/>
        <v>4</v>
      </c>
      <c r="Z284" s="1027">
        <f>Y284*(списки!$C$56-W284)</f>
        <v>36.799999999999997</v>
      </c>
      <c r="AA284" s="1028">
        <v>4.7</v>
      </c>
      <c r="AB284" s="1028"/>
      <c r="AC284" s="1028">
        <f t="shared" si="48"/>
        <v>30</v>
      </c>
      <c r="AD284" s="1028">
        <f>AC284*(списки!$C$56-AA284)</f>
        <v>459</v>
      </c>
      <c r="AE284" s="1029">
        <v>-0.3</v>
      </c>
      <c r="AF284" s="1029"/>
      <c r="AG284" s="1029">
        <v>31</v>
      </c>
      <c r="AH284" s="1029">
        <f>AG284*(списки!$C$56-AE284)</f>
        <v>629.30000000000007</v>
      </c>
      <c r="AI284" s="1030">
        <v>-2.2000000000000002</v>
      </c>
      <c r="AJ284" s="1030"/>
      <c r="AK284" s="1030">
        <v>31</v>
      </c>
      <c r="AL284" s="1030">
        <f>AK284*(списки!$C$56-AI284)</f>
        <v>688.19999999999993</v>
      </c>
      <c r="AM284" s="1031">
        <v>-1.9</v>
      </c>
      <c r="AN284" s="1031"/>
      <c r="AO284" s="1031">
        <v>28</v>
      </c>
      <c r="AP284" s="1031">
        <f>AO284*(списки!$C$56-AM284)</f>
        <v>613.19999999999993</v>
      </c>
      <c r="AQ284" s="1026">
        <v>3.5</v>
      </c>
      <c r="AR284" s="1026"/>
      <c r="AS284" s="1026">
        <f t="shared" si="49"/>
        <v>31</v>
      </c>
      <c r="AT284" s="1026">
        <f>AS284*(списки!$C$56-AQ284)</f>
        <v>511.5</v>
      </c>
      <c r="AU284" s="1032">
        <v>10.9</v>
      </c>
      <c r="AV284" s="1032"/>
      <c r="AW284" s="1032">
        <f t="shared" si="50"/>
        <v>4</v>
      </c>
      <c r="AX284" s="1032">
        <f>AW284*(списки!$C$56-AU284)</f>
        <v>36.4</v>
      </c>
      <c r="AY284" s="1033">
        <v>16.5</v>
      </c>
      <c r="AZ284" s="1033"/>
      <c r="BA284" s="1033">
        <f t="shared" si="51"/>
        <v>0</v>
      </c>
      <c r="BB284" s="1033">
        <f>BA284*(списки!$C$56-AY284)</f>
        <v>0</v>
      </c>
      <c r="BC284" s="1034">
        <v>21</v>
      </c>
      <c r="BD284" s="1034"/>
      <c r="BE284" s="1034">
        <f t="shared" si="52"/>
        <v>0</v>
      </c>
      <c r="BF284" s="1035">
        <f>BE284*(списки!$C$56-BC284)</f>
        <v>0</v>
      </c>
      <c r="BG284" s="1424">
        <v>3088.8660714285697</v>
      </c>
      <c r="BH284" s="1424">
        <v>2958.1232142857139</v>
      </c>
    </row>
    <row r="285" spans="2:60" ht="15.75" customHeight="1" x14ac:dyDescent="0.25">
      <c r="B285" s="1014" t="s">
        <v>68</v>
      </c>
      <c r="C285" s="1014" t="s">
        <v>70</v>
      </c>
      <c r="D285" s="1015" t="str">
        <f t="shared" si="54"/>
        <v>Республика ИнгушетияНазрань</v>
      </c>
      <c r="E285" s="1016">
        <v>159</v>
      </c>
      <c r="F285" s="1017">
        <v>0.9</v>
      </c>
      <c r="G285" s="1017">
        <v>-17</v>
      </c>
      <c r="H285" s="1019">
        <v>5.0999999999999996</v>
      </c>
      <c r="I285" s="1020">
        <f>E285*(списки!$C$56-F285)</f>
        <v>3036.9</v>
      </c>
      <c r="J285" s="1021" t="str">
        <f t="shared" si="44"/>
        <v>3000-4000</v>
      </c>
      <c r="K285" s="1022">
        <v>24</v>
      </c>
      <c r="L285" s="1022"/>
      <c r="M285" s="1023">
        <f t="shared" si="45"/>
        <v>0</v>
      </c>
      <c r="N285" s="1024">
        <f>M285*(списки!$C$56-K285)</f>
        <v>0</v>
      </c>
      <c r="O285" s="1025">
        <v>22.9</v>
      </c>
      <c r="P285" s="1025"/>
      <c r="Q285" s="1025">
        <f t="shared" si="46"/>
        <v>0</v>
      </c>
      <c r="R285" s="1025">
        <f>Q285*(списки!$C$56-O285)</f>
        <v>0</v>
      </c>
      <c r="S285" s="1026">
        <v>18</v>
      </c>
      <c r="T285" s="1026"/>
      <c r="U285" s="1026">
        <f t="shared" si="53"/>
        <v>0</v>
      </c>
      <c r="V285" s="1026">
        <f>U285*(списки!$C$56-S285)</f>
        <v>0</v>
      </c>
      <c r="W285" s="1027">
        <v>10.8</v>
      </c>
      <c r="X285" s="1027"/>
      <c r="Y285" s="1027">
        <f t="shared" si="47"/>
        <v>4</v>
      </c>
      <c r="Z285" s="1027">
        <f>Y285*(списки!$C$56-W285)</f>
        <v>36.799999999999997</v>
      </c>
      <c r="AA285" s="1028">
        <v>4.7</v>
      </c>
      <c r="AB285" s="1028"/>
      <c r="AC285" s="1028">
        <f t="shared" si="48"/>
        <v>30</v>
      </c>
      <c r="AD285" s="1028">
        <f>AC285*(списки!$C$56-AA285)</f>
        <v>459</v>
      </c>
      <c r="AE285" s="1029">
        <v>-0.3</v>
      </c>
      <c r="AF285" s="1029"/>
      <c r="AG285" s="1029">
        <v>31</v>
      </c>
      <c r="AH285" s="1029">
        <f>AG285*(списки!$C$56-AE285)</f>
        <v>629.30000000000007</v>
      </c>
      <c r="AI285" s="1030">
        <v>-2.2000000000000002</v>
      </c>
      <c r="AJ285" s="1030"/>
      <c r="AK285" s="1030">
        <v>31</v>
      </c>
      <c r="AL285" s="1030">
        <f>AK285*(списки!$C$56-AI285)</f>
        <v>688.19999999999993</v>
      </c>
      <c r="AM285" s="1031">
        <v>-1.9</v>
      </c>
      <c r="AN285" s="1031"/>
      <c r="AO285" s="1031">
        <v>28</v>
      </c>
      <c r="AP285" s="1031">
        <f>AO285*(списки!$C$56-AM285)</f>
        <v>613.19999999999993</v>
      </c>
      <c r="AQ285" s="1026">
        <v>3.5</v>
      </c>
      <c r="AR285" s="1026"/>
      <c r="AS285" s="1026">
        <f t="shared" si="49"/>
        <v>31</v>
      </c>
      <c r="AT285" s="1026">
        <f>AS285*(списки!$C$56-AQ285)</f>
        <v>511.5</v>
      </c>
      <c r="AU285" s="1032">
        <v>10.9</v>
      </c>
      <c r="AV285" s="1032"/>
      <c r="AW285" s="1032">
        <f t="shared" si="50"/>
        <v>4</v>
      </c>
      <c r="AX285" s="1032">
        <f>AW285*(списки!$C$56-AU285)</f>
        <v>36.4</v>
      </c>
      <c r="AY285" s="1033">
        <v>16.5</v>
      </c>
      <c r="AZ285" s="1033"/>
      <c r="BA285" s="1033">
        <f t="shared" si="51"/>
        <v>0</v>
      </c>
      <c r="BB285" s="1033">
        <f>BA285*(списки!$C$56-AY285)</f>
        <v>0</v>
      </c>
      <c r="BC285" s="1034">
        <v>21</v>
      </c>
      <c r="BD285" s="1034"/>
      <c r="BE285" s="1034">
        <f t="shared" si="52"/>
        <v>0</v>
      </c>
      <c r="BF285" s="1035">
        <f>BE285*(списки!$C$56-BC285)</f>
        <v>0</v>
      </c>
      <c r="BG285" s="1424" t="e">
        <v>#N/A</v>
      </c>
      <c r="BH285" s="1424" t="e">
        <v>#N/A</v>
      </c>
    </row>
    <row r="286" spans="2:60" ht="15.75" customHeight="1" x14ac:dyDescent="0.25">
      <c r="B286" s="1038" t="s">
        <v>98</v>
      </c>
      <c r="C286" s="1038" t="s">
        <v>99</v>
      </c>
      <c r="D286" s="1015" t="str">
        <f t="shared" si="54"/>
        <v>Республика Кабардино-БалкарияНальчик</v>
      </c>
      <c r="E286" s="1016">
        <v>159</v>
      </c>
      <c r="F286" s="1017">
        <v>0.9</v>
      </c>
      <c r="G286" s="1017">
        <v>-17</v>
      </c>
      <c r="H286" s="1019">
        <v>5.0999999999999996</v>
      </c>
      <c r="I286" s="1020">
        <f>E286*(списки!$C$56-F286)</f>
        <v>3036.9</v>
      </c>
      <c r="J286" s="1021" t="str">
        <f t="shared" si="44"/>
        <v>3000-4000</v>
      </c>
      <c r="K286" s="1022">
        <v>24</v>
      </c>
      <c r="L286" s="1022"/>
      <c r="M286" s="1023">
        <f t="shared" si="45"/>
        <v>0</v>
      </c>
      <c r="N286" s="1024">
        <f>M286*(списки!$C$56-K286)</f>
        <v>0</v>
      </c>
      <c r="O286" s="1025">
        <v>22.9</v>
      </c>
      <c r="P286" s="1025"/>
      <c r="Q286" s="1025">
        <f t="shared" si="46"/>
        <v>0</v>
      </c>
      <c r="R286" s="1025">
        <f>Q286*(списки!$C$56-O286)</f>
        <v>0</v>
      </c>
      <c r="S286" s="1026">
        <v>18</v>
      </c>
      <c r="T286" s="1026"/>
      <c r="U286" s="1026">
        <f t="shared" si="53"/>
        <v>0</v>
      </c>
      <c r="V286" s="1026">
        <f>U286*(списки!$C$56-S286)</f>
        <v>0</v>
      </c>
      <c r="W286" s="1027">
        <v>10.8</v>
      </c>
      <c r="X286" s="1027"/>
      <c r="Y286" s="1027">
        <f t="shared" si="47"/>
        <v>4</v>
      </c>
      <c r="Z286" s="1027">
        <f>Y286*(списки!$C$56-W286)</f>
        <v>36.799999999999997</v>
      </c>
      <c r="AA286" s="1028">
        <v>4.7</v>
      </c>
      <c r="AB286" s="1028"/>
      <c r="AC286" s="1028">
        <f t="shared" si="48"/>
        <v>30</v>
      </c>
      <c r="AD286" s="1028">
        <f>AC286*(списки!$C$56-AA286)</f>
        <v>459</v>
      </c>
      <c r="AE286" s="1029">
        <v>-0.3</v>
      </c>
      <c r="AF286" s="1029"/>
      <c r="AG286" s="1029">
        <v>31</v>
      </c>
      <c r="AH286" s="1029">
        <f>AG286*(списки!$C$56-AE286)</f>
        <v>629.30000000000007</v>
      </c>
      <c r="AI286" s="1030">
        <v>-2.2000000000000002</v>
      </c>
      <c r="AJ286" s="1030"/>
      <c r="AK286" s="1030">
        <v>31</v>
      </c>
      <c r="AL286" s="1030">
        <f>AK286*(списки!$C$56-AI286)</f>
        <v>688.19999999999993</v>
      </c>
      <c r="AM286" s="1031">
        <v>-1.9</v>
      </c>
      <c r="AN286" s="1031"/>
      <c r="AO286" s="1031">
        <v>28</v>
      </c>
      <c r="AP286" s="1031">
        <f>AO286*(списки!$C$56-AM286)</f>
        <v>613.19999999999993</v>
      </c>
      <c r="AQ286" s="1026">
        <v>3.5</v>
      </c>
      <c r="AR286" s="1026"/>
      <c r="AS286" s="1026">
        <f t="shared" si="49"/>
        <v>31</v>
      </c>
      <c r="AT286" s="1026">
        <f>AS286*(списки!$C$56-AQ286)</f>
        <v>511.5</v>
      </c>
      <c r="AU286" s="1032">
        <v>10.9</v>
      </c>
      <c r="AV286" s="1032"/>
      <c r="AW286" s="1032">
        <f t="shared" si="50"/>
        <v>4</v>
      </c>
      <c r="AX286" s="1032">
        <f>AW286*(списки!$C$56-AU286)</f>
        <v>36.4</v>
      </c>
      <c r="AY286" s="1033">
        <v>16.5</v>
      </c>
      <c r="AZ286" s="1033"/>
      <c r="BA286" s="1033">
        <f t="shared" si="51"/>
        <v>0</v>
      </c>
      <c r="BB286" s="1033">
        <f>BA286*(списки!$C$56-AY286)</f>
        <v>0</v>
      </c>
      <c r="BC286" s="1034">
        <v>21</v>
      </c>
      <c r="BD286" s="1034"/>
      <c r="BE286" s="1034">
        <f t="shared" si="52"/>
        <v>0</v>
      </c>
      <c r="BF286" s="1035">
        <f>BE286*(списки!$C$56-BC286)</f>
        <v>0</v>
      </c>
      <c r="BG286" s="1424" t="e">
        <v>#N/A</v>
      </c>
      <c r="BH286" s="1424" t="e">
        <v>#N/A</v>
      </c>
    </row>
    <row r="287" spans="2:60" ht="15.75" customHeight="1" x14ac:dyDescent="0.25">
      <c r="B287" s="1014" t="s">
        <v>458</v>
      </c>
      <c r="C287" s="1014" t="s">
        <v>285</v>
      </c>
      <c r="D287" s="1015" t="str">
        <f t="shared" si="54"/>
        <v>Республика КалмыкияЭлиста</v>
      </c>
      <c r="E287" s="1016">
        <v>169</v>
      </c>
      <c r="F287" s="1017">
        <v>-1</v>
      </c>
      <c r="G287" s="1017">
        <v>-23</v>
      </c>
      <c r="H287" s="1019">
        <v>8.5</v>
      </c>
      <c r="I287" s="1020">
        <f>E287*(списки!$C$56-F287)</f>
        <v>3549</v>
      </c>
      <c r="J287" s="1021" t="str">
        <f t="shared" si="44"/>
        <v>3000-4000</v>
      </c>
      <c r="K287" s="1022">
        <v>24.6</v>
      </c>
      <c r="L287" s="1022"/>
      <c r="M287" s="1023">
        <f t="shared" si="45"/>
        <v>0</v>
      </c>
      <c r="N287" s="1024">
        <f>M287*(списки!$C$56-K287)</f>
        <v>0</v>
      </c>
      <c r="O287" s="1025">
        <v>23.4</v>
      </c>
      <c r="P287" s="1025"/>
      <c r="Q287" s="1025">
        <f t="shared" si="46"/>
        <v>0</v>
      </c>
      <c r="R287" s="1025">
        <f>Q287*(списки!$C$56-O287)</f>
        <v>0</v>
      </c>
      <c r="S287" s="1026">
        <v>17.2</v>
      </c>
      <c r="T287" s="1026"/>
      <c r="U287" s="1026">
        <f t="shared" si="53"/>
        <v>0</v>
      </c>
      <c r="V287" s="1026">
        <f>U287*(списки!$C$56-S287)</f>
        <v>0</v>
      </c>
      <c r="W287" s="1027">
        <v>9.6</v>
      </c>
      <c r="X287" s="1027"/>
      <c r="Y287" s="1027">
        <f t="shared" si="47"/>
        <v>9</v>
      </c>
      <c r="Z287" s="1027">
        <f>Y287*(списки!$C$56-W287)</f>
        <v>93.600000000000009</v>
      </c>
      <c r="AA287" s="1028">
        <v>2.6</v>
      </c>
      <c r="AB287" s="1028"/>
      <c r="AC287" s="1028">
        <f t="shared" si="48"/>
        <v>30</v>
      </c>
      <c r="AD287" s="1028">
        <f>AC287*(списки!$C$56-AA287)</f>
        <v>522</v>
      </c>
      <c r="AE287" s="1029">
        <v>-2.5</v>
      </c>
      <c r="AF287" s="1029"/>
      <c r="AG287" s="1029">
        <v>31</v>
      </c>
      <c r="AH287" s="1029">
        <f>AG287*(списки!$C$56-AE287)</f>
        <v>697.5</v>
      </c>
      <c r="AI287" s="1030">
        <v>-5</v>
      </c>
      <c r="AJ287" s="1030"/>
      <c r="AK287" s="1030">
        <v>31</v>
      </c>
      <c r="AL287" s="1030">
        <f>AK287*(списки!$C$56-AI287)</f>
        <v>775</v>
      </c>
      <c r="AM287" s="1031">
        <v>-4.5999999999999996</v>
      </c>
      <c r="AN287" s="1031"/>
      <c r="AO287" s="1031">
        <v>28</v>
      </c>
      <c r="AP287" s="1031">
        <f>AO287*(списки!$C$56-AM287)</f>
        <v>688.80000000000007</v>
      </c>
      <c r="AQ287" s="1026">
        <v>1.3</v>
      </c>
      <c r="AR287" s="1026"/>
      <c r="AS287" s="1026">
        <f t="shared" si="49"/>
        <v>31</v>
      </c>
      <c r="AT287" s="1026">
        <f>AS287*(списки!$C$56-AQ287)</f>
        <v>579.69999999999993</v>
      </c>
      <c r="AU287" s="1032">
        <v>10.3</v>
      </c>
      <c r="AV287" s="1032"/>
      <c r="AW287" s="1032">
        <f t="shared" si="50"/>
        <v>9</v>
      </c>
      <c r="AX287" s="1032">
        <f>AW287*(списки!$C$56-AU287)</f>
        <v>87.3</v>
      </c>
      <c r="AY287" s="1033">
        <v>16.8</v>
      </c>
      <c r="AZ287" s="1033"/>
      <c r="BA287" s="1033">
        <f t="shared" si="51"/>
        <v>0</v>
      </c>
      <c r="BB287" s="1033">
        <f>BA287*(списки!$C$56-AY287)</f>
        <v>0</v>
      </c>
      <c r="BC287" s="1034">
        <v>21.6</v>
      </c>
      <c r="BD287" s="1034"/>
      <c r="BE287" s="1034">
        <f t="shared" si="52"/>
        <v>0</v>
      </c>
      <c r="BF287" s="1035">
        <f>BE287*(списки!$C$56-BC287)</f>
        <v>0</v>
      </c>
      <c r="BG287" s="1424">
        <v>3478.9857142857131</v>
      </c>
      <c r="BH287" s="1424">
        <v>3155.3303571428569</v>
      </c>
    </row>
    <row r="288" spans="2:60" ht="15.75" customHeight="1" x14ac:dyDescent="0.25">
      <c r="B288" s="1038" t="s">
        <v>329</v>
      </c>
      <c r="C288" s="1038" t="s">
        <v>330</v>
      </c>
      <c r="D288" s="1015" t="str">
        <f t="shared" si="54"/>
        <v>Республика КарелияКемь</v>
      </c>
      <c r="E288" s="1016">
        <v>255</v>
      </c>
      <c r="F288" s="1017">
        <v>-3.5</v>
      </c>
      <c r="G288" s="1017">
        <v>-28</v>
      </c>
      <c r="H288" s="1019">
        <v>4.7</v>
      </c>
      <c r="I288" s="1020">
        <f>E288*(списки!$C$56-F288)</f>
        <v>5992.5</v>
      </c>
      <c r="J288" s="1021" t="str">
        <f t="shared" si="44"/>
        <v>5000-6000</v>
      </c>
      <c r="K288" s="1022">
        <v>14.3</v>
      </c>
      <c r="L288" s="1022"/>
      <c r="M288" s="1023">
        <f t="shared" si="45"/>
        <v>0</v>
      </c>
      <c r="N288" s="1024">
        <f>M288*(списки!$C$56-K288)</f>
        <v>0</v>
      </c>
      <c r="O288" s="1025">
        <v>12.9</v>
      </c>
      <c r="P288" s="1025"/>
      <c r="Q288" s="1025">
        <f t="shared" si="46"/>
        <v>0</v>
      </c>
      <c r="R288" s="1025">
        <f>Q288*(списки!$C$56-O288)</f>
        <v>0</v>
      </c>
      <c r="S288" s="1026">
        <v>8.5</v>
      </c>
      <c r="T288" s="1026"/>
      <c r="U288" s="1026">
        <f t="shared" si="53"/>
        <v>21.5</v>
      </c>
      <c r="V288" s="1026">
        <f>U288*(списки!$C$56-S288)</f>
        <v>247.25</v>
      </c>
      <c r="W288" s="1027">
        <v>2.5</v>
      </c>
      <c r="X288" s="1027"/>
      <c r="Y288" s="1027">
        <f t="shared" si="47"/>
        <v>31</v>
      </c>
      <c r="Z288" s="1027">
        <f>Y288*(списки!$C$56-W288)</f>
        <v>542.5</v>
      </c>
      <c r="AA288" s="1028">
        <v>-3.2</v>
      </c>
      <c r="AB288" s="1028"/>
      <c r="AC288" s="1028">
        <f t="shared" si="48"/>
        <v>30</v>
      </c>
      <c r="AD288" s="1028">
        <f>AC288*(списки!$C$56-AA288)</f>
        <v>696</v>
      </c>
      <c r="AE288" s="1029">
        <v>-7.6</v>
      </c>
      <c r="AF288" s="1029"/>
      <c r="AG288" s="1029">
        <v>31</v>
      </c>
      <c r="AH288" s="1029">
        <f>AG288*(списки!$C$56-AE288)</f>
        <v>855.6</v>
      </c>
      <c r="AI288" s="1030">
        <v>-10.9</v>
      </c>
      <c r="AJ288" s="1030"/>
      <c r="AK288" s="1030">
        <v>31</v>
      </c>
      <c r="AL288" s="1030">
        <f>AK288*(списки!$C$56-AI288)</f>
        <v>957.9</v>
      </c>
      <c r="AM288" s="1031">
        <v>-10.5</v>
      </c>
      <c r="AN288" s="1031"/>
      <c r="AO288" s="1031">
        <v>28</v>
      </c>
      <c r="AP288" s="1031">
        <f>AO288*(списки!$C$56-AM288)</f>
        <v>854</v>
      </c>
      <c r="AQ288" s="1026">
        <v>-5.5</v>
      </c>
      <c r="AR288" s="1026"/>
      <c r="AS288" s="1026">
        <f t="shared" si="49"/>
        <v>31</v>
      </c>
      <c r="AT288" s="1026">
        <f>AS288*(списки!$C$56-AQ288)</f>
        <v>790.5</v>
      </c>
      <c r="AU288" s="1032">
        <v>-0.7</v>
      </c>
      <c r="AV288" s="1032"/>
      <c r="AW288" s="1032">
        <f t="shared" si="50"/>
        <v>30</v>
      </c>
      <c r="AX288" s="1032">
        <f>AW288*(списки!$C$56-AU288)</f>
        <v>621</v>
      </c>
      <c r="AY288" s="1033">
        <v>4.9000000000000004</v>
      </c>
      <c r="AZ288" s="1033"/>
      <c r="BA288" s="1033">
        <f t="shared" si="51"/>
        <v>21.5</v>
      </c>
      <c r="BB288" s="1033">
        <f>BA288*(списки!$C$56-AY288)</f>
        <v>324.64999999999998</v>
      </c>
      <c r="BC288" s="1034">
        <v>10.9</v>
      </c>
      <c r="BD288" s="1034"/>
      <c r="BE288" s="1034">
        <f t="shared" si="52"/>
        <v>0</v>
      </c>
      <c r="BF288" s="1035">
        <f>BE288*(списки!$C$56-BC288)</f>
        <v>0</v>
      </c>
      <c r="BG288" s="1424">
        <v>5075.1999999999989</v>
      </c>
      <c r="BH288" s="1424">
        <v>5741.4267857142886</v>
      </c>
    </row>
    <row r="289" spans="2:60" ht="15.75" customHeight="1" x14ac:dyDescent="0.25">
      <c r="B289" s="1014" t="s">
        <v>329</v>
      </c>
      <c r="C289" s="1014" t="s">
        <v>331</v>
      </c>
      <c r="D289" s="1015" t="str">
        <f t="shared" si="54"/>
        <v>Республика КарелияЛоухи</v>
      </c>
      <c r="E289" s="1016">
        <v>261</v>
      </c>
      <c r="F289" s="1017">
        <v>-4.2</v>
      </c>
      <c r="G289" s="1017">
        <v>-31</v>
      </c>
      <c r="H289" s="1019">
        <f>H288</f>
        <v>4.7</v>
      </c>
      <c r="I289" s="1020">
        <f>E289*(списки!$C$56-F289)</f>
        <v>6316.2</v>
      </c>
      <c r="J289" s="1021" t="str">
        <f t="shared" si="44"/>
        <v>6000-7000</v>
      </c>
      <c r="K289" s="1022">
        <v>14.8</v>
      </c>
      <c r="L289" s="1022"/>
      <c r="M289" s="1023">
        <f t="shared" si="45"/>
        <v>0</v>
      </c>
      <c r="N289" s="1024">
        <f>M289*(списки!$C$56-K289)</f>
        <v>0</v>
      </c>
      <c r="O289" s="1025">
        <v>12.8</v>
      </c>
      <c r="P289" s="1025"/>
      <c r="Q289" s="1025">
        <f t="shared" si="46"/>
        <v>0</v>
      </c>
      <c r="R289" s="1025">
        <f>Q289*(списки!$C$56-O289)</f>
        <v>0</v>
      </c>
      <c r="S289" s="1026">
        <v>7.2</v>
      </c>
      <c r="T289" s="1026"/>
      <c r="U289" s="1026">
        <f t="shared" si="53"/>
        <v>24.5</v>
      </c>
      <c r="V289" s="1026">
        <f>U289*(списки!$C$56-S289)</f>
        <v>313.60000000000002</v>
      </c>
      <c r="W289" s="1027">
        <v>1</v>
      </c>
      <c r="X289" s="1027"/>
      <c r="Y289" s="1027">
        <f t="shared" si="47"/>
        <v>31</v>
      </c>
      <c r="Z289" s="1027">
        <f>Y289*(списки!$C$56-W289)</f>
        <v>589</v>
      </c>
      <c r="AA289" s="1028">
        <v>-4.4000000000000004</v>
      </c>
      <c r="AB289" s="1028"/>
      <c r="AC289" s="1028">
        <f t="shared" si="48"/>
        <v>30</v>
      </c>
      <c r="AD289" s="1028">
        <f>AC289*(списки!$C$56-AA289)</f>
        <v>732</v>
      </c>
      <c r="AE289" s="1029">
        <v>-8.5</v>
      </c>
      <c r="AF289" s="1029"/>
      <c r="AG289" s="1029">
        <v>31</v>
      </c>
      <c r="AH289" s="1029">
        <f>AG289*(списки!$C$56-AE289)</f>
        <v>883.5</v>
      </c>
      <c r="AI289" s="1030">
        <v>-12.1</v>
      </c>
      <c r="AJ289" s="1030"/>
      <c r="AK289" s="1030">
        <v>31</v>
      </c>
      <c r="AL289" s="1030">
        <f>AK289*(списки!$C$56-AI289)</f>
        <v>995.1</v>
      </c>
      <c r="AM289" s="1031">
        <v>-12.4</v>
      </c>
      <c r="AN289" s="1031"/>
      <c r="AO289" s="1031">
        <v>28</v>
      </c>
      <c r="AP289" s="1031">
        <f>AO289*(списки!$C$56-AM289)</f>
        <v>907.19999999999993</v>
      </c>
      <c r="AQ289" s="1026">
        <v>-8.3000000000000007</v>
      </c>
      <c r="AR289" s="1026"/>
      <c r="AS289" s="1026">
        <f t="shared" si="49"/>
        <v>31</v>
      </c>
      <c r="AT289" s="1026">
        <f>AS289*(списки!$C$56-AQ289)</f>
        <v>877.30000000000007</v>
      </c>
      <c r="AU289" s="1032">
        <v>-1.7</v>
      </c>
      <c r="AV289" s="1032"/>
      <c r="AW289" s="1032">
        <f t="shared" si="50"/>
        <v>30</v>
      </c>
      <c r="AX289" s="1032">
        <f>AW289*(списки!$C$56-AU289)</f>
        <v>651</v>
      </c>
      <c r="AY289" s="1033">
        <v>4.7</v>
      </c>
      <c r="AZ289" s="1033"/>
      <c r="BA289" s="1033">
        <f t="shared" si="51"/>
        <v>24.5</v>
      </c>
      <c r="BB289" s="1033">
        <f>BA289*(списки!$C$56-AY289)</f>
        <v>374.85</v>
      </c>
      <c r="BC289" s="1034">
        <v>11.6</v>
      </c>
      <c r="BD289" s="1034"/>
      <c r="BE289" s="1034">
        <f t="shared" si="52"/>
        <v>0</v>
      </c>
      <c r="BF289" s="1035">
        <f>BE289*(списки!$C$56-BC289)</f>
        <v>0</v>
      </c>
      <c r="BG289" s="1424">
        <v>5392.5897619047628</v>
      </c>
      <c r="BH289" s="1424">
        <v>6027.2666666666682</v>
      </c>
    </row>
    <row r="290" spans="2:60" ht="15.75" customHeight="1" x14ac:dyDescent="0.25">
      <c r="B290" s="1038" t="s">
        <v>329</v>
      </c>
      <c r="C290" s="1038" t="s">
        <v>332</v>
      </c>
      <c r="D290" s="1015" t="str">
        <f t="shared" si="54"/>
        <v>Республика КарелияОлонец</v>
      </c>
      <c r="E290" s="1016">
        <v>233</v>
      </c>
      <c r="F290" s="1017">
        <v>-3.2</v>
      </c>
      <c r="G290" s="1017">
        <v>-29</v>
      </c>
      <c r="H290" s="1019">
        <v>6.5</v>
      </c>
      <c r="I290" s="1020">
        <f>E290*(списки!$C$56-F290)</f>
        <v>5405.5999999999995</v>
      </c>
      <c r="J290" s="1021" t="str">
        <f t="shared" si="44"/>
        <v>5000-6000</v>
      </c>
      <c r="K290" s="1022">
        <v>16.399999999999999</v>
      </c>
      <c r="L290" s="1022"/>
      <c r="M290" s="1023">
        <f t="shared" si="45"/>
        <v>0</v>
      </c>
      <c r="N290" s="1024">
        <f>M290*(списки!$C$56-K290)</f>
        <v>0</v>
      </c>
      <c r="O290" s="1025">
        <v>14.7</v>
      </c>
      <c r="P290" s="1025"/>
      <c r="Q290" s="1025">
        <f t="shared" si="46"/>
        <v>0</v>
      </c>
      <c r="R290" s="1025">
        <f>Q290*(списки!$C$56-O290)</f>
        <v>0</v>
      </c>
      <c r="S290" s="1026">
        <v>9.3000000000000007</v>
      </c>
      <c r="T290" s="1026"/>
      <c r="U290" s="1026">
        <f t="shared" si="53"/>
        <v>10.5</v>
      </c>
      <c r="V290" s="1026">
        <f>U290*(списки!$C$56-S290)</f>
        <v>112.35</v>
      </c>
      <c r="W290" s="1027">
        <v>3.4</v>
      </c>
      <c r="X290" s="1027"/>
      <c r="Y290" s="1027">
        <f t="shared" si="47"/>
        <v>31</v>
      </c>
      <c r="Z290" s="1027">
        <f>Y290*(списки!$C$56-W290)</f>
        <v>514.6</v>
      </c>
      <c r="AA290" s="1028">
        <v>-1.8</v>
      </c>
      <c r="AB290" s="1028"/>
      <c r="AC290" s="1028">
        <f t="shared" si="48"/>
        <v>30</v>
      </c>
      <c r="AD290" s="1028">
        <f>AC290*(списки!$C$56-AA290)</f>
        <v>654</v>
      </c>
      <c r="AE290" s="1029">
        <v>-7.1</v>
      </c>
      <c r="AF290" s="1029"/>
      <c r="AG290" s="1029">
        <v>31</v>
      </c>
      <c r="AH290" s="1029">
        <f>AG290*(списки!$C$56-AE290)</f>
        <v>840.1</v>
      </c>
      <c r="AI290" s="1030">
        <v>-10.3</v>
      </c>
      <c r="AJ290" s="1030"/>
      <c r="AK290" s="1030">
        <v>31</v>
      </c>
      <c r="AL290" s="1030">
        <f>AK290*(списки!$C$56-AI290)</f>
        <v>939.30000000000007</v>
      </c>
      <c r="AM290" s="1031">
        <v>-10.5</v>
      </c>
      <c r="AN290" s="1031"/>
      <c r="AO290" s="1031">
        <v>28</v>
      </c>
      <c r="AP290" s="1031">
        <f>AO290*(списки!$C$56-AM290)</f>
        <v>854</v>
      </c>
      <c r="AQ290" s="1026">
        <v>-6.3</v>
      </c>
      <c r="AR290" s="1026"/>
      <c r="AS290" s="1026">
        <f t="shared" si="49"/>
        <v>31</v>
      </c>
      <c r="AT290" s="1026">
        <f>AS290*(списки!$C$56-AQ290)</f>
        <v>815.30000000000007</v>
      </c>
      <c r="AU290" s="1032">
        <v>1.3</v>
      </c>
      <c r="AV290" s="1032"/>
      <c r="AW290" s="1032">
        <f t="shared" si="50"/>
        <v>30</v>
      </c>
      <c r="AX290" s="1032">
        <f>AW290*(списки!$C$56-AU290)</f>
        <v>561</v>
      </c>
      <c r="AY290" s="1033">
        <v>8.6</v>
      </c>
      <c r="AZ290" s="1033"/>
      <c r="BA290" s="1033">
        <f t="shared" si="51"/>
        <v>10.5</v>
      </c>
      <c r="BB290" s="1033">
        <f>BA290*(списки!$C$56-AY290)</f>
        <v>119.7</v>
      </c>
      <c r="BC290" s="1034">
        <v>13.6</v>
      </c>
      <c r="BD290" s="1034"/>
      <c r="BE290" s="1034">
        <f t="shared" si="52"/>
        <v>0</v>
      </c>
      <c r="BF290" s="1035">
        <f>BE290*(списки!$C$56-BC290)</f>
        <v>0</v>
      </c>
      <c r="BG290" s="1424">
        <v>4677.5849999999991</v>
      </c>
      <c r="BH290" s="1424">
        <v>4821.6650000000018</v>
      </c>
    </row>
    <row r="291" spans="2:60" ht="15.75" customHeight="1" x14ac:dyDescent="0.25">
      <c r="B291" s="1014" t="s">
        <v>329</v>
      </c>
      <c r="C291" s="1014" t="s">
        <v>333</v>
      </c>
      <c r="D291" s="1015" t="str">
        <f t="shared" si="54"/>
        <v>Республика КарелияПаданы</v>
      </c>
      <c r="E291" s="1016">
        <v>246</v>
      </c>
      <c r="F291" s="1017">
        <v>-3.7</v>
      </c>
      <c r="G291" s="1017">
        <v>-30</v>
      </c>
      <c r="H291" s="1019">
        <v>4</v>
      </c>
      <c r="I291" s="1020">
        <f>E291*(списки!$C$56-F291)</f>
        <v>5830.2</v>
      </c>
      <c r="J291" s="1021" t="str">
        <f t="shared" si="44"/>
        <v>5000-6000</v>
      </c>
      <c r="K291" s="1022">
        <v>16</v>
      </c>
      <c r="L291" s="1022"/>
      <c r="M291" s="1023">
        <f t="shared" si="45"/>
        <v>0</v>
      </c>
      <c r="N291" s="1024">
        <f>M291*(списки!$C$56-K291)</f>
        <v>0</v>
      </c>
      <c r="O291" s="1025">
        <v>14</v>
      </c>
      <c r="P291" s="1025"/>
      <c r="Q291" s="1025">
        <f t="shared" si="46"/>
        <v>0</v>
      </c>
      <c r="R291" s="1025">
        <f>Q291*(списки!$C$56-O291)</f>
        <v>0</v>
      </c>
      <c r="S291" s="1026">
        <v>8.8000000000000007</v>
      </c>
      <c r="T291" s="1026"/>
      <c r="U291" s="1026">
        <f t="shared" si="53"/>
        <v>17</v>
      </c>
      <c r="V291" s="1026">
        <f>U291*(списки!$C$56-S291)</f>
        <v>190.39999999999998</v>
      </c>
      <c r="W291" s="1027">
        <v>2.8</v>
      </c>
      <c r="X291" s="1027"/>
      <c r="Y291" s="1027">
        <f t="shared" si="47"/>
        <v>31</v>
      </c>
      <c r="Z291" s="1027">
        <f>Y291*(списки!$C$56-W291)</f>
        <v>533.19999999999993</v>
      </c>
      <c r="AA291" s="1028">
        <v>-3</v>
      </c>
      <c r="AB291" s="1028"/>
      <c r="AC291" s="1028">
        <f t="shared" si="48"/>
        <v>30</v>
      </c>
      <c r="AD291" s="1028">
        <f>AC291*(списки!$C$56-AA291)</f>
        <v>690</v>
      </c>
      <c r="AE291" s="1029">
        <v>-7.8</v>
      </c>
      <c r="AF291" s="1029"/>
      <c r="AG291" s="1029">
        <v>31</v>
      </c>
      <c r="AH291" s="1029">
        <f>AG291*(списки!$C$56-AE291)</f>
        <v>861.80000000000007</v>
      </c>
      <c r="AI291" s="1030">
        <v>-11.2</v>
      </c>
      <c r="AJ291" s="1030"/>
      <c r="AK291" s="1030">
        <v>31</v>
      </c>
      <c r="AL291" s="1030">
        <f>AK291*(списки!$C$56-AI291)</f>
        <v>967.19999999999993</v>
      </c>
      <c r="AM291" s="1031">
        <v>-10.7</v>
      </c>
      <c r="AN291" s="1031"/>
      <c r="AO291" s="1031">
        <v>28</v>
      </c>
      <c r="AP291" s="1031">
        <f>AO291*(списки!$C$56-AM291)</f>
        <v>859.6</v>
      </c>
      <c r="AQ291" s="1026">
        <v>-5.2</v>
      </c>
      <c r="AR291" s="1026"/>
      <c r="AS291" s="1026">
        <f t="shared" si="49"/>
        <v>31</v>
      </c>
      <c r="AT291" s="1026">
        <f>AS291*(списки!$C$56-AQ291)</f>
        <v>781.19999999999993</v>
      </c>
      <c r="AU291" s="1032">
        <v>0.2</v>
      </c>
      <c r="AV291" s="1032"/>
      <c r="AW291" s="1032">
        <f t="shared" si="50"/>
        <v>30</v>
      </c>
      <c r="AX291" s="1032">
        <f>AW291*(списки!$C$56-AU291)</f>
        <v>594</v>
      </c>
      <c r="AY291" s="1033">
        <v>6.5</v>
      </c>
      <c r="AZ291" s="1033"/>
      <c r="BA291" s="1033">
        <f t="shared" si="51"/>
        <v>17</v>
      </c>
      <c r="BB291" s="1033">
        <f>BA291*(списки!$C$56-AY291)</f>
        <v>229.5</v>
      </c>
      <c r="BC291" s="1034">
        <v>12.7</v>
      </c>
      <c r="BD291" s="1034"/>
      <c r="BE291" s="1034">
        <f t="shared" si="52"/>
        <v>0</v>
      </c>
      <c r="BF291" s="1035">
        <f>BE291*(списки!$C$56-BC291)</f>
        <v>0</v>
      </c>
      <c r="BG291" s="1424">
        <v>5109.4642857142871</v>
      </c>
      <c r="BH291" s="1424">
        <v>5381.4375000000036</v>
      </c>
    </row>
    <row r="292" spans="2:60" ht="15.75" customHeight="1" x14ac:dyDescent="0.25">
      <c r="B292" s="1038" t="s">
        <v>329</v>
      </c>
      <c r="C292" s="1038" t="s">
        <v>334</v>
      </c>
      <c r="D292" s="1015" t="str">
        <f t="shared" si="54"/>
        <v>Республика КарелияПетрозаводск</v>
      </c>
      <c r="E292" s="1016">
        <v>235</v>
      </c>
      <c r="F292" s="1017">
        <v>-3.2</v>
      </c>
      <c r="G292" s="1017">
        <v>-28</v>
      </c>
      <c r="H292" s="1019">
        <v>4.2</v>
      </c>
      <c r="I292" s="1020">
        <f>E292*(списки!$C$56-F292)</f>
        <v>5452</v>
      </c>
      <c r="J292" s="1021" t="str">
        <f t="shared" si="44"/>
        <v>5000-6000</v>
      </c>
      <c r="K292" s="1022">
        <v>16.5</v>
      </c>
      <c r="L292" s="1022"/>
      <c r="M292" s="1023">
        <f t="shared" si="45"/>
        <v>0</v>
      </c>
      <c r="N292" s="1024">
        <f>M292*(списки!$C$56-K292)</f>
        <v>0</v>
      </c>
      <c r="O292" s="1025">
        <v>14.3</v>
      </c>
      <c r="P292" s="1025"/>
      <c r="Q292" s="1025">
        <f t="shared" si="46"/>
        <v>0</v>
      </c>
      <c r="R292" s="1025">
        <f>Q292*(списки!$C$56-O292)</f>
        <v>0</v>
      </c>
      <c r="S292" s="1026">
        <v>9.1</v>
      </c>
      <c r="T292" s="1026"/>
      <c r="U292" s="1026">
        <f t="shared" si="53"/>
        <v>11.5</v>
      </c>
      <c r="V292" s="1026">
        <f>U292*(списки!$C$56-S292)</f>
        <v>125.35000000000001</v>
      </c>
      <c r="W292" s="1027">
        <v>3.3</v>
      </c>
      <c r="X292" s="1027"/>
      <c r="Y292" s="1027">
        <f t="shared" si="47"/>
        <v>31</v>
      </c>
      <c r="Z292" s="1027">
        <f>Y292*(списки!$C$56-W292)</f>
        <v>517.69999999999993</v>
      </c>
      <c r="AA292" s="1028">
        <v>-2.5</v>
      </c>
      <c r="AB292" s="1028"/>
      <c r="AC292" s="1028">
        <f t="shared" si="48"/>
        <v>30</v>
      </c>
      <c r="AD292" s="1028">
        <f>AC292*(списки!$C$56-AA292)</f>
        <v>675</v>
      </c>
      <c r="AE292" s="1029">
        <v>-7</v>
      </c>
      <c r="AF292" s="1029"/>
      <c r="AG292" s="1029">
        <v>31</v>
      </c>
      <c r="AH292" s="1029">
        <f>AG292*(списки!$C$56-AE292)</f>
        <v>837</v>
      </c>
      <c r="AI292" s="1030">
        <v>-10.3</v>
      </c>
      <c r="AJ292" s="1030"/>
      <c r="AK292" s="1030">
        <v>31</v>
      </c>
      <c r="AL292" s="1030">
        <f>AK292*(списки!$C$56-AI292)</f>
        <v>939.30000000000007</v>
      </c>
      <c r="AM292" s="1031">
        <v>-9.5</v>
      </c>
      <c r="AN292" s="1031"/>
      <c r="AO292" s="1031">
        <v>28</v>
      </c>
      <c r="AP292" s="1031">
        <f>AO292*(списки!$C$56-AM292)</f>
        <v>826</v>
      </c>
      <c r="AQ292" s="1026">
        <v>-3.8</v>
      </c>
      <c r="AR292" s="1026"/>
      <c r="AS292" s="1026">
        <f t="shared" si="49"/>
        <v>31</v>
      </c>
      <c r="AT292" s="1026">
        <f>AS292*(списки!$C$56-AQ292)</f>
        <v>737.80000000000007</v>
      </c>
      <c r="AU292" s="1032">
        <v>1.8</v>
      </c>
      <c r="AV292" s="1032"/>
      <c r="AW292" s="1032">
        <f t="shared" si="50"/>
        <v>30</v>
      </c>
      <c r="AX292" s="1032">
        <f>AW292*(списки!$C$56-AU292)</f>
        <v>546</v>
      </c>
      <c r="AY292" s="1033">
        <v>8.4</v>
      </c>
      <c r="AZ292" s="1033"/>
      <c r="BA292" s="1033">
        <f t="shared" si="51"/>
        <v>11.5</v>
      </c>
      <c r="BB292" s="1033">
        <f>BA292*(списки!$C$56-AY292)</f>
        <v>133.4</v>
      </c>
      <c r="BC292" s="1034">
        <v>13.7</v>
      </c>
      <c r="BD292" s="1034"/>
      <c r="BE292" s="1034">
        <f t="shared" si="52"/>
        <v>0</v>
      </c>
      <c r="BF292" s="1035">
        <f>BE292*(списки!$C$56-BC292)</f>
        <v>0</v>
      </c>
      <c r="BG292" s="1424">
        <v>4811.1285714285714</v>
      </c>
      <c r="BH292" s="1424">
        <v>5197.1874999999982</v>
      </c>
    </row>
    <row r="293" spans="2:60" ht="15.75" customHeight="1" x14ac:dyDescent="0.25">
      <c r="B293" s="1014" t="s">
        <v>329</v>
      </c>
      <c r="C293" s="1014" t="s">
        <v>681</v>
      </c>
      <c r="D293" s="1015" t="str">
        <f t="shared" si="54"/>
        <v>Республика КарелияРеболы</v>
      </c>
      <c r="E293" s="1016">
        <v>248</v>
      </c>
      <c r="F293" s="1017">
        <v>-4.2</v>
      </c>
      <c r="G293" s="1017">
        <v>-33</v>
      </c>
      <c r="H293" s="1019">
        <v>3.1</v>
      </c>
      <c r="I293" s="1020">
        <f>E293*(списки!$C$56-F293)</f>
        <v>6001.5999999999995</v>
      </c>
      <c r="J293" s="1021" t="str">
        <f t="shared" si="44"/>
        <v>6000-7000</v>
      </c>
      <c r="K293" s="1022">
        <v>16.100000000000001</v>
      </c>
      <c r="L293" s="1022"/>
      <c r="M293" s="1023">
        <f t="shared" si="45"/>
        <v>0</v>
      </c>
      <c r="N293" s="1024">
        <f>M293*(списки!$C$56-K293)</f>
        <v>0</v>
      </c>
      <c r="O293" s="1025">
        <v>13.5</v>
      </c>
      <c r="P293" s="1025"/>
      <c r="Q293" s="1025">
        <f t="shared" si="46"/>
        <v>0</v>
      </c>
      <c r="R293" s="1025">
        <f>Q293*(списки!$C$56-O293)</f>
        <v>0</v>
      </c>
      <c r="S293" s="1026">
        <v>8</v>
      </c>
      <c r="T293" s="1026"/>
      <c r="U293" s="1026">
        <f t="shared" si="53"/>
        <v>18</v>
      </c>
      <c r="V293" s="1026">
        <f>U293*(списки!$C$56-S293)</f>
        <v>216</v>
      </c>
      <c r="W293" s="1027">
        <v>1.9</v>
      </c>
      <c r="X293" s="1027"/>
      <c r="Y293" s="1027">
        <f t="shared" si="47"/>
        <v>31</v>
      </c>
      <c r="Z293" s="1027">
        <f>Y293*(списки!$C$56-W293)</f>
        <v>561.1</v>
      </c>
      <c r="AA293" s="1028">
        <v>-4</v>
      </c>
      <c r="AB293" s="1028"/>
      <c r="AC293" s="1028">
        <f t="shared" si="48"/>
        <v>30</v>
      </c>
      <c r="AD293" s="1028">
        <f>AC293*(списки!$C$56-AA293)</f>
        <v>720</v>
      </c>
      <c r="AE293" s="1029">
        <v>-8.8000000000000007</v>
      </c>
      <c r="AF293" s="1029"/>
      <c r="AG293" s="1029">
        <v>31</v>
      </c>
      <c r="AH293" s="1029">
        <f>AG293*(списки!$C$56-AE293)</f>
        <v>892.80000000000007</v>
      </c>
      <c r="AI293" s="1030">
        <v>-11.9</v>
      </c>
      <c r="AJ293" s="1030"/>
      <c r="AK293" s="1030">
        <v>31</v>
      </c>
      <c r="AL293" s="1030">
        <f>AK293*(списки!$C$56-AI293)</f>
        <v>988.9</v>
      </c>
      <c r="AM293" s="1031">
        <v>-11.5</v>
      </c>
      <c r="AN293" s="1031"/>
      <c r="AO293" s="1031">
        <v>28</v>
      </c>
      <c r="AP293" s="1031">
        <f>AO293*(списки!$C$56-AM293)</f>
        <v>882</v>
      </c>
      <c r="AQ293" s="1026">
        <v>-5.7</v>
      </c>
      <c r="AR293" s="1026"/>
      <c r="AS293" s="1026">
        <f t="shared" si="49"/>
        <v>31</v>
      </c>
      <c r="AT293" s="1026">
        <f>AS293*(списки!$C$56-AQ293)</f>
        <v>796.69999999999993</v>
      </c>
      <c r="AU293" s="1032">
        <v>0</v>
      </c>
      <c r="AV293" s="1032"/>
      <c r="AW293" s="1032">
        <f t="shared" si="50"/>
        <v>30</v>
      </c>
      <c r="AX293" s="1032">
        <f>AW293*(списки!$C$56-AU293)</f>
        <v>600</v>
      </c>
      <c r="AY293" s="1033">
        <v>6.9</v>
      </c>
      <c r="AZ293" s="1033"/>
      <c r="BA293" s="1033">
        <f t="shared" si="51"/>
        <v>18</v>
      </c>
      <c r="BB293" s="1033">
        <f>BA293*(списки!$C$56-AY293)</f>
        <v>235.79999999999998</v>
      </c>
      <c r="BC293" s="1034">
        <v>13.3</v>
      </c>
      <c r="BD293" s="1034"/>
      <c r="BE293" s="1034">
        <f t="shared" si="52"/>
        <v>0</v>
      </c>
      <c r="BF293" s="1035">
        <f>BE293*(списки!$C$56-BC293)</f>
        <v>0</v>
      </c>
      <c r="BG293" s="1424">
        <v>5024.641071428573</v>
      </c>
      <c r="BH293" s="1424">
        <v>5650.5407142857121</v>
      </c>
    </row>
    <row r="294" spans="2:60" ht="15.75" customHeight="1" x14ac:dyDescent="0.25">
      <c r="B294" s="1038" t="s">
        <v>329</v>
      </c>
      <c r="C294" s="1038" t="s">
        <v>335</v>
      </c>
      <c r="D294" s="1015" t="str">
        <f t="shared" si="54"/>
        <v>Республика КарелияСортавала</v>
      </c>
      <c r="E294" s="1016">
        <v>232</v>
      </c>
      <c r="F294" s="1017">
        <v>-2.5</v>
      </c>
      <c r="G294" s="1017">
        <v>-29</v>
      </c>
      <c r="H294" s="1019">
        <v>4.3</v>
      </c>
      <c r="I294" s="1020">
        <f>E294*(списки!$C$56-F294)</f>
        <v>5220</v>
      </c>
      <c r="J294" s="1021" t="str">
        <f t="shared" si="44"/>
        <v>5000-6000</v>
      </c>
      <c r="K294" s="1022">
        <v>16.899999999999999</v>
      </c>
      <c r="L294" s="1022"/>
      <c r="M294" s="1023">
        <f t="shared" si="45"/>
        <v>0</v>
      </c>
      <c r="N294" s="1024">
        <f>M294*(списки!$C$56-K294)</f>
        <v>0</v>
      </c>
      <c r="O294" s="1025">
        <v>15</v>
      </c>
      <c r="P294" s="1025"/>
      <c r="Q294" s="1025">
        <f t="shared" si="46"/>
        <v>0</v>
      </c>
      <c r="R294" s="1025">
        <f>Q294*(списки!$C$56-O294)</f>
        <v>0</v>
      </c>
      <c r="S294" s="1026">
        <v>9.6</v>
      </c>
      <c r="T294" s="1026"/>
      <c r="U294" s="1026">
        <f t="shared" si="53"/>
        <v>10</v>
      </c>
      <c r="V294" s="1026">
        <f>U294*(списки!$C$56-S294)</f>
        <v>104</v>
      </c>
      <c r="W294" s="1027">
        <v>4.2</v>
      </c>
      <c r="X294" s="1027"/>
      <c r="Y294" s="1027">
        <f t="shared" si="47"/>
        <v>31</v>
      </c>
      <c r="Z294" s="1027">
        <f>Y294*(списки!$C$56-W294)</f>
        <v>489.8</v>
      </c>
      <c r="AA294" s="1028">
        <v>-1.1000000000000001</v>
      </c>
      <c r="AB294" s="1028"/>
      <c r="AC294" s="1028">
        <f t="shared" si="48"/>
        <v>30</v>
      </c>
      <c r="AD294" s="1028">
        <f>AC294*(списки!$C$56-AA294)</f>
        <v>633</v>
      </c>
      <c r="AE294" s="1029">
        <v>-5.8</v>
      </c>
      <c r="AF294" s="1029"/>
      <c r="AG294" s="1029">
        <v>31</v>
      </c>
      <c r="AH294" s="1029">
        <f>AG294*(списки!$C$56-AE294)</f>
        <v>799.80000000000007</v>
      </c>
      <c r="AI294" s="1030">
        <v>-9.1</v>
      </c>
      <c r="AJ294" s="1030"/>
      <c r="AK294" s="1030">
        <v>31</v>
      </c>
      <c r="AL294" s="1030">
        <f>AK294*(списки!$C$56-AI294)</f>
        <v>902.1</v>
      </c>
      <c r="AM294" s="1031">
        <v>-8.9</v>
      </c>
      <c r="AN294" s="1031"/>
      <c r="AO294" s="1031">
        <v>28</v>
      </c>
      <c r="AP294" s="1031">
        <f>AO294*(списки!$C$56-AM294)</f>
        <v>809.19999999999993</v>
      </c>
      <c r="AQ294" s="1026">
        <v>-3.8</v>
      </c>
      <c r="AR294" s="1026"/>
      <c r="AS294" s="1026">
        <f t="shared" si="49"/>
        <v>31</v>
      </c>
      <c r="AT294" s="1026">
        <f>AS294*(списки!$C$56-AQ294)</f>
        <v>737.80000000000007</v>
      </c>
      <c r="AU294" s="1032">
        <v>2</v>
      </c>
      <c r="AV294" s="1032"/>
      <c r="AW294" s="1032">
        <f t="shared" si="50"/>
        <v>30</v>
      </c>
      <c r="AX294" s="1032">
        <f>AW294*(списки!$C$56-AU294)</f>
        <v>540</v>
      </c>
      <c r="AY294" s="1033">
        <v>8.6</v>
      </c>
      <c r="AZ294" s="1033"/>
      <c r="BA294" s="1033">
        <f t="shared" si="51"/>
        <v>10</v>
      </c>
      <c r="BB294" s="1033">
        <f>BA294*(списки!$C$56-AY294)</f>
        <v>114</v>
      </c>
      <c r="BC294" s="1034">
        <v>14</v>
      </c>
      <c r="BD294" s="1034"/>
      <c r="BE294" s="1034">
        <f t="shared" si="52"/>
        <v>0</v>
      </c>
      <c r="BF294" s="1035">
        <f>BE294*(списки!$C$56-BC294)</f>
        <v>0</v>
      </c>
      <c r="BG294" s="1424">
        <v>4704.0017857142848</v>
      </c>
      <c r="BH294" s="1424">
        <v>4714.7857142857156</v>
      </c>
    </row>
    <row r="295" spans="2:60" ht="15.75" customHeight="1" x14ac:dyDescent="0.25">
      <c r="B295" s="1014" t="s">
        <v>145</v>
      </c>
      <c r="C295" s="1014" t="s">
        <v>153</v>
      </c>
      <c r="D295" s="1015" t="str">
        <f t="shared" si="54"/>
        <v>Республика КомиВендинга</v>
      </c>
      <c r="E295" s="1016">
        <v>257</v>
      </c>
      <c r="F295" s="1017">
        <v>-5.9</v>
      </c>
      <c r="G295" s="1017">
        <v>-39</v>
      </c>
      <c r="H295" s="1019">
        <v>3.8</v>
      </c>
      <c r="I295" s="1020">
        <f>E295*(списки!$C$56-F295)</f>
        <v>6656.2999999999993</v>
      </c>
      <c r="J295" s="1021" t="str">
        <f t="shared" si="44"/>
        <v>6000-7000</v>
      </c>
      <c r="K295" s="1022">
        <v>15.5</v>
      </c>
      <c r="L295" s="1022"/>
      <c r="M295" s="1023">
        <f t="shared" si="45"/>
        <v>0</v>
      </c>
      <c r="N295" s="1024">
        <f>M295*(списки!$C$56-K295)</f>
        <v>0</v>
      </c>
      <c r="O295" s="1025">
        <v>13</v>
      </c>
      <c r="P295" s="1025"/>
      <c r="Q295" s="1025">
        <f t="shared" si="46"/>
        <v>0</v>
      </c>
      <c r="R295" s="1025">
        <f>Q295*(списки!$C$56-O295)</f>
        <v>0</v>
      </c>
      <c r="S295" s="1026">
        <v>6.8</v>
      </c>
      <c r="T295" s="1026"/>
      <c r="U295" s="1026">
        <f t="shared" si="53"/>
        <v>22.5</v>
      </c>
      <c r="V295" s="1026">
        <f>U295*(списки!$C$56-S295)</f>
        <v>297</v>
      </c>
      <c r="W295" s="1027">
        <v>0</v>
      </c>
      <c r="X295" s="1027"/>
      <c r="Y295" s="1027">
        <f t="shared" si="47"/>
        <v>31</v>
      </c>
      <c r="Z295" s="1027">
        <f>Y295*(списки!$C$56-W295)</f>
        <v>620</v>
      </c>
      <c r="AA295" s="1028">
        <v>-6.7</v>
      </c>
      <c r="AB295" s="1028"/>
      <c r="AC295" s="1028">
        <f t="shared" si="48"/>
        <v>30</v>
      </c>
      <c r="AD295" s="1028">
        <f>AC295*(списки!$C$56-AA295)</f>
        <v>801</v>
      </c>
      <c r="AE295" s="1029">
        <v>-13.2</v>
      </c>
      <c r="AF295" s="1029"/>
      <c r="AG295" s="1029">
        <v>31</v>
      </c>
      <c r="AH295" s="1029">
        <f>AG295*(списки!$C$56-AE295)</f>
        <v>1029.2</v>
      </c>
      <c r="AI295" s="1030">
        <v>-15.8</v>
      </c>
      <c r="AJ295" s="1030"/>
      <c r="AK295" s="1030">
        <v>31</v>
      </c>
      <c r="AL295" s="1030">
        <f>AK295*(списки!$C$56-AI295)</f>
        <v>1109.8</v>
      </c>
      <c r="AM295" s="1031">
        <v>-15.1</v>
      </c>
      <c r="AN295" s="1031"/>
      <c r="AO295" s="1031">
        <v>28</v>
      </c>
      <c r="AP295" s="1031">
        <f>AO295*(списки!$C$56-AM295)</f>
        <v>982.80000000000007</v>
      </c>
      <c r="AQ295" s="1026">
        <v>-9.1</v>
      </c>
      <c r="AR295" s="1026"/>
      <c r="AS295" s="1026">
        <f t="shared" si="49"/>
        <v>31</v>
      </c>
      <c r="AT295" s="1026">
        <f>AS295*(списки!$C$56-AQ295)</f>
        <v>902.1</v>
      </c>
      <c r="AU295" s="1032">
        <v>-0.4</v>
      </c>
      <c r="AV295" s="1032"/>
      <c r="AW295" s="1032">
        <f t="shared" si="50"/>
        <v>30</v>
      </c>
      <c r="AX295" s="1032">
        <f>AW295*(списки!$C$56-AU295)</f>
        <v>612</v>
      </c>
      <c r="AY295" s="1033">
        <v>6.2</v>
      </c>
      <c r="AZ295" s="1033"/>
      <c r="BA295" s="1033">
        <f t="shared" si="51"/>
        <v>22.5</v>
      </c>
      <c r="BB295" s="1033">
        <f>BA295*(списки!$C$56-AY295)</f>
        <v>310.5</v>
      </c>
      <c r="BC295" s="1034">
        <v>12.4</v>
      </c>
      <c r="BD295" s="1034"/>
      <c r="BE295" s="1034">
        <f t="shared" si="52"/>
        <v>0</v>
      </c>
      <c r="BF295" s="1035">
        <f>BE295*(списки!$C$56-BC295)</f>
        <v>0</v>
      </c>
      <c r="BG295" s="1424">
        <v>5916.7019047619096</v>
      </c>
      <c r="BH295" s="1424">
        <v>5926.2041666666664</v>
      </c>
    </row>
    <row r="296" spans="2:60" ht="15.75" customHeight="1" x14ac:dyDescent="0.25">
      <c r="B296" s="1038" t="s">
        <v>145</v>
      </c>
      <c r="C296" s="1038" t="s">
        <v>154</v>
      </c>
      <c r="D296" s="1015" t="str">
        <f t="shared" si="54"/>
        <v>Республика КомиВоркута</v>
      </c>
      <c r="E296" s="1016">
        <v>306</v>
      </c>
      <c r="F296" s="1017">
        <v>-9.1</v>
      </c>
      <c r="G296" s="1017">
        <v>-41</v>
      </c>
      <c r="H296" s="1019">
        <v>10.1</v>
      </c>
      <c r="I296" s="1020">
        <f>E296*(списки!$C$56-F296)</f>
        <v>8904.6</v>
      </c>
      <c r="J296" s="1021" t="str">
        <f t="shared" si="44"/>
        <v>8000-9000</v>
      </c>
      <c r="K296" s="1022">
        <v>12.4</v>
      </c>
      <c r="L296" s="1022"/>
      <c r="M296" s="1023">
        <f t="shared" si="45"/>
        <v>0</v>
      </c>
      <c r="N296" s="1024">
        <f>M296*(списки!$C$56-K296)</f>
        <v>0</v>
      </c>
      <c r="O296" s="1025">
        <v>9.5</v>
      </c>
      <c r="P296" s="1025"/>
      <c r="Q296" s="1025">
        <f t="shared" si="46"/>
        <v>16.5</v>
      </c>
      <c r="R296" s="1025">
        <f>Q296*(списки!$C$56-O296)</f>
        <v>173.25</v>
      </c>
      <c r="S296" s="1026">
        <v>3.8</v>
      </c>
      <c r="T296" s="1026"/>
      <c r="U296" s="1026">
        <f t="shared" si="53"/>
        <v>30</v>
      </c>
      <c r="V296" s="1026">
        <f>U296*(списки!$C$56-S296)</f>
        <v>486</v>
      </c>
      <c r="W296" s="1027">
        <v>-5.0999999999999996</v>
      </c>
      <c r="X296" s="1027"/>
      <c r="Y296" s="1027">
        <f t="shared" si="47"/>
        <v>31</v>
      </c>
      <c r="Z296" s="1027">
        <f>Y296*(списки!$C$56-W296)</f>
        <v>778.1</v>
      </c>
      <c r="AA296" s="1028">
        <v>-13.6</v>
      </c>
      <c r="AB296" s="1028"/>
      <c r="AC296" s="1028">
        <f t="shared" si="48"/>
        <v>30</v>
      </c>
      <c r="AD296" s="1028">
        <f>AC296*(списки!$C$56-AA296)</f>
        <v>1008</v>
      </c>
      <c r="AE296" s="1029">
        <v>-15.7</v>
      </c>
      <c r="AF296" s="1029"/>
      <c r="AG296" s="1029">
        <v>31</v>
      </c>
      <c r="AH296" s="1029">
        <f>AG296*(списки!$C$56-AE296)</f>
        <v>1106.7</v>
      </c>
      <c r="AI296" s="1030">
        <v>-20.3</v>
      </c>
      <c r="AJ296" s="1030"/>
      <c r="AK296" s="1030">
        <v>31</v>
      </c>
      <c r="AL296" s="1030">
        <f>AK296*(списки!$C$56-AI296)</f>
        <v>1249.3</v>
      </c>
      <c r="AM296" s="1031">
        <v>-20.6</v>
      </c>
      <c r="AN296" s="1031"/>
      <c r="AO296" s="1031">
        <v>28</v>
      </c>
      <c r="AP296" s="1031">
        <f>AO296*(списки!$C$56-AM296)</f>
        <v>1136.8</v>
      </c>
      <c r="AQ296" s="1026">
        <v>-16.5</v>
      </c>
      <c r="AR296" s="1026"/>
      <c r="AS296" s="1026">
        <f t="shared" si="49"/>
        <v>31</v>
      </c>
      <c r="AT296" s="1026">
        <f>AS296*(списки!$C$56-AQ296)</f>
        <v>1131.5</v>
      </c>
      <c r="AU296" s="1032">
        <v>-9</v>
      </c>
      <c r="AV296" s="1032"/>
      <c r="AW296" s="1032">
        <f t="shared" si="50"/>
        <v>30</v>
      </c>
      <c r="AX296" s="1032">
        <f>AW296*(списки!$C$56-AU296)</f>
        <v>870</v>
      </c>
      <c r="AY296" s="1033">
        <v>-2.8</v>
      </c>
      <c r="AZ296" s="1033"/>
      <c r="BA296" s="1033">
        <f t="shared" si="51"/>
        <v>31</v>
      </c>
      <c r="BB296" s="1033">
        <f>BA296*(списки!$C$56-AY296)</f>
        <v>706.80000000000007</v>
      </c>
      <c r="BC296" s="1034">
        <v>5.8</v>
      </c>
      <c r="BD296" s="1034"/>
      <c r="BE296" s="1034">
        <f t="shared" si="52"/>
        <v>16.5</v>
      </c>
      <c r="BF296" s="1035">
        <f>BE296*(списки!$C$56-BC296)</f>
        <v>234.29999999999998</v>
      </c>
      <c r="BG296" s="1424">
        <v>7686.3214285714284</v>
      </c>
      <c r="BH296" s="1424">
        <v>8127.0196428571453</v>
      </c>
    </row>
    <row r="297" spans="2:60" ht="15.75" customHeight="1" x14ac:dyDescent="0.25">
      <c r="B297" s="1014" t="s">
        <v>145</v>
      </c>
      <c r="C297" s="1014" t="s">
        <v>682</v>
      </c>
      <c r="D297" s="1015" t="str">
        <f t="shared" si="54"/>
        <v>Республика КомиОбъячево</v>
      </c>
      <c r="E297" s="1016">
        <v>239</v>
      </c>
      <c r="F297" s="1017">
        <v>-5.3</v>
      </c>
      <c r="G297" s="1017">
        <v>-34</v>
      </c>
      <c r="H297" s="1019">
        <v>10.1</v>
      </c>
      <c r="I297" s="1020">
        <f>E297*(списки!$C$56-F297)</f>
        <v>6046.7</v>
      </c>
      <c r="J297" s="1021" t="str">
        <f t="shared" si="44"/>
        <v>6000-7000</v>
      </c>
      <c r="K297" s="1022">
        <v>16.600000000000001</v>
      </c>
      <c r="L297" s="1022"/>
      <c r="M297" s="1023">
        <f t="shared" si="45"/>
        <v>0</v>
      </c>
      <c r="N297" s="1024">
        <f>M297*(списки!$C$56-K297)</f>
        <v>0</v>
      </c>
      <c r="O297" s="1025">
        <v>14.3</v>
      </c>
      <c r="P297" s="1025"/>
      <c r="Q297" s="1025">
        <f t="shared" si="46"/>
        <v>0</v>
      </c>
      <c r="R297" s="1025">
        <f>Q297*(списки!$C$56-O297)</f>
        <v>0</v>
      </c>
      <c r="S297" s="1026">
        <v>8.1999999999999993</v>
      </c>
      <c r="T297" s="1026"/>
      <c r="U297" s="1026">
        <f t="shared" si="53"/>
        <v>13.5</v>
      </c>
      <c r="V297" s="1026">
        <f>U297*(списки!$C$56-S297)</f>
        <v>159.30000000000001</v>
      </c>
      <c r="W297" s="1027">
        <v>0.7</v>
      </c>
      <c r="X297" s="1027"/>
      <c r="Y297" s="1027">
        <f t="shared" si="47"/>
        <v>31</v>
      </c>
      <c r="Z297" s="1027">
        <f>Y297*(списки!$C$56-W297)</f>
        <v>598.30000000000007</v>
      </c>
      <c r="AA297" s="1028">
        <v>-5.7</v>
      </c>
      <c r="AB297" s="1028"/>
      <c r="AC297" s="1028">
        <f t="shared" si="48"/>
        <v>30</v>
      </c>
      <c r="AD297" s="1028">
        <f>AC297*(списки!$C$56-AA297)</f>
        <v>771</v>
      </c>
      <c r="AE297" s="1029">
        <v>-11.6</v>
      </c>
      <c r="AF297" s="1029"/>
      <c r="AG297" s="1029">
        <v>31</v>
      </c>
      <c r="AH297" s="1029">
        <f>AG297*(списки!$C$56-AE297)</f>
        <v>979.6</v>
      </c>
      <c r="AI297" s="1030">
        <v>-14.9</v>
      </c>
      <c r="AJ297" s="1030"/>
      <c r="AK297" s="1030">
        <v>31</v>
      </c>
      <c r="AL297" s="1030">
        <f>AK297*(списки!$C$56-AI297)</f>
        <v>1081.8999999999999</v>
      </c>
      <c r="AM297" s="1031">
        <v>-13</v>
      </c>
      <c r="AN297" s="1031"/>
      <c r="AO297" s="1031">
        <v>28</v>
      </c>
      <c r="AP297" s="1031">
        <f>AO297*(списки!$C$56-AM297)</f>
        <v>924</v>
      </c>
      <c r="AQ297" s="1026">
        <v>-6.6</v>
      </c>
      <c r="AR297" s="1026"/>
      <c r="AS297" s="1026">
        <f t="shared" si="49"/>
        <v>31</v>
      </c>
      <c r="AT297" s="1026">
        <f>AS297*(списки!$C$56-AQ297)</f>
        <v>824.6</v>
      </c>
      <c r="AU297" s="1032">
        <v>1.7</v>
      </c>
      <c r="AV297" s="1032"/>
      <c r="AW297" s="1032">
        <f t="shared" si="50"/>
        <v>30</v>
      </c>
      <c r="AX297" s="1032">
        <f>AW297*(списки!$C$56-AU297)</f>
        <v>549</v>
      </c>
      <c r="AY297" s="1033">
        <v>8.5</v>
      </c>
      <c r="AZ297" s="1033"/>
      <c r="BA297" s="1033">
        <f t="shared" si="51"/>
        <v>13.5</v>
      </c>
      <c r="BB297" s="1033">
        <f>BA297*(списки!$C$56-AY297)</f>
        <v>155.25</v>
      </c>
      <c r="BC297" s="1034">
        <v>14.4</v>
      </c>
      <c r="BD297" s="1034"/>
      <c r="BE297" s="1034">
        <f t="shared" si="52"/>
        <v>0</v>
      </c>
      <c r="BF297" s="1035">
        <f>BE297*(списки!$C$56-BC297)</f>
        <v>0</v>
      </c>
      <c r="BG297" s="1424">
        <v>5326.149999999996</v>
      </c>
      <c r="BH297" s="1424">
        <v>5683.3696428571448</v>
      </c>
    </row>
    <row r="298" spans="2:60" ht="15.75" customHeight="1" x14ac:dyDescent="0.25">
      <c r="B298" s="1038" t="s">
        <v>145</v>
      </c>
      <c r="C298" s="1038" t="s">
        <v>147</v>
      </c>
      <c r="D298" s="1015" t="str">
        <f t="shared" si="54"/>
        <v>Республика КомиПетрунь</v>
      </c>
      <c r="E298" s="1016">
        <v>285</v>
      </c>
      <c r="F298" s="1017">
        <v>-8.8000000000000007</v>
      </c>
      <c r="G298" s="1017">
        <v>-43</v>
      </c>
      <c r="H298" s="1019">
        <v>5.4</v>
      </c>
      <c r="I298" s="1020">
        <f>E298*(списки!$C$56-F298)</f>
        <v>8208</v>
      </c>
      <c r="J298" s="1021" t="str">
        <f t="shared" si="44"/>
        <v>8000-9000</v>
      </c>
      <c r="K298" s="1022">
        <v>14.4</v>
      </c>
      <c r="L298" s="1022"/>
      <c r="M298" s="1023">
        <f t="shared" si="45"/>
        <v>0</v>
      </c>
      <c r="N298" s="1024">
        <f>M298*(списки!$C$56-K298)</f>
        <v>0</v>
      </c>
      <c r="O298" s="1025">
        <v>10.7</v>
      </c>
      <c r="P298" s="1025"/>
      <c r="Q298" s="1025">
        <f t="shared" si="46"/>
        <v>6</v>
      </c>
      <c r="R298" s="1025">
        <f>Q298*(списки!$C$56-O298)</f>
        <v>55.800000000000004</v>
      </c>
      <c r="S298" s="1026">
        <v>5.5</v>
      </c>
      <c r="T298" s="1026"/>
      <c r="U298" s="1026">
        <f t="shared" si="53"/>
        <v>30</v>
      </c>
      <c r="V298" s="1026">
        <f>U298*(списки!$C$56-S298)</f>
        <v>435</v>
      </c>
      <c r="W298" s="1027">
        <v>-2.9</v>
      </c>
      <c r="X298" s="1027"/>
      <c r="Y298" s="1027">
        <f t="shared" si="47"/>
        <v>31</v>
      </c>
      <c r="Z298" s="1027">
        <f>Y298*(списки!$C$56-W298)</f>
        <v>709.9</v>
      </c>
      <c r="AA298" s="1028">
        <v>-11.9</v>
      </c>
      <c r="AB298" s="1028"/>
      <c r="AC298" s="1028">
        <f t="shared" si="48"/>
        <v>30</v>
      </c>
      <c r="AD298" s="1028">
        <f>AC298*(списки!$C$56-AA298)</f>
        <v>957</v>
      </c>
      <c r="AE298" s="1029">
        <v>-16.5</v>
      </c>
      <c r="AF298" s="1029"/>
      <c r="AG298" s="1029">
        <v>31</v>
      </c>
      <c r="AH298" s="1029">
        <f>AG298*(списки!$C$56-AE298)</f>
        <v>1131.5</v>
      </c>
      <c r="AI298" s="1030">
        <v>-20</v>
      </c>
      <c r="AJ298" s="1030"/>
      <c r="AK298" s="1030">
        <v>31</v>
      </c>
      <c r="AL298" s="1030">
        <f>AK298*(списки!$C$56-AI298)</f>
        <v>1240</v>
      </c>
      <c r="AM298" s="1031">
        <v>-18.899999999999999</v>
      </c>
      <c r="AN298" s="1031"/>
      <c r="AO298" s="1031">
        <v>28</v>
      </c>
      <c r="AP298" s="1031">
        <f>AO298*(списки!$C$56-AM298)</f>
        <v>1089.2</v>
      </c>
      <c r="AQ298" s="1026">
        <v>-11.7</v>
      </c>
      <c r="AR298" s="1026"/>
      <c r="AS298" s="1026">
        <f t="shared" si="49"/>
        <v>31</v>
      </c>
      <c r="AT298" s="1026">
        <f>AS298*(списки!$C$56-AQ298)</f>
        <v>982.69999999999993</v>
      </c>
      <c r="AU298" s="1032">
        <v>-7.2</v>
      </c>
      <c r="AV298" s="1032"/>
      <c r="AW298" s="1032">
        <f t="shared" si="50"/>
        <v>30</v>
      </c>
      <c r="AX298" s="1032">
        <f>AW298*(списки!$C$56-AU298)</f>
        <v>816</v>
      </c>
      <c r="AY298" s="1033">
        <v>0.4</v>
      </c>
      <c r="AZ298" s="1033"/>
      <c r="BA298" s="1033">
        <f t="shared" si="51"/>
        <v>31</v>
      </c>
      <c r="BB298" s="1033">
        <f>BA298*(списки!$C$56-AY298)</f>
        <v>607.6</v>
      </c>
      <c r="BC298" s="1034">
        <v>9.1999999999999993</v>
      </c>
      <c r="BD298" s="1034"/>
      <c r="BE298" s="1034">
        <f t="shared" si="52"/>
        <v>6</v>
      </c>
      <c r="BF298" s="1035">
        <f>BE298*(списки!$C$56-BC298)</f>
        <v>64.800000000000011</v>
      </c>
      <c r="BG298" s="1424">
        <v>6637.0678571428552</v>
      </c>
      <c r="BH298" s="1424">
        <v>7281.8624999999984</v>
      </c>
    </row>
    <row r="299" spans="2:60" ht="15.75" customHeight="1" x14ac:dyDescent="0.25">
      <c r="B299" s="1014" t="s">
        <v>145</v>
      </c>
      <c r="C299" s="1014" t="s">
        <v>146</v>
      </c>
      <c r="D299" s="1015" t="str">
        <f t="shared" si="54"/>
        <v>Республика КомиПечора</v>
      </c>
      <c r="E299" s="1016">
        <v>268</v>
      </c>
      <c r="F299" s="1017">
        <v>-7.9</v>
      </c>
      <c r="G299" s="1017">
        <v>-43</v>
      </c>
      <c r="H299" s="1019">
        <v>4.5</v>
      </c>
      <c r="I299" s="1020">
        <f>E299*(списки!$C$56-F299)</f>
        <v>7477.2</v>
      </c>
      <c r="J299" s="1021" t="str">
        <f t="shared" si="44"/>
        <v>7000-8000</v>
      </c>
      <c r="K299" s="1022">
        <v>16</v>
      </c>
      <c r="L299" s="1022"/>
      <c r="M299" s="1023">
        <f t="shared" si="45"/>
        <v>0</v>
      </c>
      <c r="N299" s="1024">
        <f>M299*(списки!$C$56-K299)</f>
        <v>0</v>
      </c>
      <c r="O299" s="1025">
        <v>12</v>
      </c>
      <c r="P299" s="1025"/>
      <c r="Q299" s="1025">
        <f t="shared" si="46"/>
        <v>0</v>
      </c>
      <c r="R299" s="1025">
        <f>Q299*(списки!$C$56-O299)</f>
        <v>0</v>
      </c>
      <c r="S299" s="1026">
        <v>6.5</v>
      </c>
      <c r="T299" s="1026"/>
      <c r="U299" s="1026">
        <f t="shared" si="53"/>
        <v>28</v>
      </c>
      <c r="V299" s="1026">
        <f>U299*(списки!$C$56-S299)</f>
        <v>378</v>
      </c>
      <c r="W299" s="1027">
        <v>-1.3</v>
      </c>
      <c r="X299" s="1027"/>
      <c r="Y299" s="1027">
        <f t="shared" si="47"/>
        <v>31</v>
      </c>
      <c r="Z299" s="1027">
        <f>Y299*(списки!$C$56-W299)</f>
        <v>660.30000000000007</v>
      </c>
      <c r="AA299" s="1028">
        <v>-10.199999999999999</v>
      </c>
      <c r="AB299" s="1028"/>
      <c r="AC299" s="1028">
        <f t="shared" si="48"/>
        <v>30</v>
      </c>
      <c r="AD299" s="1028">
        <f>AC299*(списки!$C$56-AA299)</f>
        <v>906</v>
      </c>
      <c r="AE299" s="1029">
        <v>-15.6</v>
      </c>
      <c r="AF299" s="1029"/>
      <c r="AG299" s="1029">
        <v>31</v>
      </c>
      <c r="AH299" s="1029">
        <f>AG299*(списки!$C$56-AE299)</f>
        <v>1103.6000000000001</v>
      </c>
      <c r="AI299" s="1030">
        <v>-19.2</v>
      </c>
      <c r="AJ299" s="1030"/>
      <c r="AK299" s="1030">
        <v>31</v>
      </c>
      <c r="AL299" s="1030">
        <f>AK299*(списки!$C$56-AI299)</f>
        <v>1215.2</v>
      </c>
      <c r="AM299" s="1031">
        <v>-17.7</v>
      </c>
      <c r="AN299" s="1031"/>
      <c r="AO299" s="1031">
        <v>28</v>
      </c>
      <c r="AP299" s="1031">
        <f>AO299*(списки!$C$56-AM299)</f>
        <v>1055.6000000000001</v>
      </c>
      <c r="AQ299" s="1026">
        <v>-9</v>
      </c>
      <c r="AR299" s="1026"/>
      <c r="AS299" s="1026">
        <f t="shared" si="49"/>
        <v>31</v>
      </c>
      <c r="AT299" s="1026">
        <f>AS299*(списки!$C$56-AQ299)</f>
        <v>899</v>
      </c>
      <c r="AU299" s="1032">
        <v>-3.4</v>
      </c>
      <c r="AV299" s="1032"/>
      <c r="AW299" s="1032">
        <f t="shared" si="50"/>
        <v>30</v>
      </c>
      <c r="AX299" s="1032">
        <f>AW299*(списки!$C$56-AU299)</f>
        <v>702</v>
      </c>
      <c r="AY299" s="1033">
        <v>3.6</v>
      </c>
      <c r="AZ299" s="1033"/>
      <c r="BA299" s="1033">
        <f t="shared" si="51"/>
        <v>28</v>
      </c>
      <c r="BB299" s="1033">
        <f>BA299*(списки!$C$56-AY299)</f>
        <v>459.19999999999993</v>
      </c>
      <c r="BC299" s="1034">
        <v>11.7</v>
      </c>
      <c r="BD299" s="1034"/>
      <c r="BE299" s="1034">
        <f t="shared" si="52"/>
        <v>0</v>
      </c>
      <c r="BF299" s="1035">
        <f>BE299*(списки!$C$56-BC299)</f>
        <v>0</v>
      </c>
      <c r="BG299" s="1424">
        <v>6516.1660714285726</v>
      </c>
      <c r="BH299" s="1424">
        <v>6836.0749999999989</v>
      </c>
    </row>
    <row r="300" spans="2:60" ht="15.75" customHeight="1" x14ac:dyDescent="0.25">
      <c r="B300" s="1038" t="s">
        <v>145</v>
      </c>
      <c r="C300" s="1038" t="s">
        <v>148</v>
      </c>
      <c r="D300" s="1015" t="str">
        <f t="shared" si="54"/>
        <v>Республика КомиСыктывкар</v>
      </c>
      <c r="E300" s="1016">
        <v>243</v>
      </c>
      <c r="F300" s="1017">
        <v>-5.6</v>
      </c>
      <c r="G300" s="1017">
        <v>-36</v>
      </c>
      <c r="H300" s="1019">
        <v>5</v>
      </c>
      <c r="I300" s="1020">
        <f>E300*(списки!$C$56-F300)</f>
        <v>6220.8</v>
      </c>
      <c r="J300" s="1021" t="str">
        <f t="shared" si="44"/>
        <v>6000-7000</v>
      </c>
      <c r="K300" s="1022">
        <v>17.2</v>
      </c>
      <c r="L300" s="1022"/>
      <c r="M300" s="1023">
        <f t="shared" si="45"/>
        <v>0</v>
      </c>
      <c r="N300" s="1024">
        <f>M300*(списки!$C$56-K300)</f>
        <v>0</v>
      </c>
      <c r="O300" s="1025">
        <v>13.6</v>
      </c>
      <c r="P300" s="1025"/>
      <c r="Q300" s="1025">
        <f t="shared" si="46"/>
        <v>0</v>
      </c>
      <c r="R300" s="1025">
        <f>Q300*(списки!$C$56-O300)</f>
        <v>0</v>
      </c>
      <c r="S300" s="1026">
        <v>7.9</v>
      </c>
      <c r="T300" s="1026"/>
      <c r="U300" s="1026">
        <f t="shared" si="53"/>
        <v>15.5</v>
      </c>
      <c r="V300" s="1026">
        <f>U300*(списки!$C$56-S300)</f>
        <v>187.54999999999998</v>
      </c>
      <c r="W300" s="1027">
        <v>1</v>
      </c>
      <c r="X300" s="1027"/>
      <c r="Y300" s="1027">
        <f t="shared" si="47"/>
        <v>31</v>
      </c>
      <c r="Z300" s="1027">
        <f>Y300*(списки!$C$56-W300)</f>
        <v>589</v>
      </c>
      <c r="AA300" s="1028">
        <v>-6.5</v>
      </c>
      <c r="AB300" s="1028"/>
      <c r="AC300" s="1028">
        <f t="shared" si="48"/>
        <v>30</v>
      </c>
      <c r="AD300" s="1028">
        <f>AC300*(списки!$C$56-AA300)</f>
        <v>795</v>
      </c>
      <c r="AE300" s="1029">
        <v>-11.9</v>
      </c>
      <c r="AF300" s="1029"/>
      <c r="AG300" s="1029">
        <v>31</v>
      </c>
      <c r="AH300" s="1029">
        <f>AG300*(списки!$C$56-AE300)</f>
        <v>988.9</v>
      </c>
      <c r="AI300" s="1030">
        <v>-15.2</v>
      </c>
      <c r="AJ300" s="1030"/>
      <c r="AK300" s="1030">
        <v>31</v>
      </c>
      <c r="AL300" s="1030">
        <f>AK300*(списки!$C$56-AI300)</f>
        <v>1091.2</v>
      </c>
      <c r="AM300" s="1031">
        <v>-13.2</v>
      </c>
      <c r="AN300" s="1031"/>
      <c r="AO300" s="1031">
        <v>28</v>
      </c>
      <c r="AP300" s="1031">
        <f>AO300*(списки!$C$56-AM300)</f>
        <v>929.60000000000014</v>
      </c>
      <c r="AQ300" s="1026">
        <v>-5.3</v>
      </c>
      <c r="AR300" s="1026"/>
      <c r="AS300" s="1026">
        <f t="shared" si="49"/>
        <v>31</v>
      </c>
      <c r="AT300" s="1026">
        <f>AS300*(списки!$C$56-AQ300)</f>
        <v>784.30000000000007</v>
      </c>
      <c r="AU300" s="1032">
        <v>1.5</v>
      </c>
      <c r="AV300" s="1032"/>
      <c r="AW300" s="1032">
        <f t="shared" si="50"/>
        <v>30</v>
      </c>
      <c r="AX300" s="1032">
        <f>AW300*(списки!$C$56-AU300)</f>
        <v>555</v>
      </c>
      <c r="AY300" s="1033">
        <v>8.1999999999999993</v>
      </c>
      <c r="AZ300" s="1033"/>
      <c r="BA300" s="1033">
        <f t="shared" si="51"/>
        <v>15.5</v>
      </c>
      <c r="BB300" s="1033">
        <f>BA300*(списки!$C$56-AY300)</f>
        <v>182.9</v>
      </c>
      <c r="BC300" s="1034">
        <v>14.3</v>
      </c>
      <c r="BD300" s="1034"/>
      <c r="BE300" s="1034">
        <f t="shared" si="52"/>
        <v>0</v>
      </c>
      <c r="BF300" s="1035">
        <f>BE300*(списки!$C$56-BC300)</f>
        <v>0</v>
      </c>
      <c r="BG300" s="1424">
        <v>5764.9035714285719</v>
      </c>
      <c r="BH300" s="1424">
        <v>5813.323214285715</v>
      </c>
    </row>
    <row r="301" spans="2:60" ht="15.75" customHeight="1" x14ac:dyDescent="0.25">
      <c r="B301" s="1014" t="s">
        <v>145</v>
      </c>
      <c r="C301" s="1014" t="s">
        <v>683</v>
      </c>
      <c r="D301" s="1015" t="str">
        <f t="shared" si="54"/>
        <v>Республика КомиТроицко- Печорское</v>
      </c>
      <c r="E301" s="1016">
        <v>258</v>
      </c>
      <c r="F301" s="1017">
        <v>-6.9</v>
      </c>
      <c r="G301" s="1017">
        <v>-41</v>
      </c>
      <c r="H301" s="1019">
        <v>3.6</v>
      </c>
      <c r="I301" s="1020">
        <f>E301*(списки!$C$56-F301)</f>
        <v>6940.2</v>
      </c>
      <c r="J301" s="1021" t="str">
        <f t="shared" si="44"/>
        <v>6000-7000</v>
      </c>
      <c r="K301" s="1022">
        <v>16.3</v>
      </c>
      <c r="L301" s="1022"/>
      <c r="M301" s="1023">
        <f t="shared" si="45"/>
        <v>0</v>
      </c>
      <c r="N301" s="1024">
        <f>M301*(списки!$C$56-K301)</f>
        <v>0</v>
      </c>
      <c r="O301" s="1025">
        <v>12.5</v>
      </c>
      <c r="P301" s="1025"/>
      <c r="Q301" s="1025">
        <f t="shared" si="46"/>
        <v>0</v>
      </c>
      <c r="R301" s="1025">
        <f>Q301*(списки!$C$56-O301)</f>
        <v>0</v>
      </c>
      <c r="S301" s="1026">
        <v>6.8</v>
      </c>
      <c r="T301" s="1026"/>
      <c r="U301" s="1026">
        <f t="shared" si="53"/>
        <v>23</v>
      </c>
      <c r="V301" s="1026">
        <f>U301*(списки!$C$56-S301)</f>
        <v>303.59999999999997</v>
      </c>
      <c r="W301" s="1027">
        <v>-0.5</v>
      </c>
      <c r="X301" s="1027"/>
      <c r="Y301" s="1027">
        <f t="shared" si="47"/>
        <v>31</v>
      </c>
      <c r="Z301" s="1027">
        <f>Y301*(списки!$C$56-W301)</f>
        <v>635.5</v>
      </c>
      <c r="AA301" s="1028">
        <v>-8.8000000000000007</v>
      </c>
      <c r="AB301" s="1028"/>
      <c r="AC301" s="1028">
        <f t="shared" si="48"/>
        <v>30</v>
      </c>
      <c r="AD301" s="1028">
        <f>AC301*(списки!$C$56-AA301)</f>
        <v>864</v>
      </c>
      <c r="AE301" s="1029">
        <v>-14.6</v>
      </c>
      <c r="AF301" s="1029"/>
      <c r="AG301" s="1029">
        <v>31</v>
      </c>
      <c r="AH301" s="1029">
        <f>AG301*(списки!$C$56-AE301)</f>
        <v>1072.6000000000001</v>
      </c>
      <c r="AI301" s="1030">
        <v>-17.899999999999999</v>
      </c>
      <c r="AJ301" s="1030"/>
      <c r="AK301" s="1030">
        <v>31</v>
      </c>
      <c r="AL301" s="1030">
        <f>AK301*(списки!$C$56-AI301)</f>
        <v>1174.8999999999999</v>
      </c>
      <c r="AM301" s="1031">
        <v>-15.9</v>
      </c>
      <c r="AN301" s="1031"/>
      <c r="AO301" s="1031">
        <v>28</v>
      </c>
      <c r="AP301" s="1031">
        <f>AO301*(списки!$C$56-AM301)</f>
        <v>1005.1999999999999</v>
      </c>
      <c r="AQ301" s="1026">
        <v>-6.9</v>
      </c>
      <c r="AR301" s="1026"/>
      <c r="AS301" s="1026">
        <f t="shared" si="49"/>
        <v>31</v>
      </c>
      <c r="AT301" s="1026">
        <f>AS301*(списки!$C$56-AQ301)</f>
        <v>833.9</v>
      </c>
      <c r="AU301" s="1032">
        <v>-0.4</v>
      </c>
      <c r="AV301" s="1032"/>
      <c r="AW301" s="1032">
        <f t="shared" si="50"/>
        <v>30</v>
      </c>
      <c r="AX301" s="1032">
        <f>AW301*(списки!$C$56-AU301)</f>
        <v>612</v>
      </c>
      <c r="AY301" s="1033">
        <v>6.1</v>
      </c>
      <c r="AZ301" s="1033"/>
      <c r="BA301" s="1033">
        <f t="shared" si="51"/>
        <v>23</v>
      </c>
      <c r="BB301" s="1033">
        <f>BA301*(списки!$C$56-AY301)</f>
        <v>319.7</v>
      </c>
      <c r="BC301" s="1034">
        <v>13</v>
      </c>
      <c r="BD301" s="1034"/>
      <c r="BE301" s="1034">
        <f t="shared" si="52"/>
        <v>0</v>
      </c>
      <c r="BF301" s="1035">
        <f>BE301*(списки!$C$56-BC301)</f>
        <v>0</v>
      </c>
      <c r="BG301" s="1424">
        <v>6306.3976190476196</v>
      </c>
      <c r="BH301" s="1424">
        <v>6483.8267857142882</v>
      </c>
    </row>
    <row r="302" spans="2:60" ht="15.75" customHeight="1" x14ac:dyDescent="0.25">
      <c r="B302" s="1038" t="s">
        <v>145</v>
      </c>
      <c r="C302" s="1038" t="s">
        <v>152</v>
      </c>
      <c r="D302" s="1015" t="str">
        <f t="shared" si="54"/>
        <v>Республика КомиУсть-Уса</v>
      </c>
      <c r="E302" s="1016">
        <v>278</v>
      </c>
      <c r="F302" s="1017">
        <v>-7.9</v>
      </c>
      <c r="G302" s="1017">
        <v>-41</v>
      </c>
      <c r="H302" s="1019">
        <v>4.2</v>
      </c>
      <c r="I302" s="1020">
        <f>E302*(списки!$C$56-F302)</f>
        <v>7756.2</v>
      </c>
      <c r="J302" s="1021" t="str">
        <f t="shared" si="44"/>
        <v>7000-8000</v>
      </c>
      <c r="K302" s="1022">
        <v>14.8</v>
      </c>
      <c r="L302" s="1022"/>
      <c r="M302" s="1023">
        <f t="shared" si="45"/>
        <v>0</v>
      </c>
      <c r="N302" s="1024">
        <f>M302*(списки!$C$56-K302)</f>
        <v>0</v>
      </c>
      <c r="O302" s="1025">
        <v>11</v>
      </c>
      <c r="P302" s="1025"/>
      <c r="Q302" s="1025">
        <f t="shared" si="46"/>
        <v>2.5</v>
      </c>
      <c r="R302" s="1025">
        <f>Q302*(списки!$C$56-O302)</f>
        <v>22.5</v>
      </c>
      <c r="S302" s="1026">
        <v>5.9</v>
      </c>
      <c r="T302" s="1026"/>
      <c r="U302" s="1026">
        <f t="shared" si="53"/>
        <v>30</v>
      </c>
      <c r="V302" s="1026">
        <f>U302*(списки!$C$56-S302)</f>
        <v>423</v>
      </c>
      <c r="W302" s="1027">
        <v>-1.9</v>
      </c>
      <c r="X302" s="1027"/>
      <c r="Y302" s="1027">
        <f t="shared" si="47"/>
        <v>31</v>
      </c>
      <c r="Z302" s="1027">
        <f>Y302*(списки!$C$56-W302)</f>
        <v>678.9</v>
      </c>
      <c r="AA302" s="1028">
        <v>-10.4</v>
      </c>
      <c r="AB302" s="1028"/>
      <c r="AC302" s="1028">
        <f t="shared" si="48"/>
        <v>30</v>
      </c>
      <c r="AD302" s="1028">
        <f>AC302*(списки!$C$56-AA302)</f>
        <v>912</v>
      </c>
      <c r="AE302" s="1029">
        <v>-15.4</v>
      </c>
      <c r="AF302" s="1029"/>
      <c r="AG302" s="1029">
        <v>31</v>
      </c>
      <c r="AH302" s="1029">
        <f>AG302*(списки!$C$56-AE302)</f>
        <v>1097.3999999999999</v>
      </c>
      <c r="AI302" s="1030">
        <v>-19</v>
      </c>
      <c r="AJ302" s="1030"/>
      <c r="AK302" s="1030">
        <v>31</v>
      </c>
      <c r="AL302" s="1030">
        <f>AK302*(списки!$C$56-AI302)</f>
        <v>1209</v>
      </c>
      <c r="AM302" s="1031">
        <v>-17.8</v>
      </c>
      <c r="AN302" s="1031"/>
      <c r="AO302" s="1031">
        <v>28</v>
      </c>
      <c r="AP302" s="1031">
        <f>AO302*(списки!$C$56-AM302)</f>
        <v>1058.3999999999999</v>
      </c>
      <c r="AQ302" s="1026">
        <v>-9.6999999999999993</v>
      </c>
      <c r="AR302" s="1026"/>
      <c r="AS302" s="1026">
        <f t="shared" si="49"/>
        <v>31</v>
      </c>
      <c r="AT302" s="1026">
        <f>AS302*(списки!$C$56-AQ302)</f>
        <v>920.69999999999993</v>
      </c>
      <c r="AU302" s="1032">
        <v>-4.8</v>
      </c>
      <c r="AV302" s="1032"/>
      <c r="AW302" s="1032">
        <f t="shared" si="50"/>
        <v>30</v>
      </c>
      <c r="AX302" s="1032">
        <f>AW302*(списки!$C$56-AU302)</f>
        <v>744</v>
      </c>
      <c r="AY302" s="1033">
        <v>1.9</v>
      </c>
      <c r="AZ302" s="1033"/>
      <c r="BA302" s="1033">
        <f t="shared" si="51"/>
        <v>31</v>
      </c>
      <c r="BB302" s="1033">
        <f>BA302*(списки!$C$56-AY302)</f>
        <v>561.1</v>
      </c>
      <c r="BC302" s="1034">
        <v>10.1</v>
      </c>
      <c r="BD302" s="1034"/>
      <c r="BE302" s="1034">
        <f t="shared" si="52"/>
        <v>2.5</v>
      </c>
      <c r="BF302" s="1035">
        <f>BE302*(списки!$C$56-BC302)</f>
        <v>24.75</v>
      </c>
      <c r="BG302" s="1424">
        <v>6573.25</v>
      </c>
      <c r="BH302" s="1424">
        <v>6976.7285714285708</v>
      </c>
    </row>
    <row r="303" spans="2:60" ht="15.75" customHeight="1" x14ac:dyDescent="0.25">
      <c r="B303" s="1014" t="s">
        <v>145</v>
      </c>
      <c r="C303" s="1014" t="s">
        <v>151</v>
      </c>
      <c r="D303" s="1015" t="str">
        <f t="shared" si="54"/>
        <v>Республика КомиУсть-Цильма</v>
      </c>
      <c r="E303" s="1016">
        <v>270</v>
      </c>
      <c r="F303" s="1017">
        <v>-6.9</v>
      </c>
      <c r="G303" s="1017">
        <v>-39</v>
      </c>
      <c r="H303" s="1019">
        <v>4.8</v>
      </c>
      <c r="I303" s="1020">
        <f>E303*(списки!$C$56-F303)</f>
        <v>7263</v>
      </c>
      <c r="J303" s="1021" t="str">
        <f t="shared" si="44"/>
        <v>7000-8000</v>
      </c>
      <c r="K303" s="1022">
        <v>15.3</v>
      </c>
      <c r="L303" s="1022"/>
      <c r="M303" s="1023">
        <f t="shared" si="45"/>
        <v>0</v>
      </c>
      <c r="N303" s="1024">
        <f>M303*(списки!$C$56-K303)</f>
        <v>0</v>
      </c>
      <c r="O303" s="1025">
        <v>11.7</v>
      </c>
      <c r="P303" s="1025"/>
      <c r="Q303" s="1025">
        <f t="shared" si="46"/>
        <v>0</v>
      </c>
      <c r="R303" s="1025">
        <f>Q303*(списки!$C$56-O303)</f>
        <v>0</v>
      </c>
      <c r="S303" s="1026">
        <v>6.4</v>
      </c>
      <c r="T303" s="1026"/>
      <c r="U303" s="1026">
        <f t="shared" si="53"/>
        <v>29</v>
      </c>
      <c r="V303" s="1026">
        <f>U303*(списки!$C$56-S303)</f>
        <v>394.4</v>
      </c>
      <c r="W303" s="1027">
        <v>-0.9</v>
      </c>
      <c r="X303" s="1027"/>
      <c r="Y303" s="1027">
        <f t="shared" si="47"/>
        <v>31</v>
      </c>
      <c r="Z303" s="1027">
        <f>Y303*(списки!$C$56-W303)</f>
        <v>647.9</v>
      </c>
      <c r="AA303" s="1028">
        <v>-8.9</v>
      </c>
      <c r="AB303" s="1028"/>
      <c r="AC303" s="1028">
        <f t="shared" si="48"/>
        <v>30</v>
      </c>
      <c r="AD303" s="1028">
        <f>AC303*(списки!$C$56-AA303)</f>
        <v>867</v>
      </c>
      <c r="AE303" s="1029">
        <v>-13.8</v>
      </c>
      <c r="AF303" s="1029"/>
      <c r="AG303" s="1029">
        <v>31</v>
      </c>
      <c r="AH303" s="1029">
        <f>AG303*(списки!$C$56-AE303)</f>
        <v>1047.8</v>
      </c>
      <c r="AI303" s="1030">
        <v>-17.7</v>
      </c>
      <c r="AJ303" s="1030"/>
      <c r="AK303" s="1030">
        <v>31</v>
      </c>
      <c r="AL303" s="1030">
        <f>AK303*(списки!$C$56-AI303)</f>
        <v>1168.7</v>
      </c>
      <c r="AM303" s="1031">
        <v>-15.8</v>
      </c>
      <c r="AN303" s="1031"/>
      <c r="AO303" s="1031">
        <v>28</v>
      </c>
      <c r="AP303" s="1031">
        <f>AO303*(списки!$C$56-AM303)</f>
        <v>1002.3999999999999</v>
      </c>
      <c r="AQ303" s="1026">
        <v>-8.1</v>
      </c>
      <c r="AR303" s="1026"/>
      <c r="AS303" s="1026">
        <f t="shared" si="49"/>
        <v>31</v>
      </c>
      <c r="AT303" s="1026">
        <f>AS303*(списки!$C$56-AQ303)</f>
        <v>871.1</v>
      </c>
      <c r="AU303" s="1032">
        <v>-2.8</v>
      </c>
      <c r="AV303" s="1032"/>
      <c r="AW303" s="1032">
        <f t="shared" si="50"/>
        <v>30</v>
      </c>
      <c r="AX303" s="1032">
        <f>AW303*(списки!$C$56-AU303)</f>
        <v>684</v>
      </c>
      <c r="AY303" s="1033">
        <v>3.7</v>
      </c>
      <c r="AZ303" s="1033"/>
      <c r="BA303" s="1033">
        <f t="shared" si="51"/>
        <v>29</v>
      </c>
      <c r="BB303" s="1033">
        <f>BA303*(списки!$C$56-AY303)</f>
        <v>472.70000000000005</v>
      </c>
      <c r="BC303" s="1034">
        <v>11.2</v>
      </c>
      <c r="BD303" s="1034"/>
      <c r="BE303" s="1034">
        <f t="shared" si="52"/>
        <v>0</v>
      </c>
      <c r="BF303" s="1035">
        <f>BE303*(списки!$C$56-BC303)</f>
        <v>0</v>
      </c>
      <c r="BG303" s="1424">
        <v>6167.7892857142879</v>
      </c>
      <c r="BH303" s="1424">
        <v>6661.7142857142835</v>
      </c>
    </row>
    <row r="304" spans="2:60" ht="15.75" customHeight="1" x14ac:dyDescent="0.25">
      <c r="B304" s="1038" t="s">
        <v>145</v>
      </c>
      <c r="C304" s="1038" t="s">
        <v>150</v>
      </c>
      <c r="D304" s="1015" t="str">
        <f t="shared" si="54"/>
        <v>Республика КомиУсть-Щугор</v>
      </c>
      <c r="E304" s="1016">
        <v>268</v>
      </c>
      <c r="F304" s="1017">
        <v>-7.9</v>
      </c>
      <c r="G304" s="1017">
        <v>-45</v>
      </c>
      <c r="H304" s="1019">
        <v>5</v>
      </c>
      <c r="I304" s="1020">
        <f>E304*(списки!$C$56-F304)</f>
        <v>7477.2</v>
      </c>
      <c r="J304" s="1021" t="str">
        <f t="shared" si="44"/>
        <v>7000-8000</v>
      </c>
      <c r="K304" s="1022">
        <v>15.2</v>
      </c>
      <c r="L304" s="1022"/>
      <c r="M304" s="1023">
        <f t="shared" si="45"/>
        <v>0</v>
      </c>
      <c r="N304" s="1024">
        <f>M304*(списки!$C$56-K304)</f>
        <v>0</v>
      </c>
      <c r="O304" s="1025">
        <v>12.3</v>
      </c>
      <c r="P304" s="1025"/>
      <c r="Q304" s="1025">
        <f t="shared" si="46"/>
        <v>0</v>
      </c>
      <c r="R304" s="1025">
        <f>Q304*(списки!$C$56-O304)</f>
        <v>0</v>
      </c>
      <c r="S304" s="1026">
        <v>6.4</v>
      </c>
      <c r="T304" s="1026"/>
      <c r="U304" s="1026">
        <f t="shared" si="53"/>
        <v>28</v>
      </c>
      <c r="V304" s="1026">
        <f>U304*(списки!$C$56-S304)</f>
        <v>380.8</v>
      </c>
      <c r="W304" s="1027">
        <v>-1.8</v>
      </c>
      <c r="X304" s="1027"/>
      <c r="Y304" s="1027">
        <f t="shared" si="47"/>
        <v>31</v>
      </c>
      <c r="Z304" s="1027">
        <f>Y304*(списки!$C$56-W304)</f>
        <v>675.80000000000007</v>
      </c>
      <c r="AA304" s="1028">
        <v>-10.199999999999999</v>
      </c>
      <c r="AB304" s="1028"/>
      <c r="AC304" s="1028">
        <f t="shared" si="48"/>
        <v>30</v>
      </c>
      <c r="AD304" s="1028">
        <f>AC304*(списки!$C$56-AA304)</f>
        <v>906</v>
      </c>
      <c r="AE304" s="1029">
        <v>-16.899999999999999</v>
      </c>
      <c r="AF304" s="1029"/>
      <c r="AG304" s="1029">
        <v>31</v>
      </c>
      <c r="AH304" s="1029">
        <f>AG304*(списки!$C$56-AE304)</f>
        <v>1143.8999999999999</v>
      </c>
      <c r="AI304" s="1030">
        <v>-19.7</v>
      </c>
      <c r="AJ304" s="1030"/>
      <c r="AK304" s="1030">
        <v>31</v>
      </c>
      <c r="AL304" s="1030">
        <f>AK304*(списки!$C$56-AI304)</f>
        <v>1230.7</v>
      </c>
      <c r="AM304" s="1031">
        <v>-17.7</v>
      </c>
      <c r="AN304" s="1031"/>
      <c r="AO304" s="1031">
        <v>28</v>
      </c>
      <c r="AP304" s="1031">
        <f>AO304*(списки!$C$56-AM304)</f>
        <v>1055.6000000000001</v>
      </c>
      <c r="AQ304" s="1026">
        <v>-12</v>
      </c>
      <c r="AR304" s="1026"/>
      <c r="AS304" s="1026">
        <f t="shared" si="49"/>
        <v>31</v>
      </c>
      <c r="AT304" s="1026">
        <f>AS304*(списки!$C$56-AQ304)</f>
        <v>992</v>
      </c>
      <c r="AU304" s="1032">
        <v>-2.4</v>
      </c>
      <c r="AV304" s="1032"/>
      <c r="AW304" s="1032">
        <f t="shared" si="50"/>
        <v>30</v>
      </c>
      <c r="AX304" s="1032">
        <f>AW304*(списки!$C$56-AU304)</f>
        <v>672</v>
      </c>
      <c r="AY304" s="1033">
        <v>3.7</v>
      </c>
      <c r="AZ304" s="1033"/>
      <c r="BA304" s="1033">
        <f t="shared" si="51"/>
        <v>28</v>
      </c>
      <c r="BB304" s="1033">
        <f>BA304*(списки!$C$56-AY304)</f>
        <v>456.40000000000003</v>
      </c>
      <c r="BC304" s="1034">
        <v>11.4</v>
      </c>
      <c r="BD304" s="1034"/>
      <c r="BE304" s="1034">
        <f t="shared" si="52"/>
        <v>0</v>
      </c>
      <c r="BF304" s="1035">
        <f>BE304*(списки!$C$56-BC304)</f>
        <v>0</v>
      </c>
      <c r="BG304" s="1424">
        <v>6462.9783333333316</v>
      </c>
      <c r="BH304" s="1424">
        <v>6599.1366666666645</v>
      </c>
    </row>
    <row r="305" spans="2:60" ht="15.75" customHeight="1" x14ac:dyDescent="0.25">
      <c r="B305" s="1014" t="s">
        <v>145</v>
      </c>
      <c r="C305" s="1014" t="s">
        <v>149</v>
      </c>
      <c r="D305" s="1015" t="str">
        <f>CONCATENATE(B305,C305)</f>
        <v>Республика КомиУхта</v>
      </c>
      <c r="E305" s="1016">
        <v>261</v>
      </c>
      <c r="F305" s="1017">
        <v>-6.4</v>
      </c>
      <c r="G305" s="1017">
        <v>-39</v>
      </c>
      <c r="H305" s="1019">
        <v>4.8</v>
      </c>
      <c r="I305" s="1020">
        <f>E305*(списки!$C$56-F305)</f>
        <v>6890.4</v>
      </c>
      <c r="J305" s="1021" t="str">
        <f t="shared" si="44"/>
        <v>6000-7000</v>
      </c>
      <c r="K305" s="1022">
        <v>15.7</v>
      </c>
      <c r="L305" s="1022"/>
      <c r="M305" s="1023">
        <f t="shared" si="45"/>
        <v>0</v>
      </c>
      <c r="N305" s="1024">
        <f>M305*(списки!$C$56-K305)</f>
        <v>0</v>
      </c>
      <c r="O305" s="1025">
        <v>12.7</v>
      </c>
      <c r="P305" s="1025"/>
      <c r="Q305" s="1025">
        <f t="shared" si="46"/>
        <v>0</v>
      </c>
      <c r="R305" s="1025">
        <f>Q305*(списки!$C$56-O305)</f>
        <v>0</v>
      </c>
      <c r="S305" s="1026">
        <v>6.6</v>
      </c>
      <c r="T305" s="1026"/>
      <c r="U305" s="1026">
        <f t="shared" si="53"/>
        <v>24.5</v>
      </c>
      <c r="V305" s="1026">
        <f>U305*(списки!$C$56-S305)</f>
        <v>328.3</v>
      </c>
      <c r="W305" s="1027">
        <v>-1.4</v>
      </c>
      <c r="X305" s="1027"/>
      <c r="Y305" s="1027">
        <f t="shared" si="47"/>
        <v>31</v>
      </c>
      <c r="Z305" s="1027">
        <f>Y305*(списки!$C$56-W305)</f>
        <v>663.4</v>
      </c>
      <c r="AA305" s="1028">
        <v>-8.5</v>
      </c>
      <c r="AB305" s="1028"/>
      <c r="AC305" s="1028">
        <f t="shared" si="48"/>
        <v>30</v>
      </c>
      <c r="AD305" s="1028">
        <f>AC305*(списки!$C$56-AA305)</f>
        <v>855</v>
      </c>
      <c r="AE305" s="1029">
        <v>-13.6</v>
      </c>
      <c r="AF305" s="1029"/>
      <c r="AG305" s="1029">
        <v>31</v>
      </c>
      <c r="AH305" s="1029">
        <f>AG305*(списки!$C$56-AE305)</f>
        <v>1041.6000000000001</v>
      </c>
      <c r="AI305" s="1030">
        <v>-17.3</v>
      </c>
      <c r="AJ305" s="1030"/>
      <c r="AK305" s="1030">
        <v>31</v>
      </c>
      <c r="AL305" s="1030">
        <f>AK305*(списки!$C$56-AI305)</f>
        <v>1156.3</v>
      </c>
      <c r="AM305" s="1031">
        <v>-15.8</v>
      </c>
      <c r="AN305" s="1031"/>
      <c r="AO305" s="1031">
        <v>28</v>
      </c>
      <c r="AP305" s="1031">
        <f>AO305*(списки!$C$56-AM305)</f>
        <v>1002.3999999999999</v>
      </c>
      <c r="AQ305" s="1026">
        <v>-8.9</v>
      </c>
      <c r="AR305" s="1026"/>
      <c r="AS305" s="1026">
        <f t="shared" si="49"/>
        <v>31</v>
      </c>
      <c r="AT305" s="1026">
        <f>AS305*(списки!$C$56-AQ305)</f>
        <v>895.9</v>
      </c>
      <c r="AU305" s="1032">
        <v>-0.5</v>
      </c>
      <c r="AV305" s="1032"/>
      <c r="AW305" s="1032">
        <f t="shared" si="50"/>
        <v>30</v>
      </c>
      <c r="AX305" s="1032">
        <f>AW305*(списки!$C$56-AU305)</f>
        <v>615</v>
      </c>
      <c r="AY305" s="1033">
        <v>5.4</v>
      </c>
      <c r="AZ305" s="1033"/>
      <c r="BA305" s="1033">
        <f t="shared" si="51"/>
        <v>24.5</v>
      </c>
      <c r="BB305" s="1033">
        <f>BA305*(списки!$C$56-AY305)</f>
        <v>357.7</v>
      </c>
      <c r="BC305" s="1034">
        <v>12.1</v>
      </c>
      <c r="BD305" s="1034"/>
      <c r="BE305" s="1034">
        <f t="shared" si="52"/>
        <v>0</v>
      </c>
      <c r="BF305" s="1035">
        <f>BE305*(списки!$C$56-BC305)</f>
        <v>0</v>
      </c>
      <c r="BG305" s="1424">
        <v>6200.9089285714281</v>
      </c>
      <c r="BH305" s="1424">
        <v>6479.6624999999985</v>
      </c>
    </row>
    <row r="306" spans="2:60" ht="15.75" customHeight="1" x14ac:dyDescent="0.25">
      <c r="B306" s="1038" t="s">
        <v>197</v>
      </c>
      <c r="C306" s="1038" t="s">
        <v>198</v>
      </c>
      <c r="D306" s="1015" t="str">
        <f>CONCATENATE(B306,C306)</f>
        <v>Республика Марий ЭлЙошкар-Ола</v>
      </c>
      <c r="E306" s="1016">
        <v>215</v>
      </c>
      <c r="F306" s="1017">
        <v>-4.9000000000000004</v>
      </c>
      <c r="G306" s="1017">
        <v>-33</v>
      </c>
      <c r="H306" s="1019">
        <v>4.9000000000000004</v>
      </c>
      <c r="I306" s="1020">
        <f>E306*(списки!$C$56-F306)</f>
        <v>5353.5</v>
      </c>
      <c r="J306" s="1021" t="str">
        <f t="shared" si="44"/>
        <v>5000-6000</v>
      </c>
      <c r="K306" s="1022">
        <v>18.600000000000001</v>
      </c>
      <c r="L306" s="1022"/>
      <c r="M306" s="1023">
        <f t="shared" si="45"/>
        <v>0</v>
      </c>
      <c r="N306" s="1024">
        <f>M306*(списки!$C$56-K306)</f>
        <v>0</v>
      </c>
      <c r="O306" s="1025">
        <v>16.100000000000001</v>
      </c>
      <c r="P306" s="1025"/>
      <c r="Q306" s="1025">
        <f t="shared" si="46"/>
        <v>0</v>
      </c>
      <c r="R306" s="1025">
        <f>Q306*(списки!$C$56-O306)</f>
        <v>0</v>
      </c>
      <c r="S306" s="1026">
        <v>10.3</v>
      </c>
      <c r="T306" s="1026"/>
      <c r="U306" s="1026">
        <f t="shared" si="53"/>
        <v>1.5</v>
      </c>
      <c r="V306" s="1026">
        <f>U306*(списки!$C$56-S306)</f>
        <v>14.549999999999999</v>
      </c>
      <c r="W306" s="1027">
        <v>3.4</v>
      </c>
      <c r="X306" s="1027"/>
      <c r="Y306" s="1027">
        <f t="shared" si="47"/>
        <v>31</v>
      </c>
      <c r="Z306" s="1027">
        <f>Y306*(списки!$C$56-W306)</f>
        <v>514.6</v>
      </c>
      <c r="AA306" s="1028">
        <v>-3.7</v>
      </c>
      <c r="AB306" s="1028"/>
      <c r="AC306" s="1028">
        <f t="shared" si="48"/>
        <v>30</v>
      </c>
      <c r="AD306" s="1028">
        <f>AC306*(списки!$C$56-AA306)</f>
        <v>711</v>
      </c>
      <c r="AE306" s="1029">
        <v>-9.4</v>
      </c>
      <c r="AF306" s="1029"/>
      <c r="AG306" s="1029">
        <v>31</v>
      </c>
      <c r="AH306" s="1029">
        <f>AG306*(списки!$C$56-AE306)</f>
        <v>911.4</v>
      </c>
      <c r="AI306" s="1030">
        <v>-12.1</v>
      </c>
      <c r="AJ306" s="1030"/>
      <c r="AK306" s="1030">
        <v>31</v>
      </c>
      <c r="AL306" s="1030">
        <f>AK306*(списки!$C$56-AI306)</f>
        <v>995.1</v>
      </c>
      <c r="AM306" s="1031">
        <v>-11.4</v>
      </c>
      <c r="AN306" s="1031"/>
      <c r="AO306" s="1031">
        <v>28</v>
      </c>
      <c r="AP306" s="1031">
        <f>AO306*(списки!$C$56-AM306)</f>
        <v>879.19999999999993</v>
      </c>
      <c r="AQ306" s="1026">
        <v>-4.5999999999999996</v>
      </c>
      <c r="AR306" s="1026"/>
      <c r="AS306" s="1026">
        <f t="shared" si="49"/>
        <v>31</v>
      </c>
      <c r="AT306" s="1026">
        <f>AS306*(списки!$C$56-AQ306)</f>
        <v>762.6</v>
      </c>
      <c r="AU306" s="1032">
        <v>4.7</v>
      </c>
      <c r="AV306" s="1032"/>
      <c r="AW306" s="1032">
        <f t="shared" si="50"/>
        <v>30</v>
      </c>
      <c r="AX306" s="1032">
        <f>AW306*(списки!$C$56-AU306)</f>
        <v>459</v>
      </c>
      <c r="AY306" s="1033">
        <v>12</v>
      </c>
      <c r="AZ306" s="1033"/>
      <c r="BA306" s="1033">
        <f t="shared" si="51"/>
        <v>1.5</v>
      </c>
      <c r="BB306" s="1033">
        <f>BA306*(списки!$C$56-AY306)</f>
        <v>12</v>
      </c>
      <c r="BC306" s="1034">
        <v>16.5</v>
      </c>
      <c r="BD306" s="1034"/>
      <c r="BE306" s="1034">
        <f t="shared" si="52"/>
        <v>0</v>
      </c>
      <c r="BF306" s="1035">
        <f>BE306*(списки!$C$56-BC306)</f>
        <v>0</v>
      </c>
      <c r="BG306" s="1424">
        <v>4900.3089285714277</v>
      </c>
      <c r="BH306" s="1424">
        <v>4876.8250000000007</v>
      </c>
    </row>
    <row r="307" spans="2:60" ht="15.75" customHeight="1" x14ac:dyDescent="0.25">
      <c r="B307" s="1014" t="s">
        <v>288</v>
      </c>
      <c r="C307" s="1014" t="s">
        <v>289</v>
      </c>
      <c r="D307" s="1015" t="str">
        <f t="shared" si="54"/>
        <v>Республика МордовияСаранск</v>
      </c>
      <c r="E307" s="1016">
        <v>209</v>
      </c>
      <c r="F307" s="1017">
        <v>-4.5</v>
      </c>
      <c r="G307" s="1017">
        <v>-30</v>
      </c>
      <c r="H307" s="1019">
        <v>6.9</v>
      </c>
      <c r="I307" s="1020">
        <f>E307*(списки!$C$56-F307)</f>
        <v>5120.5</v>
      </c>
      <c r="J307" s="1021" t="str">
        <f t="shared" si="44"/>
        <v>5000-6000</v>
      </c>
      <c r="K307" s="1022">
        <v>19.2</v>
      </c>
      <c r="L307" s="1022"/>
      <c r="M307" s="1023">
        <f t="shared" si="45"/>
        <v>0</v>
      </c>
      <c r="N307" s="1024">
        <f>M307*(списки!$C$56-K307)</f>
        <v>0</v>
      </c>
      <c r="O307" s="1025">
        <v>17.7</v>
      </c>
      <c r="P307" s="1025"/>
      <c r="Q307" s="1025">
        <f t="shared" si="46"/>
        <v>0</v>
      </c>
      <c r="R307" s="1025">
        <f>Q307*(списки!$C$56-O307)</f>
        <v>0</v>
      </c>
      <c r="S307" s="1026">
        <v>11.6</v>
      </c>
      <c r="T307" s="1026"/>
      <c r="U307" s="1026">
        <f t="shared" si="53"/>
        <v>0</v>
      </c>
      <c r="V307" s="1026">
        <f>U307*(списки!$C$56-S307)</f>
        <v>0</v>
      </c>
      <c r="W307" s="1027">
        <v>4.0999999999999996</v>
      </c>
      <c r="X307" s="1027"/>
      <c r="Y307" s="1027">
        <f t="shared" si="47"/>
        <v>29</v>
      </c>
      <c r="Z307" s="1027">
        <f>Y307*(списки!$C$56-W307)</f>
        <v>461.1</v>
      </c>
      <c r="AA307" s="1028">
        <v>-3</v>
      </c>
      <c r="AB307" s="1028"/>
      <c r="AC307" s="1028">
        <f t="shared" si="48"/>
        <v>30</v>
      </c>
      <c r="AD307" s="1028">
        <f>AC307*(списки!$C$56-AA307)</f>
        <v>690</v>
      </c>
      <c r="AE307" s="1029">
        <v>-8.6999999999999993</v>
      </c>
      <c r="AF307" s="1029"/>
      <c r="AG307" s="1029">
        <v>31</v>
      </c>
      <c r="AH307" s="1029">
        <f>AG307*(списки!$C$56-AE307)</f>
        <v>889.69999999999993</v>
      </c>
      <c r="AI307" s="1030">
        <v>-12.3</v>
      </c>
      <c r="AJ307" s="1030"/>
      <c r="AK307" s="1030">
        <v>31</v>
      </c>
      <c r="AL307" s="1030">
        <f>AK307*(списки!$C$56-AI307)</f>
        <v>1001.3</v>
      </c>
      <c r="AM307" s="1031">
        <v>-11.7</v>
      </c>
      <c r="AN307" s="1031"/>
      <c r="AO307" s="1031">
        <v>28</v>
      </c>
      <c r="AP307" s="1031">
        <f>AO307*(списки!$C$56-AM307)</f>
        <v>887.6</v>
      </c>
      <c r="AQ307" s="1026">
        <v>-5.9</v>
      </c>
      <c r="AR307" s="1026"/>
      <c r="AS307" s="1026">
        <f t="shared" si="49"/>
        <v>31</v>
      </c>
      <c r="AT307" s="1026">
        <f>AS307*(списки!$C$56-AQ307)</f>
        <v>802.9</v>
      </c>
      <c r="AU307" s="1032">
        <v>4.8</v>
      </c>
      <c r="AV307" s="1032"/>
      <c r="AW307" s="1032">
        <f t="shared" si="50"/>
        <v>29</v>
      </c>
      <c r="AX307" s="1032">
        <f>AW307*(списки!$C$56-AU307)</f>
        <v>440.79999999999995</v>
      </c>
      <c r="AY307" s="1033">
        <v>13.1</v>
      </c>
      <c r="AZ307" s="1033"/>
      <c r="BA307" s="1033">
        <f t="shared" si="51"/>
        <v>0</v>
      </c>
      <c r="BB307" s="1033">
        <f>BA307*(списки!$C$56-AY307)</f>
        <v>0</v>
      </c>
      <c r="BC307" s="1034">
        <v>17.3</v>
      </c>
      <c r="BD307" s="1034"/>
      <c r="BE307" s="1034">
        <f t="shared" si="52"/>
        <v>0</v>
      </c>
      <c r="BF307" s="1035">
        <f>BE307*(списки!$C$56-BC307)</f>
        <v>0</v>
      </c>
      <c r="BG307" s="1424">
        <v>4430.0303571428576</v>
      </c>
      <c r="BH307" s="1424">
        <v>4618.0392857142842</v>
      </c>
    </row>
    <row r="308" spans="2:60" ht="15.75" customHeight="1" x14ac:dyDescent="0.25">
      <c r="B308" s="1038" t="s">
        <v>336</v>
      </c>
      <c r="C308" s="1038" t="s">
        <v>337</v>
      </c>
      <c r="D308" s="1015" t="str">
        <f t="shared" si="54"/>
        <v>Республика Саха (Якутия)Алдан</v>
      </c>
      <c r="E308" s="1016">
        <v>263</v>
      </c>
      <c r="F308" s="1017">
        <v>-13.6</v>
      </c>
      <c r="G308" s="1017">
        <v>-41</v>
      </c>
      <c r="H308" s="1019">
        <v>2.2999999999999998</v>
      </c>
      <c r="I308" s="1020">
        <f>E308*(списки!$C$56-F308)</f>
        <v>8836.8000000000011</v>
      </c>
      <c r="J308" s="1021" t="str">
        <f t="shared" si="44"/>
        <v>8000-9000</v>
      </c>
      <c r="K308" s="1022">
        <v>16.399999999999999</v>
      </c>
      <c r="L308" s="1022"/>
      <c r="M308" s="1023">
        <f t="shared" si="45"/>
        <v>0</v>
      </c>
      <c r="N308" s="1024">
        <f>M308*(списки!$C$56-K308)</f>
        <v>0</v>
      </c>
      <c r="O308" s="1025">
        <v>13.2</v>
      </c>
      <c r="P308" s="1025"/>
      <c r="Q308" s="1025">
        <f t="shared" si="46"/>
        <v>0</v>
      </c>
      <c r="R308" s="1025">
        <f>Q308*(списки!$C$56-O308)</f>
        <v>0</v>
      </c>
      <c r="S308" s="1026">
        <v>4.9000000000000004</v>
      </c>
      <c r="T308" s="1026"/>
      <c r="U308" s="1026">
        <f t="shared" si="53"/>
        <v>25.5</v>
      </c>
      <c r="V308" s="1026">
        <f>U308*(списки!$C$56-S308)</f>
        <v>385.05</v>
      </c>
      <c r="W308" s="1027">
        <v>-6.5</v>
      </c>
      <c r="X308" s="1027"/>
      <c r="Y308" s="1027">
        <f t="shared" si="47"/>
        <v>31</v>
      </c>
      <c r="Z308" s="1027">
        <f>Y308*(списки!$C$56-W308)</f>
        <v>821.5</v>
      </c>
      <c r="AA308" s="1028">
        <v>-19</v>
      </c>
      <c r="AB308" s="1028"/>
      <c r="AC308" s="1028">
        <f t="shared" si="48"/>
        <v>30</v>
      </c>
      <c r="AD308" s="1028">
        <f>AC308*(списки!$C$56-AA308)</f>
        <v>1170</v>
      </c>
      <c r="AE308" s="1029">
        <v>-25.4</v>
      </c>
      <c r="AF308" s="1029"/>
      <c r="AG308" s="1029">
        <v>31</v>
      </c>
      <c r="AH308" s="1029">
        <f>AG308*(списки!$C$56-AE308)</f>
        <v>1407.3999999999999</v>
      </c>
      <c r="AI308" s="1030">
        <v>-26.7</v>
      </c>
      <c r="AJ308" s="1030"/>
      <c r="AK308" s="1030">
        <v>31</v>
      </c>
      <c r="AL308" s="1030">
        <f>AK308*(списки!$C$56-AI308)</f>
        <v>1447.7</v>
      </c>
      <c r="AM308" s="1031">
        <v>-24.3</v>
      </c>
      <c r="AN308" s="1031"/>
      <c r="AO308" s="1031">
        <v>28</v>
      </c>
      <c r="AP308" s="1031">
        <f>AO308*(списки!$C$56-AM308)</f>
        <v>1240.3999999999999</v>
      </c>
      <c r="AQ308" s="1026">
        <v>-15.5</v>
      </c>
      <c r="AR308" s="1026"/>
      <c r="AS308" s="1026">
        <f t="shared" si="49"/>
        <v>31</v>
      </c>
      <c r="AT308" s="1026">
        <f>AS308*(списки!$C$56-AQ308)</f>
        <v>1100.5</v>
      </c>
      <c r="AU308" s="1032">
        <v>-4.5</v>
      </c>
      <c r="AV308" s="1032"/>
      <c r="AW308" s="1032">
        <f t="shared" si="50"/>
        <v>30</v>
      </c>
      <c r="AX308" s="1032">
        <f>AW308*(списки!$C$56-AU308)</f>
        <v>735</v>
      </c>
      <c r="AY308" s="1033">
        <v>4.9000000000000004</v>
      </c>
      <c r="AZ308" s="1033"/>
      <c r="BA308" s="1033">
        <f t="shared" si="51"/>
        <v>25.5</v>
      </c>
      <c r="BB308" s="1033">
        <f>BA308*(списки!$C$56-AY308)</f>
        <v>385.05</v>
      </c>
      <c r="BC308" s="1034">
        <v>13.5</v>
      </c>
      <c r="BD308" s="1034"/>
      <c r="BE308" s="1034">
        <f t="shared" si="52"/>
        <v>0</v>
      </c>
      <c r="BF308" s="1035">
        <f>BE308*(списки!$C$56-BC308)</f>
        <v>0</v>
      </c>
      <c r="BG308" s="1424">
        <v>8445.6892857142848</v>
      </c>
      <c r="BH308" s="1424">
        <v>8370.6178571428572</v>
      </c>
    </row>
    <row r="309" spans="2:60" ht="15.75" customHeight="1" x14ac:dyDescent="0.25">
      <c r="B309" s="1014" t="s">
        <v>336</v>
      </c>
      <c r="C309" s="1014" t="s">
        <v>338</v>
      </c>
      <c r="D309" s="1015" t="str">
        <f t="shared" si="54"/>
        <v>Республика Саха (Якутия)Аллах-Юнь</v>
      </c>
      <c r="E309" s="1016">
        <v>280</v>
      </c>
      <c r="F309" s="1017">
        <v>-21.4</v>
      </c>
      <c r="G309" s="1017">
        <v>-54</v>
      </c>
      <c r="H309" s="1019">
        <v>3.2</v>
      </c>
      <c r="I309" s="1020">
        <f>E309*(списки!$C$56-F309)</f>
        <v>11592</v>
      </c>
      <c r="J309" s="1021" t="str">
        <f t="shared" si="44"/>
        <v>11000-12000</v>
      </c>
      <c r="K309" s="1022">
        <v>14.7</v>
      </c>
      <c r="L309" s="1022"/>
      <c r="M309" s="1023">
        <f t="shared" si="45"/>
        <v>0</v>
      </c>
      <c r="N309" s="1024">
        <f>M309*(списки!$C$56-K309)</f>
        <v>0</v>
      </c>
      <c r="O309" s="1025">
        <v>11.4</v>
      </c>
      <c r="P309" s="1025"/>
      <c r="Q309" s="1025">
        <f t="shared" si="46"/>
        <v>3.5</v>
      </c>
      <c r="R309" s="1025">
        <f>Q309*(списки!$C$56-O309)</f>
        <v>30.099999999999998</v>
      </c>
      <c r="S309" s="1026">
        <v>3.5</v>
      </c>
      <c r="T309" s="1026"/>
      <c r="U309" s="1026">
        <f t="shared" si="53"/>
        <v>30</v>
      </c>
      <c r="V309" s="1026">
        <f>U309*(списки!$C$56-S309)</f>
        <v>495</v>
      </c>
      <c r="W309" s="1027">
        <v>-12.2</v>
      </c>
      <c r="X309" s="1027"/>
      <c r="Y309" s="1027">
        <f t="shared" si="47"/>
        <v>31</v>
      </c>
      <c r="Z309" s="1027">
        <f>Y309*(списки!$C$56-W309)</f>
        <v>998.2</v>
      </c>
      <c r="AA309" s="1028">
        <v>-32.200000000000003</v>
      </c>
      <c r="AB309" s="1028"/>
      <c r="AC309" s="1028">
        <f t="shared" si="48"/>
        <v>30</v>
      </c>
      <c r="AD309" s="1028">
        <f>AC309*(списки!$C$56-AA309)</f>
        <v>1566</v>
      </c>
      <c r="AE309" s="1029">
        <v>-42.7</v>
      </c>
      <c r="AF309" s="1029"/>
      <c r="AG309" s="1029">
        <v>31</v>
      </c>
      <c r="AH309" s="1029">
        <f>AG309*(списки!$C$56-AE309)</f>
        <v>1943.7</v>
      </c>
      <c r="AI309" s="1030">
        <v>-44.1</v>
      </c>
      <c r="AJ309" s="1030"/>
      <c r="AK309" s="1030">
        <v>31</v>
      </c>
      <c r="AL309" s="1030">
        <f>AK309*(списки!$C$56-AI309)</f>
        <v>1987.1</v>
      </c>
      <c r="AM309" s="1031">
        <v>-39.200000000000003</v>
      </c>
      <c r="AN309" s="1031"/>
      <c r="AO309" s="1031">
        <v>28</v>
      </c>
      <c r="AP309" s="1031">
        <f>AO309*(списки!$C$56-AM309)</f>
        <v>1657.6000000000001</v>
      </c>
      <c r="AQ309" s="1026">
        <v>-26.6</v>
      </c>
      <c r="AR309" s="1026"/>
      <c r="AS309" s="1026">
        <f t="shared" si="49"/>
        <v>31</v>
      </c>
      <c r="AT309" s="1026">
        <f>AS309*(списки!$C$56-AQ309)</f>
        <v>1444.6000000000001</v>
      </c>
      <c r="AU309" s="1032">
        <v>-11.4</v>
      </c>
      <c r="AV309" s="1032"/>
      <c r="AW309" s="1032">
        <f t="shared" si="50"/>
        <v>30</v>
      </c>
      <c r="AX309" s="1032">
        <f>AW309*(списки!$C$56-AU309)</f>
        <v>942</v>
      </c>
      <c r="AY309" s="1033">
        <v>2.2999999999999998</v>
      </c>
      <c r="AZ309" s="1033"/>
      <c r="BA309" s="1033">
        <f t="shared" si="51"/>
        <v>31</v>
      </c>
      <c r="BB309" s="1033">
        <f>BA309*(списки!$C$56-AY309)</f>
        <v>548.69999999999993</v>
      </c>
      <c r="BC309" s="1034">
        <v>10.9</v>
      </c>
      <c r="BD309" s="1034"/>
      <c r="BE309" s="1034">
        <f t="shared" si="52"/>
        <v>3.5</v>
      </c>
      <c r="BF309" s="1035">
        <f>BE309*(списки!$C$56-BC309)</f>
        <v>31.849999999999998</v>
      </c>
      <c r="BG309" s="1424" t="e">
        <v>#N/A</v>
      </c>
      <c r="BH309" s="1424" t="e">
        <v>#N/A</v>
      </c>
    </row>
    <row r="310" spans="2:60" ht="15.75" customHeight="1" x14ac:dyDescent="0.25">
      <c r="B310" s="1038" t="s">
        <v>336</v>
      </c>
      <c r="C310" s="1038" t="s">
        <v>339</v>
      </c>
      <c r="D310" s="1015" t="str">
        <f t="shared" si="54"/>
        <v>Республика Саха (Якутия)Амга</v>
      </c>
      <c r="E310" s="1016">
        <v>259</v>
      </c>
      <c r="F310" s="1017">
        <v>-21.3</v>
      </c>
      <c r="G310" s="1017">
        <v>-55</v>
      </c>
      <c r="H310" s="1019">
        <v>2.5</v>
      </c>
      <c r="I310" s="1020">
        <f>E310*(списки!$C$56-F310)</f>
        <v>10696.699999999999</v>
      </c>
      <c r="J310" s="1021" t="str">
        <f t="shared" si="44"/>
        <v>10000-11000</v>
      </c>
      <c r="K310" s="1022">
        <v>17.7</v>
      </c>
      <c r="L310" s="1022"/>
      <c r="M310" s="1023">
        <f t="shared" si="45"/>
        <v>0</v>
      </c>
      <c r="N310" s="1024">
        <f>M310*(списки!$C$56-K310)</f>
        <v>0</v>
      </c>
      <c r="O310" s="1025">
        <v>14.1</v>
      </c>
      <c r="P310" s="1025"/>
      <c r="Q310" s="1025">
        <f t="shared" si="46"/>
        <v>0</v>
      </c>
      <c r="R310" s="1025">
        <f>Q310*(списки!$C$56-O310)</f>
        <v>0</v>
      </c>
      <c r="S310" s="1026">
        <v>5.3</v>
      </c>
      <c r="T310" s="1026"/>
      <c r="U310" s="1026">
        <f t="shared" si="53"/>
        <v>23.5</v>
      </c>
      <c r="V310" s="1026">
        <f>U310*(списки!$C$56-S310)</f>
        <v>345.45</v>
      </c>
      <c r="W310" s="1027">
        <v>-8.9</v>
      </c>
      <c r="X310" s="1027"/>
      <c r="Y310" s="1027">
        <f t="shared" si="47"/>
        <v>31</v>
      </c>
      <c r="Z310" s="1027">
        <f>Y310*(списки!$C$56-W310)</f>
        <v>895.9</v>
      </c>
      <c r="AA310" s="1028">
        <v>-29.6</v>
      </c>
      <c r="AB310" s="1028"/>
      <c r="AC310" s="1028">
        <f t="shared" si="48"/>
        <v>30</v>
      </c>
      <c r="AD310" s="1028">
        <f>AC310*(списки!$C$56-AA310)</f>
        <v>1488</v>
      </c>
      <c r="AE310" s="1029">
        <v>-40.6</v>
      </c>
      <c r="AF310" s="1029"/>
      <c r="AG310" s="1029">
        <v>31</v>
      </c>
      <c r="AH310" s="1029">
        <f>AG310*(списки!$C$56-AE310)</f>
        <v>1878.6000000000001</v>
      </c>
      <c r="AI310" s="1030">
        <v>-42.9</v>
      </c>
      <c r="AJ310" s="1030"/>
      <c r="AK310" s="1030">
        <v>31</v>
      </c>
      <c r="AL310" s="1030">
        <f>AK310*(списки!$C$56-AI310)</f>
        <v>1949.8999999999999</v>
      </c>
      <c r="AM310" s="1031">
        <v>-38</v>
      </c>
      <c r="AN310" s="1031"/>
      <c r="AO310" s="1031">
        <v>28</v>
      </c>
      <c r="AP310" s="1031">
        <f>AO310*(списки!$C$56-AM310)</f>
        <v>1624</v>
      </c>
      <c r="AQ310" s="1026">
        <v>-24</v>
      </c>
      <c r="AR310" s="1026"/>
      <c r="AS310" s="1026">
        <f t="shared" si="49"/>
        <v>31</v>
      </c>
      <c r="AT310" s="1026">
        <f>AS310*(списки!$C$56-AQ310)</f>
        <v>1364</v>
      </c>
      <c r="AU310" s="1032">
        <v>-7.5</v>
      </c>
      <c r="AV310" s="1032"/>
      <c r="AW310" s="1032">
        <f t="shared" si="50"/>
        <v>30</v>
      </c>
      <c r="AX310" s="1032">
        <f>AW310*(списки!$C$56-AU310)</f>
        <v>825</v>
      </c>
      <c r="AY310" s="1033">
        <v>6.1</v>
      </c>
      <c r="AZ310" s="1033"/>
      <c r="BA310" s="1033">
        <f t="shared" si="51"/>
        <v>23.5</v>
      </c>
      <c r="BB310" s="1033">
        <f>BA310*(списки!$C$56-AY310)</f>
        <v>326.65000000000003</v>
      </c>
      <c r="BC310" s="1034">
        <v>14.5</v>
      </c>
      <c r="BD310" s="1034"/>
      <c r="BE310" s="1034">
        <f t="shared" si="52"/>
        <v>0</v>
      </c>
      <c r="BF310" s="1035">
        <f>BE310*(списки!$C$56-BC310)</f>
        <v>0</v>
      </c>
      <c r="BG310" s="1424">
        <v>10151.825000000004</v>
      </c>
      <c r="BH310" s="1424">
        <v>9746.6517857142971</v>
      </c>
    </row>
    <row r="311" spans="2:60" ht="15.75" customHeight="1" x14ac:dyDescent="0.25">
      <c r="B311" s="1014" t="s">
        <v>336</v>
      </c>
      <c r="C311" s="1014" t="s">
        <v>340</v>
      </c>
      <c r="D311" s="1015" t="str">
        <f t="shared" si="54"/>
        <v>Республика Саха (Якутия)Батамай</v>
      </c>
      <c r="E311" s="1016">
        <v>265</v>
      </c>
      <c r="F311" s="1017">
        <v>-20.8</v>
      </c>
      <c r="G311" s="1017">
        <v>-52</v>
      </c>
      <c r="H311" s="1019">
        <f>H309</f>
        <v>3.2</v>
      </c>
      <c r="I311" s="1020">
        <f>E311*(списки!$C$56-F311)</f>
        <v>10812</v>
      </c>
      <c r="J311" s="1021" t="str">
        <f t="shared" si="44"/>
        <v>10000-11000</v>
      </c>
      <c r="K311" s="1022">
        <v>17.100000000000001</v>
      </c>
      <c r="L311" s="1022"/>
      <c r="M311" s="1023">
        <f t="shared" si="45"/>
        <v>0</v>
      </c>
      <c r="N311" s="1024">
        <f>M311*(списки!$C$56-K311)</f>
        <v>0</v>
      </c>
      <c r="O311" s="1025">
        <v>13.6</v>
      </c>
      <c r="P311" s="1025"/>
      <c r="Q311" s="1025">
        <f t="shared" si="46"/>
        <v>0</v>
      </c>
      <c r="R311" s="1025">
        <f>Q311*(списки!$C$56-O311)</f>
        <v>0</v>
      </c>
      <c r="S311" s="1026">
        <v>5</v>
      </c>
      <c r="T311" s="1026"/>
      <c r="U311" s="1026">
        <f t="shared" si="53"/>
        <v>26.5</v>
      </c>
      <c r="V311" s="1026">
        <f>U311*(списки!$C$56-S311)</f>
        <v>397.5</v>
      </c>
      <c r="W311" s="1027">
        <v>-9.6</v>
      </c>
      <c r="X311" s="1027"/>
      <c r="Y311" s="1027">
        <f t="shared" si="47"/>
        <v>31</v>
      </c>
      <c r="Z311" s="1027">
        <f>Y311*(списки!$C$56-W311)</f>
        <v>917.6</v>
      </c>
      <c r="AA311" s="1028">
        <v>-30.6</v>
      </c>
      <c r="AB311" s="1028"/>
      <c r="AC311" s="1028">
        <f t="shared" si="48"/>
        <v>30</v>
      </c>
      <c r="AD311" s="1028">
        <f>AC311*(списки!$C$56-AA311)</f>
        <v>1518</v>
      </c>
      <c r="AE311" s="1029">
        <v>-40.1</v>
      </c>
      <c r="AF311" s="1029"/>
      <c r="AG311" s="1029">
        <v>31</v>
      </c>
      <c r="AH311" s="1029">
        <f>AG311*(списки!$C$56-AE311)</f>
        <v>1863.1000000000001</v>
      </c>
      <c r="AI311" s="1030">
        <v>-41.8</v>
      </c>
      <c r="AJ311" s="1030"/>
      <c r="AK311" s="1030">
        <v>31</v>
      </c>
      <c r="AL311" s="1030">
        <f>AK311*(списки!$C$56-AI311)</f>
        <v>1915.8</v>
      </c>
      <c r="AM311" s="1031">
        <v>-37.4</v>
      </c>
      <c r="AN311" s="1031"/>
      <c r="AO311" s="1031">
        <v>28</v>
      </c>
      <c r="AP311" s="1031">
        <f>AO311*(списки!$C$56-AM311)</f>
        <v>1607.2</v>
      </c>
      <c r="AQ311" s="1026">
        <v>-23.8</v>
      </c>
      <c r="AR311" s="1026"/>
      <c r="AS311" s="1026">
        <f t="shared" si="49"/>
        <v>31</v>
      </c>
      <c r="AT311" s="1026">
        <f>AS311*(списки!$C$56-AQ311)</f>
        <v>1357.8</v>
      </c>
      <c r="AU311" s="1032">
        <v>-8.8000000000000007</v>
      </c>
      <c r="AV311" s="1032"/>
      <c r="AW311" s="1032">
        <f t="shared" si="50"/>
        <v>30</v>
      </c>
      <c r="AX311" s="1032">
        <f>AW311*(списки!$C$56-AU311)</f>
        <v>864</v>
      </c>
      <c r="AY311" s="1033">
        <v>4.2</v>
      </c>
      <c r="AZ311" s="1033"/>
      <c r="BA311" s="1033">
        <f t="shared" si="51"/>
        <v>26.5</v>
      </c>
      <c r="BB311" s="1033">
        <f>BA311*(списки!$C$56-AY311)</f>
        <v>418.70000000000005</v>
      </c>
      <c r="BC311" s="1034">
        <v>13.7</v>
      </c>
      <c r="BD311" s="1034"/>
      <c r="BE311" s="1034">
        <f t="shared" si="52"/>
        <v>0</v>
      </c>
      <c r="BF311" s="1035">
        <f>BE311*(списки!$C$56-BC311)</f>
        <v>0</v>
      </c>
      <c r="BG311" s="1424">
        <v>10084.751785714296</v>
      </c>
      <c r="BH311" s="1424">
        <v>10174.52857142856</v>
      </c>
    </row>
    <row r="312" spans="2:60" ht="15.75" customHeight="1" x14ac:dyDescent="0.25">
      <c r="B312" s="1038" t="s">
        <v>336</v>
      </c>
      <c r="C312" s="1038" t="s">
        <v>341</v>
      </c>
      <c r="D312" s="1015" t="str">
        <f t="shared" si="54"/>
        <v>Республика Саха (Якутия)Бердигястях</v>
      </c>
      <c r="E312" s="1016">
        <v>268</v>
      </c>
      <c r="F312" s="1017">
        <v>-19.600000000000001</v>
      </c>
      <c r="G312" s="1017">
        <v>-54</v>
      </c>
      <c r="H312" s="1019">
        <f>H310</f>
        <v>2.5</v>
      </c>
      <c r="I312" s="1020">
        <f>E312*(списки!$C$56-F312)</f>
        <v>10612.800000000001</v>
      </c>
      <c r="J312" s="1021" t="str">
        <f t="shared" si="44"/>
        <v>10000-11000</v>
      </c>
      <c r="K312" s="1022">
        <v>16.3</v>
      </c>
      <c r="L312" s="1022"/>
      <c r="M312" s="1023">
        <f t="shared" si="45"/>
        <v>0</v>
      </c>
      <c r="N312" s="1024">
        <f>M312*(списки!$C$56-K312)</f>
        <v>0</v>
      </c>
      <c r="O312" s="1025">
        <v>12.6</v>
      </c>
      <c r="P312" s="1025"/>
      <c r="Q312" s="1025">
        <f t="shared" si="46"/>
        <v>0</v>
      </c>
      <c r="R312" s="1025">
        <f>Q312*(списки!$C$56-O312)</f>
        <v>0</v>
      </c>
      <c r="S312" s="1026">
        <v>3.9</v>
      </c>
      <c r="T312" s="1026"/>
      <c r="U312" s="1026">
        <f t="shared" si="53"/>
        <v>28</v>
      </c>
      <c r="V312" s="1026">
        <f>U312*(списки!$C$56-S312)</f>
        <v>450.80000000000007</v>
      </c>
      <c r="W312" s="1027">
        <v>-8.6999999999999993</v>
      </c>
      <c r="X312" s="1027"/>
      <c r="Y312" s="1027">
        <f t="shared" si="47"/>
        <v>31</v>
      </c>
      <c r="Z312" s="1027">
        <f>Y312*(списки!$C$56-W312)</f>
        <v>889.69999999999993</v>
      </c>
      <c r="AA312" s="1028">
        <v>-28.2</v>
      </c>
      <c r="AB312" s="1028"/>
      <c r="AC312" s="1028">
        <f t="shared" si="48"/>
        <v>30</v>
      </c>
      <c r="AD312" s="1028">
        <f>AC312*(списки!$C$56-AA312)</f>
        <v>1446</v>
      </c>
      <c r="AE312" s="1029">
        <v>-38.9</v>
      </c>
      <c r="AF312" s="1029"/>
      <c r="AG312" s="1029">
        <v>31</v>
      </c>
      <c r="AH312" s="1029">
        <f>AG312*(списки!$C$56-AE312)</f>
        <v>1825.8999999999999</v>
      </c>
      <c r="AI312" s="1030">
        <v>-40.5</v>
      </c>
      <c r="AJ312" s="1030"/>
      <c r="AK312" s="1030">
        <v>31</v>
      </c>
      <c r="AL312" s="1030">
        <f>AK312*(списки!$C$56-AI312)</f>
        <v>1875.5</v>
      </c>
      <c r="AM312" s="1031">
        <v>-35.700000000000003</v>
      </c>
      <c r="AN312" s="1031"/>
      <c r="AO312" s="1031">
        <v>28</v>
      </c>
      <c r="AP312" s="1031">
        <f>AO312*(списки!$C$56-AM312)</f>
        <v>1559.6000000000001</v>
      </c>
      <c r="AQ312" s="1026">
        <v>-22.9</v>
      </c>
      <c r="AR312" s="1026"/>
      <c r="AS312" s="1026">
        <f t="shared" si="49"/>
        <v>31</v>
      </c>
      <c r="AT312" s="1026">
        <f>AS312*(списки!$C$56-AQ312)</f>
        <v>1329.8999999999999</v>
      </c>
      <c r="AU312" s="1032">
        <v>-8.3000000000000007</v>
      </c>
      <c r="AV312" s="1032"/>
      <c r="AW312" s="1032">
        <f t="shared" si="50"/>
        <v>30</v>
      </c>
      <c r="AX312" s="1032">
        <f>AW312*(списки!$C$56-AU312)</f>
        <v>849</v>
      </c>
      <c r="AY312" s="1033">
        <v>4.7</v>
      </c>
      <c r="AZ312" s="1033"/>
      <c r="BA312" s="1033">
        <f t="shared" si="51"/>
        <v>28</v>
      </c>
      <c r="BB312" s="1033">
        <f>BA312*(списки!$C$56-AY312)</f>
        <v>428.40000000000003</v>
      </c>
      <c r="BC312" s="1034">
        <v>13.5</v>
      </c>
      <c r="BD312" s="1034"/>
      <c r="BE312" s="1034">
        <f t="shared" si="52"/>
        <v>0</v>
      </c>
      <c r="BF312" s="1035">
        <f>BE312*(списки!$C$56-BC312)</f>
        <v>0</v>
      </c>
      <c r="BG312" s="1424">
        <v>9859.0589285714268</v>
      </c>
      <c r="BH312" s="1424">
        <v>9654.1142857142804</v>
      </c>
    </row>
    <row r="313" spans="2:60" ht="15.75" customHeight="1" x14ac:dyDescent="0.25">
      <c r="B313" s="1014" t="s">
        <v>336</v>
      </c>
      <c r="C313" s="1014" t="s">
        <v>342</v>
      </c>
      <c r="D313" s="1015" t="str">
        <f t="shared" si="54"/>
        <v>Республика Саха (Якутия)Буяга</v>
      </c>
      <c r="E313" s="1016">
        <v>266</v>
      </c>
      <c r="F313" s="1017">
        <v>-18.2</v>
      </c>
      <c r="G313" s="1017">
        <v>-52</v>
      </c>
      <c r="H313" s="1019">
        <f>H311</f>
        <v>3.2</v>
      </c>
      <c r="I313" s="1020">
        <f>E313*(списки!$C$56-F313)</f>
        <v>10161.200000000001</v>
      </c>
      <c r="J313" s="1021" t="str">
        <f t="shared" si="44"/>
        <v>10000-11000</v>
      </c>
      <c r="K313" s="1022">
        <v>16.5</v>
      </c>
      <c r="L313" s="1022"/>
      <c r="M313" s="1023">
        <f t="shared" si="45"/>
        <v>0</v>
      </c>
      <c r="N313" s="1024">
        <f>M313*(списки!$C$56-K313)</f>
        <v>0</v>
      </c>
      <c r="O313" s="1025">
        <v>13</v>
      </c>
      <c r="P313" s="1025"/>
      <c r="Q313" s="1025">
        <f t="shared" si="46"/>
        <v>0</v>
      </c>
      <c r="R313" s="1025">
        <f>Q313*(списки!$C$56-O313)</f>
        <v>0</v>
      </c>
      <c r="S313" s="1026">
        <v>4.7</v>
      </c>
      <c r="T313" s="1026"/>
      <c r="U313" s="1026">
        <f t="shared" si="53"/>
        <v>27</v>
      </c>
      <c r="V313" s="1026">
        <f>U313*(списки!$C$56-S313)</f>
        <v>413.1</v>
      </c>
      <c r="W313" s="1027">
        <v>-7.5</v>
      </c>
      <c r="X313" s="1027"/>
      <c r="Y313" s="1027">
        <f t="shared" si="47"/>
        <v>31</v>
      </c>
      <c r="Z313" s="1027">
        <f>Y313*(списки!$C$56-W313)</f>
        <v>852.5</v>
      </c>
      <c r="AA313" s="1028">
        <v>-26</v>
      </c>
      <c r="AB313" s="1028"/>
      <c r="AC313" s="1028">
        <f t="shared" si="48"/>
        <v>30</v>
      </c>
      <c r="AD313" s="1028">
        <f>AC313*(списки!$C$56-AA313)</f>
        <v>1380</v>
      </c>
      <c r="AE313" s="1029">
        <v>-36.4</v>
      </c>
      <c r="AF313" s="1029"/>
      <c r="AG313" s="1029">
        <v>31</v>
      </c>
      <c r="AH313" s="1029">
        <f>AG313*(списки!$C$56-AE313)</f>
        <v>1748.3999999999999</v>
      </c>
      <c r="AI313" s="1030">
        <v>-37.6</v>
      </c>
      <c r="AJ313" s="1030"/>
      <c r="AK313" s="1030">
        <v>31</v>
      </c>
      <c r="AL313" s="1030">
        <f>AK313*(списки!$C$56-AI313)</f>
        <v>1785.6000000000001</v>
      </c>
      <c r="AM313" s="1031">
        <v>-33.6</v>
      </c>
      <c r="AN313" s="1031"/>
      <c r="AO313" s="1031">
        <v>28</v>
      </c>
      <c r="AP313" s="1031">
        <f>AO313*(списки!$C$56-AM313)</f>
        <v>1500.8</v>
      </c>
      <c r="AQ313" s="1026">
        <v>-21.6</v>
      </c>
      <c r="AR313" s="1026"/>
      <c r="AS313" s="1026">
        <f t="shared" si="49"/>
        <v>31</v>
      </c>
      <c r="AT313" s="1026">
        <f>AS313*(списки!$C$56-AQ313)</f>
        <v>1289.6000000000001</v>
      </c>
      <c r="AU313" s="1032">
        <v>-6.9</v>
      </c>
      <c r="AV313" s="1032"/>
      <c r="AW313" s="1032">
        <f t="shared" si="50"/>
        <v>30</v>
      </c>
      <c r="AX313" s="1032">
        <f>AW313*(списки!$C$56-AU313)</f>
        <v>807</v>
      </c>
      <c r="AY313" s="1033">
        <v>5.0999999999999996</v>
      </c>
      <c r="AZ313" s="1033"/>
      <c r="BA313" s="1033">
        <f t="shared" si="51"/>
        <v>27</v>
      </c>
      <c r="BB313" s="1033">
        <f>BA313*(списки!$C$56-AY313)</f>
        <v>402.3</v>
      </c>
      <c r="BC313" s="1034">
        <v>13.2</v>
      </c>
      <c r="BD313" s="1034"/>
      <c r="BE313" s="1034">
        <f t="shared" si="52"/>
        <v>0</v>
      </c>
      <c r="BF313" s="1035">
        <f>BE313*(списки!$C$56-BC313)</f>
        <v>0</v>
      </c>
      <c r="BG313" s="1424">
        <v>9420.5910714285783</v>
      </c>
      <c r="BH313" s="1424">
        <v>9184.9500000000044</v>
      </c>
    </row>
    <row r="314" spans="2:60" ht="15.75" customHeight="1" x14ac:dyDescent="0.25">
      <c r="B314" s="1038" t="s">
        <v>336</v>
      </c>
      <c r="C314" s="1038" t="s">
        <v>374</v>
      </c>
      <c r="D314" s="1015" t="str">
        <f t="shared" si="54"/>
        <v>Республика Саха (Якутия)Верхоянск</v>
      </c>
      <c r="E314" s="1016">
        <v>272</v>
      </c>
      <c r="F314" s="1017">
        <v>-25</v>
      </c>
      <c r="G314" s="1017">
        <v>-58</v>
      </c>
      <c r="H314" s="1019">
        <v>1.5</v>
      </c>
      <c r="I314" s="1020">
        <f>E314*(списки!$C$56-F314)</f>
        <v>12240</v>
      </c>
      <c r="J314" s="1021" t="str">
        <f t="shared" si="44"/>
        <v>12000-13000</v>
      </c>
      <c r="K314" s="1022">
        <v>16</v>
      </c>
      <c r="L314" s="1022"/>
      <c r="M314" s="1023">
        <f t="shared" si="45"/>
        <v>0</v>
      </c>
      <c r="N314" s="1024">
        <f>M314*(списки!$C$56-K314)</f>
        <v>0</v>
      </c>
      <c r="O314" s="1025">
        <v>11.3</v>
      </c>
      <c r="P314" s="1025"/>
      <c r="Q314" s="1025">
        <f t="shared" si="46"/>
        <v>0</v>
      </c>
      <c r="R314" s="1025">
        <f>Q314*(списки!$C$56-O314)</f>
        <v>0</v>
      </c>
      <c r="S314" s="1026">
        <v>2.5</v>
      </c>
      <c r="T314" s="1026"/>
      <c r="U314" s="1026">
        <f t="shared" si="53"/>
        <v>30</v>
      </c>
      <c r="V314" s="1026">
        <f>U314*(списки!$C$56-S314)</f>
        <v>525</v>
      </c>
      <c r="W314" s="1027">
        <v>-14.6</v>
      </c>
      <c r="X314" s="1027"/>
      <c r="Y314" s="1027">
        <f t="shared" si="47"/>
        <v>31</v>
      </c>
      <c r="Z314" s="1027">
        <f>Y314*(списки!$C$56-W314)</f>
        <v>1072.6000000000001</v>
      </c>
      <c r="AA314" s="1028">
        <v>-35.700000000000003</v>
      </c>
      <c r="AB314" s="1028"/>
      <c r="AC314" s="1028">
        <f t="shared" si="48"/>
        <v>30</v>
      </c>
      <c r="AD314" s="1028">
        <f>AC314*(списки!$C$56-AA314)</f>
        <v>1671</v>
      </c>
      <c r="AE314" s="1029">
        <v>-43.4</v>
      </c>
      <c r="AF314" s="1029"/>
      <c r="AG314" s="1029">
        <v>31</v>
      </c>
      <c r="AH314" s="1029">
        <f>AG314*(списки!$C$56-AE314)</f>
        <v>1965.3999999999999</v>
      </c>
      <c r="AI314" s="1030">
        <v>-46</v>
      </c>
      <c r="AJ314" s="1030"/>
      <c r="AK314" s="1030">
        <v>31</v>
      </c>
      <c r="AL314" s="1030">
        <f>AK314*(списки!$C$56-AI314)</f>
        <v>2046</v>
      </c>
      <c r="AM314" s="1031">
        <v>-42.5</v>
      </c>
      <c r="AN314" s="1031"/>
      <c r="AO314" s="1031">
        <v>28</v>
      </c>
      <c r="AP314" s="1031">
        <f>AO314*(списки!$C$56-AM314)</f>
        <v>1750</v>
      </c>
      <c r="AQ314" s="1026">
        <v>-29.9</v>
      </c>
      <c r="AR314" s="1026"/>
      <c r="AS314" s="1026">
        <f t="shared" si="49"/>
        <v>31</v>
      </c>
      <c r="AT314" s="1026">
        <f>AS314*(списки!$C$56-AQ314)</f>
        <v>1546.8999999999999</v>
      </c>
      <c r="AU314" s="1032">
        <v>-12.5</v>
      </c>
      <c r="AV314" s="1032"/>
      <c r="AW314" s="1032">
        <f t="shared" si="50"/>
        <v>30</v>
      </c>
      <c r="AX314" s="1032">
        <f>AW314*(списки!$C$56-AU314)</f>
        <v>975</v>
      </c>
      <c r="AY314" s="1033">
        <v>3.5</v>
      </c>
      <c r="AZ314" s="1033"/>
      <c r="BA314" s="1033">
        <f t="shared" si="51"/>
        <v>30</v>
      </c>
      <c r="BB314" s="1033">
        <f>BA314*(списки!$C$56-AY314)</f>
        <v>495</v>
      </c>
      <c r="BC314" s="1034">
        <v>13.3</v>
      </c>
      <c r="BD314" s="1034"/>
      <c r="BE314" s="1034">
        <f t="shared" si="52"/>
        <v>0</v>
      </c>
      <c r="BF314" s="1035">
        <f>BE314*(списки!$C$56-BC314)</f>
        <v>0</v>
      </c>
      <c r="BG314" s="1424">
        <v>11158.464285714288</v>
      </c>
      <c r="BH314" s="1424">
        <v>11295.210714285713</v>
      </c>
    </row>
    <row r="315" spans="2:60" ht="15.75" customHeight="1" x14ac:dyDescent="0.25">
      <c r="B315" s="1014" t="s">
        <v>336</v>
      </c>
      <c r="C315" s="1014" t="s">
        <v>375</v>
      </c>
      <c r="D315" s="1015" t="str">
        <f t="shared" si="54"/>
        <v>Республика Саха (Якутия)Вилюйск</v>
      </c>
      <c r="E315" s="1016">
        <v>259</v>
      </c>
      <c r="F315" s="1017">
        <v>-18.8</v>
      </c>
      <c r="G315" s="1017">
        <v>-51</v>
      </c>
      <c r="H315" s="1019">
        <v>2.1</v>
      </c>
      <c r="I315" s="1020">
        <f>E315*(списки!$C$56-F315)</f>
        <v>10049.199999999999</v>
      </c>
      <c r="J315" s="1021" t="str">
        <f t="shared" si="44"/>
        <v>10000-11000</v>
      </c>
      <c r="K315" s="1022">
        <v>18.5</v>
      </c>
      <c r="L315" s="1022"/>
      <c r="M315" s="1023">
        <f t="shared" si="45"/>
        <v>0</v>
      </c>
      <c r="N315" s="1024">
        <f>M315*(списки!$C$56-K315)</f>
        <v>0</v>
      </c>
      <c r="O315" s="1025">
        <v>14.3</v>
      </c>
      <c r="P315" s="1025"/>
      <c r="Q315" s="1025">
        <f t="shared" si="46"/>
        <v>0</v>
      </c>
      <c r="R315" s="1025">
        <f>Q315*(списки!$C$56-O315)</f>
        <v>0</v>
      </c>
      <c r="S315" s="1026">
        <v>5.4</v>
      </c>
      <c r="T315" s="1026"/>
      <c r="U315" s="1026">
        <f t="shared" si="53"/>
        <v>23.5</v>
      </c>
      <c r="V315" s="1026">
        <f>U315*(списки!$C$56-S315)</f>
        <v>343.09999999999997</v>
      </c>
      <c r="W315" s="1027">
        <v>-7.7</v>
      </c>
      <c r="X315" s="1027"/>
      <c r="Y315" s="1027">
        <f t="shared" si="47"/>
        <v>31</v>
      </c>
      <c r="Z315" s="1027">
        <f>Y315*(списки!$C$56-W315)</f>
        <v>858.69999999999993</v>
      </c>
      <c r="AA315" s="1028">
        <v>-26.5</v>
      </c>
      <c r="AB315" s="1028"/>
      <c r="AC315" s="1028">
        <f t="shared" si="48"/>
        <v>30</v>
      </c>
      <c r="AD315" s="1028">
        <f>AC315*(списки!$C$56-AA315)</f>
        <v>1395</v>
      </c>
      <c r="AE315" s="1029">
        <v>-34.6</v>
      </c>
      <c r="AF315" s="1029"/>
      <c r="AG315" s="1029">
        <v>31</v>
      </c>
      <c r="AH315" s="1029">
        <f>AG315*(списки!$C$56-AE315)</f>
        <v>1692.6000000000001</v>
      </c>
      <c r="AI315" s="1030">
        <v>-36.700000000000003</v>
      </c>
      <c r="AJ315" s="1030"/>
      <c r="AK315" s="1030">
        <v>31</v>
      </c>
      <c r="AL315" s="1030">
        <f>AK315*(списки!$C$56-AI315)</f>
        <v>1757.7</v>
      </c>
      <c r="AM315" s="1031">
        <v>-31.7</v>
      </c>
      <c r="AN315" s="1031"/>
      <c r="AO315" s="1031">
        <v>28</v>
      </c>
      <c r="AP315" s="1031">
        <f>AO315*(списки!$C$56-AM315)</f>
        <v>1447.6000000000001</v>
      </c>
      <c r="AQ315" s="1026">
        <v>-19.2</v>
      </c>
      <c r="AR315" s="1026"/>
      <c r="AS315" s="1026">
        <f t="shared" si="49"/>
        <v>31</v>
      </c>
      <c r="AT315" s="1026">
        <f>AS315*(списки!$C$56-AQ315)</f>
        <v>1215.2</v>
      </c>
      <c r="AU315" s="1032">
        <v>-6</v>
      </c>
      <c r="AV315" s="1032"/>
      <c r="AW315" s="1032">
        <f t="shared" si="50"/>
        <v>30</v>
      </c>
      <c r="AX315" s="1032">
        <f>AW315*(списки!$C$56-AU315)</f>
        <v>780</v>
      </c>
      <c r="AY315" s="1033">
        <v>5.6</v>
      </c>
      <c r="AZ315" s="1033"/>
      <c r="BA315" s="1033">
        <f t="shared" si="51"/>
        <v>23.5</v>
      </c>
      <c r="BB315" s="1033">
        <f>BA315*(списки!$C$56-AY315)</f>
        <v>338.40000000000003</v>
      </c>
      <c r="BC315" s="1034">
        <v>15.1</v>
      </c>
      <c r="BD315" s="1034"/>
      <c r="BE315" s="1034">
        <f t="shared" si="52"/>
        <v>0</v>
      </c>
      <c r="BF315" s="1035">
        <f>BE315*(списки!$C$56-BC315)</f>
        <v>0</v>
      </c>
      <c r="BG315" s="1424">
        <v>9286.2803571428522</v>
      </c>
      <c r="BH315" s="1424">
        <v>9252.5166666666701</v>
      </c>
    </row>
    <row r="316" spans="2:60" ht="15.75" customHeight="1" x14ac:dyDescent="0.25">
      <c r="B316" s="1038" t="s">
        <v>336</v>
      </c>
      <c r="C316" s="1038" t="s">
        <v>376</v>
      </c>
      <c r="D316" s="1015" t="str">
        <f t="shared" si="54"/>
        <v>Республика Саха (Якутия)Витим</v>
      </c>
      <c r="E316" s="1016">
        <v>255</v>
      </c>
      <c r="F316" s="1017">
        <v>-13.8</v>
      </c>
      <c r="G316" s="1017">
        <v>-50</v>
      </c>
      <c r="H316" s="1019">
        <v>3.8</v>
      </c>
      <c r="I316" s="1020">
        <f>E316*(списки!$C$56-F316)</f>
        <v>8619</v>
      </c>
      <c r="J316" s="1021" t="str">
        <f t="shared" si="44"/>
        <v>8000-9000</v>
      </c>
      <c r="K316" s="1022">
        <v>18.100000000000001</v>
      </c>
      <c r="L316" s="1022"/>
      <c r="M316" s="1023">
        <f t="shared" si="45"/>
        <v>0</v>
      </c>
      <c r="N316" s="1024">
        <f>M316*(списки!$C$56-K316)</f>
        <v>0</v>
      </c>
      <c r="O316" s="1025">
        <v>14.6</v>
      </c>
      <c r="P316" s="1025"/>
      <c r="Q316" s="1025">
        <f t="shared" si="46"/>
        <v>0</v>
      </c>
      <c r="R316" s="1025">
        <f>Q316*(списки!$C$56-O316)</f>
        <v>0</v>
      </c>
      <c r="S316" s="1026">
        <v>6.4</v>
      </c>
      <c r="T316" s="1026"/>
      <c r="U316" s="1026">
        <f t="shared" si="53"/>
        <v>21.5</v>
      </c>
      <c r="V316" s="1026">
        <f>U316*(списки!$C$56-S316)</f>
        <v>292.39999999999998</v>
      </c>
      <c r="W316" s="1027">
        <v>-3.5</v>
      </c>
      <c r="X316" s="1027"/>
      <c r="Y316" s="1027">
        <f t="shared" si="47"/>
        <v>31</v>
      </c>
      <c r="Z316" s="1027">
        <f>Y316*(списки!$C$56-W316)</f>
        <v>728.5</v>
      </c>
      <c r="AA316" s="1028">
        <v>-17.399999999999999</v>
      </c>
      <c r="AB316" s="1028"/>
      <c r="AC316" s="1028">
        <f t="shared" si="48"/>
        <v>30</v>
      </c>
      <c r="AD316" s="1028">
        <f>AC316*(списки!$C$56-AA316)</f>
        <v>1122</v>
      </c>
      <c r="AE316" s="1029">
        <v>-26.6</v>
      </c>
      <c r="AF316" s="1029"/>
      <c r="AG316" s="1029">
        <v>31</v>
      </c>
      <c r="AH316" s="1029">
        <f>AG316*(списки!$C$56-AE316)</f>
        <v>1444.6000000000001</v>
      </c>
      <c r="AI316" s="1030">
        <v>-28.8</v>
      </c>
      <c r="AJ316" s="1030"/>
      <c r="AK316" s="1030">
        <v>31</v>
      </c>
      <c r="AL316" s="1030">
        <f>AK316*(списки!$C$56-AI316)</f>
        <v>1512.8</v>
      </c>
      <c r="AM316" s="1031">
        <v>-25.6</v>
      </c>
      <c r="AN316" s="1031"/>
      <c r="AO316" s="1031">
        <v>28</v>
      </c>
      <c r="AP316" s="1031">
        <f>AO316*(списки!$C$56-AM316)</f>
        <v>1276.8</v>
      </c>
      <c r="AQ316" s="1026">
        <v>-14.6</v>
      </c>
      <c r="AR316" s="1026"/>
      <c r="AS316" s="1026">
        <f t="shared" si="49"/>
        <v>31</v>
      </c>
      <c r="AT316" s="1026">
        <f>AS316*(списки!$C$56-AQ316)</f>
        <v>1072.6000000000001</v>
      </c>
      <c r="AU316" s="1032">
        <v>-2.9</v>
      </c>
      <c r="AV316" s="1032"/>
      <c r="AW316" s="1032">
        <f t="shared" si="50"/>
        <v>30</v>
      </c>
      <c r="AX316" s="1032">
        <f>AW316*(списки!$C$56-AU316)</f>
        <v>687</v>
      </c>
      <c r="AY316" s="1033">
        <v>6.3</v>
      </c>
      <c r="AZ316" s="1033"/>
      <c r="BA316" s="1033">
        <f t="shared" si="51"/>
        <v>21.5</v>
      </c>
      <c r="BB316" s="1033">
        <f>BA316*(списки!$C$56-AY316)</f>
        <v>294.55</v>
      </c>
      <c r="BC316" s="1034">
        <v>14.8</v>
      </c>
      <c r="BD316" s="1034"/>
      <c r="BE316" s="1034">
        <f t="shared" si="52"/>
        <v>0</v>
      </c>
      <c r="BF316" s="1035">
        <f>BE316*(списки!$C$56-BC316)</f>
        <v>0</v>
      </c>
      <c r="BG316" s="1424">
        <v>8077.3339285714283</v>
      </c>
      <c r="BH316" s="1424">
        <v>8008.4339285714268</v>
      </c>
    </row>
    <row r="317" spans="2:60" ht="15.75" customHeight="1" x14ac:dyDescent="0.25">
      <c r="B317" s="1014" t="s">
        <v>336</v>
      </c>
      <c r="C317" s="1014" t="s">
        <v>377</v>
      </c>
      <c r="D317" s="1015" t="str">
        <f t="shared" si="54"/>
        <v>Республика Саха (Якутия)Воронцово</v>
      </c>
      <c r="E317" s="1016">
        <v>297</v>
      </c>
      <c r="F317" s="1017">
        <v>-19.600000000000001</v>
      </c>
      <c r="G317" s="1017">
        <v>-51</v>
      </c>
      <c r="H317" s="1019">
        <f>H316</f>
        <v>3.8</v>
      </c>
      <c r="I317" s="1020">
        <f>E317*(списки!$C$56-F317)</f>
        <v>11761.2</v>
      </c>
      <c r="J317" s="1021" t="str">
        <f t="shared" si="44"/>
        <v>11000-12000</v>
      </c>
      <c r="K317" s="1022">
        <v>11.9</v>
      </c>
      <c r="L317" s="1022"/>
      <c r="M317" s="1023">
        <f t="shared" si="45"/>
        <v>0</v>
      </c>
      <c r="N317" s="1024">
        <f>M317*(списки!$C$56-K317)</f>
        <v>0</v>
      </c>
      <c r="O317" s="1025">
        <v>8.6999999999999993</v>
      </c>
      <c r="P317" s="1025"/>
      <c r="Q317" s="1025">
        <f t="shared" si="46"/>
        <v>12</v>
      </c>
      <c r="R317" s="1025">
        <f>Q317*(списки!$C$56-O317)</f>
        <v>135.60000000000002</v>
      </c>
      <c r="S317" s="1026">
        <v>1.5</v>
      </c>
      <c r="T317" s="1026"/>
      <c r="U317" s="1026">
        <f t="shared" si="53"/>
        <v>30</v>
      </c>
      <c r="V317" s="1026">
        <f>U317*(списки!$C$56-S317)</f>
        <v>555</v>
      </c>
      <c r="W317" s="1027">
        <v>-13.2</v>
      </c>
      <c r="X317" s="1027"/>
      <c r="Y317" s="1027">
        <f t="shared" si="47"/>
        <v>31</v>
      </c>
      <c r="Z317" s="1027">
        <f>Y317*(списки!$C$56-W317)</f>
        <v>1029.2</v>
      </c>
      <c r="AA317" s="1028">
        <v>-29.7</v>
      </c>
      <c r="AB317" s="1028"/>
      <c r="AC317" s="1028">
        <f t="shared" si="48"/>
        <v>30</v>
      </c>
      <c r="AD317" s="1028">
        <f>AC317*(списки!$C$56-AA317)</f>
        <v>1491</v>
      </c>
      <c r="AE317" s="1029">
        <v>-35.9</v>
      </c>
      <c r="AF317" s="1029"/>
      <c r="AG317" s="1029">
        <v>31</v>
      </c>
      <c r="AH317" s="1029">
        <f>AG317*(списки!$C$56-AE317)</f>
        <v>1732.8999999999999</v>
      </c>
      <c r="AI317" s="1030">
        <v>-37.9</v>
      </c>
      <c r="AJ317" s="1030"/>
      <c r="AK317" s="1030">
        <v>31</v>
      </c>
      <c r="AL317" s="1030">
        <f>AK317*(списки!$C$56-AI317)</f>
        <v>1794.8999999999999</v>
      </c>
      <c r="AM317" s="1031">
        <v>-36.200000000000003</v>
      </c>
      <c r="AN317" s="1031"/>
      <c r="AO317" s="1031">
        <v>28</v>
      </c>
      <c r="AP317" s="1031">
        <f>AO317*(списки!$C$56-AM317)</f>
        <v>1573.6000000000001</v>
      </c>
      <c r="AQ317" s="1026">
        <v>-28.8</v>
      </c>
      <c r="AR317" s="1026"/>
      <c r="AS317" s="1026">
        <f t="shared" si="49"/>
        <v>31</v>
      </c>
      <c r="AT317" s="1026">
        <f>AS317*(списки!$C$56-AQ317)</f>
        <v>1512.8</v>
      </c>
      <c r="AU317" s="1032">
        <v>-16.8</v>
      </c>
      <c r="AV317" s="1032"/>
      <c r="AW317" s="1032">
        <f t="shared" si="50"/>
        <v>30</v>
      </c>
      <c r="AX317" s="1032">
        <f>AW317*(списки!$C$56-AU317)</f>
        <v>1104</v>
      </c>
      <c r="AY317" s="1033">
        <v>-2.6</v>
      </c>
      <c r="AZ317" s="1033"/>
      <c r="BA317" s="1033">
        <f t="shared" si="51"/>
        <v>31</v>
      </c>
      <c r="BB317" s="1033">
        <f>BA317*(списки!$C$56-AY317)</f>
        <v>700.6</v>
      </c>
      <c r="BC317" s="1034">
        <v>9.3000000000000007</v>
      </c>
      <c r="BD317" s="1034"/>
      <c r="BE317" s="1034">
        <f t="shared" si="52"/>
        <v>12</v>
      </c>
      <c r="BF317" s="1035">
        <f>BE317*(списки!$C$56-BC317)</f>
        <v>128.39999999999998</v>
      </c>
      <c r="BG317" s="1424" t="e">
        <v>#N/A</v>
      </c>
      <c r="BH317" s="1424" t="e">
        <v>#N/A</v>
      </c>
    </row>
    <row r="318" spans="2:60" ht="15.75" customHeight="1" x14ac:dyDescent="0.25">
      <c r="B318" s="1038" t="s">
        <v>336</v>
      </c>
      <c r="C318" s="1038" t="s">
        <v>346</v>
      </c>
      <c r="D318" s="1015" t="str">
        <f t="shared" si="54"/>
        <v>Республика Саха (Якутия)Джалинда</v>
      </c>
      <c r="E318" s="1016">
        <v>296</v>
      </c>
      <c r="F318" s="1017">
        <v>-19.5</v>
      </c>
      <c r="G318" s="1017">
        <v>-56</v>
      </c>
      <c r="H318" s="1019">
        <f>H317</f>
        <v>3.8</v>
      </c>
      <c r="I318" s="1020">
        <f>E318*(списки!$C$56-F318)</f>
        <v>11692</v>
      </c>
      <c r="J318" s="1021" t="str">
        <f t="shared" si="44"/>
        <v>11000-12000</v>
      </c>
      <c r="K318" s="1022">
        <v>13.7</v>
      </c>
      <c r="L318" s="1022"/>
      <c r="M318" s="1023">
        <f t="shared" si="45"/>
        <v>0</v>
      </c>
      <c r="N318" s="1024">
        <f>M318*(списки!$C$56-K318)</f>
        <v>0</v>
      </c>
      <c r="O318" s="1025">
        <v>9.3000000000000007</v>
      </c>
      <c r="P318" s="1025"/>
      <c r="Q318" s="1025">
        <f t="shared" si="46"/>
        <v>11.5</v>
      </c>
      <c r="R318" s="1025">
        <f>Q318*(списки!$C$56-O318)</f>
        <v>123.05</v>
      </c>
      <c r="S318" s="1026">
        <v>1.6</v>
      </c>
      <c r="T318" s="1026"/>
      <c r="U318" s="1026">
        <f t="shared" si="53"/>
        <v>30</v>
      </c>
      <c r="V318" s="1026">
        <f>U318*(списки!$C$56-S318)</f>
        <v>552</v>
      </c>
      <c r="W318" s="1027">
        <v>-12.7</v>
      </c>
      <c r="X318" s="1027"/>
      <c r="Y318" s="1027">
        <f t="shared" si="47"/>
        <v>31</v>
      </c>
      <c r="Z318" s="1027">
        <f>Y318*(списки!$C$56-W318)</f>
        <v>1013.7</v>
      </c>
      <c r="AA318" s="1028">
        <v>-31</v>
      </c>
      <c r="AB318" s="1028"/>
      <c r="AC318" s="1028">
        <f t="shared" si="48"/>
        <v>30</v>
      </c>
      <c r="AD318" s="1028">
        <f>AC318*(списки!$C$56-AA318)</f>
        <v>1530</v>
      </c>
      <c r="AE318" s="1029">
        <v>-35.4</v>
      </c>
      <c r="AF318" s="1029"/>
      <c r="AG318" s="1029">
        <v>31</v>
      </c>
      <c r="AH318" s="1029">
        <f>AG318*(списки!$C$56-AE318)</f>
        <v>1717.3999999999999</v>
      </c>
      <c r="AI318" s="1030">
        <v>-39.4</v>
      </c>
      <c r="AJ318" s="1030"/>
      <c r="AK318" s="1030">
        <v>31</v>
      </c>
      <c r="AL318" s="1030">
        <f>AK318*(списки!$C$56-AI318)</f>
        <v>1841.3999999999999</v>
      </c>
      <c r="AM318" s="1031">
        <v>-35.9</v>
      </c>
      <c r="AN318" s="1031"/>
      <c r="AO318" s="1031">
        <v>28</v>
      </c>
      <c r="AP318" s="1031">
        <f>AO318*(списки!$C$56-AM318)</f>
        <v>1565.2</v>
      </c>
      <c r="AQ318" s="1026">
        <v>-27.2</v>
      </c>
      <c r="AR318" s="1026"/>
      <c r="AS318" s="1026">
        <f t="shared" si="49"/>
        <v>31</v>
      </c>
      <c r="AT318" s="1026">
        <f>AS318*(списки!$C$56-AQ318)</f>
        <v>1463.2</v>
      </c>
      <c r="AU318" s="1032">
        <v>-14.8</v>
      </c>
      <c r="AV318" s="1032"/>
      <c r="AW318" s="1032">
        <f t="shared" si="50"/>
        <v>30</v>
      </c>
      <c r="AX318" s="1032">
        <f>AW318*(списки!$C$56-AU318)</f>
        <v>1044</v>
      </c>
      <c r="AY318" s="1033">
        <v>-3</v>
      </c>
      <c r="AZ318" s="1033"/>
      <c r="BA318" s="1033">
        <f t="shared" si="51"/>
        <v>31</v>
      </c>
      <c r="BB318" s="1033">
        <f>BA318*(списки!$C$56-AY318)</f>
        <v>713</v>
      </c>
      <c r="BC318" s="1034">
        <v>8.8000000000000007</v>
      </c>
      <c r="BD318" s="1034"/>
      <c r="BE318" s="1034">
        <f t="shared" si="52"/>
        <v>11.5</v>
      </c>
      <c r="BF318" s="1035">
        <f>BE318*(списки!$C$56-BC318)</f>
        <v>128.79999999999998</v>
      </c>
      <c r="BG318" s="1424">
        <v>7711.353571428569</v>
      </c>
      <c r="BH318" s="1424">
        <v>7198</v>
      </c>
    </row>
    <row r="319" spans="2:60" ht="15.75" customHeight="1" x14ac:dyDescent="0.25">
      <c r="B319" s="1014" t="s">
        <v>336</v>
      </c>
      <c r="C319" s="1014" t="s">
        <v>347</v>
      </c>
      <c r="D319" s="1015" t="str">
        <f t="shared" si="54"/>
        <v>Республика Саха (Якутия)Джарджан</v>
      </c>
      <c r="E319" s="1016">
        <v>283</v>
      </c>
      <c r="F319" s="1017">
        <v>-19.8</v>
      </c>
      <c r="G319" s="1017">
        <v>-54</v>
      </c>
      <c r="H319" s="1019">
        <v>4.9000000000000004</v>
      </c>
      <c r="I319" s="1020">
        <f>E319*(списки!$C$56-F319)</f>
        <v>11263.4</v>
      </c>
      <c r="J319" s="1021" t="str">
        <f t="shared" si="44"/>
        <v>11000-12000</v>
      </c>
      <c r="K319" s="1022">
        <v>15</v>
      </c>
      <c r="L319" s="1022"/>
      <c r="M319" s="1023">
        <f t="shared" si="45"/>
        <v>0</v>
      </c>
      <c r="N319" s="1024">
        <f>M319*(списки!$C$56-K319)</f>
        <v>0</v>
      </c>
      <c r="O319" s="1025">
        <v>11</v>
      </c>
      <c r="P319" s="1025"/>
      <c r="Q319" s="1025">
        <f t="shared" si="46"/>
        <v>5</v>
      </c>
      <c r="R319" s="1025">
        <f>Q319*(списки!$C$56-O319)</f>
        <v>45</v>
      </c>
      <c r="S319" s="1026">
        <v>2.8</v>
      </c>
      <c r="T319" s="1026"/>
      <c r="U319" s="1026">
        <f t="shared" si="53"/>
        <v>30</v>
      </c>
      <c r="V319" s="1026">
        <f>U319*(списки!$C$56-S319)</f>
        <v>516</v>
      </c>
      <c r="W319" s="1027">
        <v>-11.6</v>
      </c>
      <c r="X319" s="1027"/>
      <c r="Y319" s="1027">
        <f t="shared" si="47"/>
        <v>31</v>
      </c>
      <c r="Z319" s="1027">
        <f>Y319*(списки!$C$56-W319)</f>
        <v>979.6</v>
      </c>
      <c r="AA319" s="1028">
        <v>-29.9</v>
      </c>
      <c r="AB319" s="1028"/>
      <c r="AC319" s="1028">
        <f t="shared" si="48"/>
        <v>30</v>
      </c>
      <c r="AD319" s="1028">
        <f>AC319*(списки!$C$56-AA319)</f>
        <v>1497</v>
      </c>
      <c r="AE319" s="1029">
        <v>-35.700000000000003</v>
      </c>
      <c r="AF319" s="1029"/>
      <c r="AG319" s="1029">
        <v>31</v>
      </c>
      <c r="AH319" s="1029">
        <f>AG319*(списки!$C$56-AE319)</f>
        <v>1726.7</v>
      </c>
      <c r="AI319" s="1030">
        <v>-38</v>
      </c>
      <c r="AJ319" s="1030"/>
      <c r="AK319" s="1030">
        <v>31</v>
      </c>
      <c r="AL319" s="1030">
        <f>AK319*(списки!$C$56-AI319)</f>
        <v>1798</v>
      </c>
      <c r="AM319" s="1031">
        <v>-34.4</v>
      </c>
      <c r="AN319" s="1031"/>
      <c r="AO319" s="1031">
        <v>28</v>
      </c>
      <c r="AP319" s="1031">
        <f>AO319*(списки!$C$56-AM319)</f>
        <v>1523.2</v>
      </c>
      <c r="AQ319" s="1026">
        <v>-23.9</v>
      </c>
      <c r="AR319" s="1026"/>
      <c r="AS319" s="1026">
        <f t="shared" si="49"/>
        <v>31</v>
      </c>
      <c r="AT319" s="1026">
        <f>AS319*(списки!$C$56-AQ319)</f>
        <v>1360.8999999999999</v>
      </c>
      <c r="AU319" s="1032">
        <v>-11.9</v>
      </c>
      <c r="AV319" s="1032"/>
      <c r="AW319" s="1032">
        <f t="shared" si="50"/>
        <v>30</v>
      </c>
      <c r="AX319" s="1032">
        <f>AW319*(списки!$C$56-AU319)</f>
        <v>957</v>
      </c>
      <c r="AY319" s="1033">
        <v>0.1</v>
      </c>
      <c r="AZ319" s="1033"/>
      <c r="BA319" s="1033">
        <f t="shared" si="51"/>
        <v>31</v>
      </c>
      <c r="BB319" s="1033">
        <f>BA319*(списки!$C$56-AY319)</f>
        <v>616.9</v>
      </c>
      <c r="BC319" s="1034">
        <v>10.8</v>
      </c>
      <c r="BD319" s="1034"/>
      <c r="BE319" s="1034">
        <f t="shared" si="52"/>
        <v>5</v>
      </c>
      <c r="BF319" s="1035">
        <f>BE319*(списки!$C$56-BC319)</f>
        <v>46</v>
      </c>
      <c r="BG319" s="1424" t="e">
        <v>#N/A</v>
      </c>
      <c r="BH319" s="1424" t="e">
        <v>#N/A</v>
      </c>
    </row>
    <row r="320" spans="2:60" ht="15.75" customHeight="1" x14ac:dyDescent="0.25">
      <c r="B320" s="1038" t="s">
        <v>336</v>
      </c>
      <c r="C320" s="1038" t="s">
        <v>348</v>
      </c>
      <c r="D320" s="1015" t="str">
        <f t="shared" si="54"/>
        <v>Республика Саха (Якутия)Джикимда</v>
      </c>
      <c r="E320" s="1016">
        <v>256</v>
      </c>
      <c r="F320" s="1017">
        <v>-16.600000000000001</v>
      </c>
      <c r="G320" s="1017">
        <v>-51</v>
      </c>
      <c r="H320" s="1019">
        <v>1.7</v>
      </c>
      <c r="I320" s="1020">
        <f>E320*(списки!$C$56-F320)</f>
        <v>9369.6</v>
      </c>
      <c r="J320" s="1021" t="str">
        <f t="shared" si="44"/>
        <v>9000-10000</v>
      </c>
      <c r="K320" s="1022">
        <v>17.600000000000001</v>
      </c>
      <c r="L320" s="1022"/>
      <c r="M320" s="1023">
        <f t="shared" si="45"/>
        <v>0</v>
      </c>
      <c r="N320" s="1024">
        <f>M320*(списки!$C$56-K320)</f>
        <v>0</v>
      </c>
      <c r="O320" s="1025">
        <v>13.9</v>
      </c>
      <c r="P320" s="1025"/>
      <c r="Q320" s="1025">
        <f t="shared" si="46"/>
        <v>0</v>
      </c>
      <c r="R320" s="1025">
        <f>Q320*(списки!$C$56-O320)</f>
        <v>0</v>
      </c>
      <c r="S320" s="1026">
        <v>5.8</v>
      </c>
      <c r="T320" s="1026"/>
      <c r="U320" s="1026">
        <f t="shared" si="53"/>
        <v>22</v>
      </c>
      <c r="V320" s="1026">
        <f>U320*(списки!$C$56-S320)</f>
        <v>312.39999999999998</v>
      </c>
      <c r="W320" s="1027">
        <v>-5.3</v>
      </c>
      <c r="X320" s="1027"/>
      <c r="Y320" s="1027">
        <f t="shared" si="47"/>
        <v>31</v>
      </c>
      <c r="Z320" s="1027">
        <f>Y320*(списки!$C$56-W320)</f>
        <v>784.30000000000007</v>
      </c>
      <c r="AA320" s="1028">
        <v>-22.1</v>
      </c>
      <c r="AB320" s="1028"/>
      <c r="AC320" s="1028">
        <f t="shared" si="48"/>
        <v>30</v>
      </c>
      <c r="AD320" s="1028">
        <f>AC320*(списки!$C$56-AA320)</f>
        <v>1263</v>
      </c>
      <c r="AE320" s="1029">
        <v>-31.8</v>
      </c>
      <c r="AF320" s="1029"/>
      <c r="AG320" s="1029">
        <v>31</v>
      </c>
      <c r="AH320" s="1029">
        <f>AG320*(списки!$C$56-AE320)</f>
        <v>1605.8</v>
      </c>
      <c r="AI320" s="1030">
        <v>-33.9</v>
      </c>
      <c r="AJ320" s="1030"/>
      <c r="AK320" s="1030">
        <v>31</v>
      </c>
      <c r="AL320" s="1030">
        <f>AK320*(списки!$C$56-AI320)</f>
        <v>1670.8999999999999</v>
      </c>
      <c r="AM320" s="1031">
        <v>-29.6</v>
      </c>
      <c r="AN320" s="1031"/>
      <c r="AO320" s="1031">
        <v>28</v>
      </c>
      <c r="AP320" s="1031">
        <f>AO320*(списки!$C$56-AM320)</f>
        <v>1388.8</v>
      </c>
      <c r="AQ320" s="1026">
        <v>-17.399999999999999</v>
      </c>
      <c r="AR320" s="1026"/>
      <c r="AS320" s="1026">
        <f t="shared" si="49"/>
        <v>31</v>
      </c>
      <c r="AT320" s="1026">
        <f>AS320*(списки!$C$56-AQ320)</f>
        <v>1159.3999999999999</v>
      </c>
      <c r="AU320" s="1032">
        <v>-3.4</v>
      </c>
      <c r="AV320" s="1032"/>
      <c r="AW320" s="1032">
        <f t="shared" si="50"/>
        <v>30</v>
      </c>
      <c r="AX320" s="1032">
        <f>AW320*(списки!$C$56-AU320)</f>
        <v>702</v>
      </c>
      <c r="AY320" s="1033">
        <v>6.8</v>
      </c>
      <c r="AZ320" s="1033"/>
      <c r="BA320" s="1033">
        <f t="shared" si="51"/>
        <v>22</v>
      </c>
      <c r="BB320" s="1033">
        <f>BA320*(списки!$C$56-AY320)</f>
        <v>290.39999999999998</v>
      </c>
      <c r="BC320" s="1034">
        <v>14.7</v>
      </c>
      <c r="BD320" s="1034"/>
      <c r="BE320" s="1034">
        <f t="shared" si="52"/>
        <v>0</v>
      </c>
      <c r="BF320" s="1035">
        <f>BE320*(списки!$C$56-BC320)</f>
        <v>0</v>
      </c>
      <c r="BG320" s="1424">
        <v>8746.9428571428562</v>
      </c>
      <c r="BH320" s="1424">
        <v>8652.0285714285692</v>
      </c>
    </row>
    <row r="321" spans="2:60" ht="15.75" customHeight="1" x14ac:dyDescent="0.25">
      <c r="B321" s="1014" t="s">
        <v>336</v>
      </c>
      <c r="C321" s="1014" t="s">
        <v>345</v>
      </c>
      <c r="D321" s="1015" t="str">
        <f t="shared" si="54"/>
        <v>Республика Саха (Якутия)Дружина</v>
      </c>
      <c r="E321" s="1016">
        <v>284</v>
      </c>
      <c r="F321" s="1017">
        <v>-20.2</v>
      </c>
      <c r="G321" s="1017">
        <v>-52</v>
      </c>
      <c r="H321" s="1019">
        <v>2.8</v>
      </c>
      <c r="I321" s="1020">
        <f>E321*(списки!$C$56-F321)</f>
        <v>11416.800000000001</v>
      </c>
      <c r="J321" s="1021" t="str">
        <f t="shared" si="44"/>
        <v>11000-12000</v>
      </c>
      <c r="K321" s="1022">
        <v>13.7</v>
      </c>
      <c r="L321" s="1022"/>
      <c r="M321" s="1023">
        <f t="shared" si="45"/>
        <v>0</v>
      </c>
      <c r="N321" s="1024">
        <f>M321*(списки!$C$56-K321)</f>
        <v>0</v>
      </c>
      <c r="O321" s="1025">
        <v>10.5</v>
      </c>
      <c r="P321" s="1025"/>
      <c r="Q321" s="1025">
        <f t="shared" si="46"/>
        <v>5.5</v>
      </c>
      <c r="R321" s="1025">
        <f>Q321*(списки!$C$56-O321)</f>
        <v>52.25</v>
      </c>
      <c r="S321" s="1026">
        <v>2.9</v>
      </c>
      <c r="T321" s="1026"/>
      <c r="U321" s="1026">
        <f t="shared" si="53"/>
        <v>30</v>
      </c>
      <c r="V321" s="1026">
        <f>U321*(списки!$C$56-S321)</f>
        <v>513</v>
      </c>
      <c r="W321" s="1027">
        <v>-12.4</v>
      </c>
      <c r="X321" s="1027"/>
      <c r="Y321" s="1027">
        <f t="shared" si="47"/>
        <v>31</v>
      </c>
      <c r="Z321" s="1027">
        <f>Y321*(списки!$C$56-W321)</f>
        <v>1004.4</v>
      </c>
      <c r="AA321" s="1028">
        <v>-29.6</v>
      </c>
      <c r="AB321" s="1028"/>
      <c r="AC321" s="1028">
        <f t="shared" si="48"/>
        <v>30</v>
      </c>
      <c r="AD321" s="1028">
        <f>AC321*(списки!$C$56-AA321)</f>
        <v>1488</v>
      </c>
      <c r="AE321" s="1029">
        <v>-37</v>
      </c>
      <c r="AF321" s="1029"/>
      <c r="AG321" s="1029">
        <v>31</v>
      </c>
      <c r="AH321" s="1029">
        <f>AG321*(списки!$C$56-AE321)</f>
        <v>1767</v>
      </c>
      <c r="AI321" s="1030">
        <v>-39.4</v>
      </c>
      <c r="AJ321" s="1030"/>
      <c r="AK321" s="1030">
        <v>31</v>
      </c>
      <c r="AL321" s="1030">
        <f>AK321*(списки!$C$56-AI321)</f>
        <v>1841.3999999999999</v>
      </c>
      <c r="AM321" s="1031">
        <v>-37</v>
      </c>
      <c r="AN321" s="1031"/>
      <c r="AO321" s="1031">
        <v>28</v>
      </c>
      <c r="AP321" s="1031">
        <f>AO321*(списки!$C$56-AM321)</f>
        <v>1596</v>
      </c>
      <c r="AQ321" s="1026">
        <v>-28</v>
      </c>
      <c r="AR321" s="1026"/>
      <c r="AS321" s="1026">
        <f t="shared" si="49"/>
        <v>31</v>
      </c>
      <c r="AT321" s="1026">
        <f>AS321*(списки!$C$56-AQ321)</f>
        <v>1488</v>
      </c>
      <c r="AU321" s="1032">
        <v>-14.5</v>
      </c>
      <c r="AV321" s="1032"/>
      <c r="AW321" s="1032">
        <f t="shared" si="50"/>
        <v>30</v>
      </c>
      <c r="AX321" s="1032">
        <f>AW321*(списки!$C$56-AU321)</f>
        <v>1035</v>
      </c>
      <c r="AY321" s="1033">
        <v>0.4</v>
      </c>
      <c r="AZ321" s="1033"/>
      <c r="BA321" s="1033">
        <f t="shared" si="51"/>
        <v>31</v>
      </c>
      <c r="BB321" s="1033">
        <f>BA321*(списки!$C$56-AY321)</f>
        <v>607.6</v>
      </c>
      <c r="BC321" s="1034">
        <v>11.5</v>
      </c>
      <c r="BD321" s="1034"/>
      <c r="BE321" s="1034">
        <f t="shared" si="52"/>
        <v>5.5</v>
      </c>
      <c r="BF321" s="1035">
        <f>BE321*(списки!$C$56-BC321)</f>
        <v>46.75</v>
      </c>
      <c r="BG321" s="1424" t="e">
        <v>#N/A</v>
      </c>
      <c r="BH321" s="1424" t="e">
        <v>#N/A</v>
      </c>
    </row>
    <row r="322" spans="2:60" ht="15.75" customHeight="1" x14ac:dyDescent="0.25">
      <c r="B322" s="1038" t="s">
        <v>336</v>
      </c>
      <c r="C322" s="1038" t="s">
        <v>349</v>
      </c>
      <c r="D322" s="1015" t="str">
        <f t="shared" si="54"/>
        <v>Республика Саха (Якутия)Екючю</v>
      </c>
      <c r="E322" s="1016">
        <v>281</v>
      </c>
      <c r="F322" s="1017">
        <v>-23</v>
      </c>
      <c r="G322" s="1017">
        <v>-58</v>
      </c>
      <c r="H322" s="1019">
        <f>H321</f>
        <v>2.8</v>
      </c>
      <c r="I322" s="1020">
        <f>E322*(списки!$C$56-F322)</f>
        <v>12083</v>
      </c>
      <c r="J322" s="1021" t="str">
        <f t="shared" si="44"/>
        <v>12000-13000</v>
      </c>
      <c r="K322" s="1022">
        <v>14.6</v>
      </c>
      <c r="L322" s="1022"/>
      <c r="M322" s="1023">
        <f t="shared" si="45"/>
        <v>0</v>
      </c>
      <c r="N322" s="1024">
        <f>M322*(списки!$C$56-K322)</f>
        <v>0</v>
      </c>
      <c r="O322" s="1025">
        <v>10.5</v>
      </c>
      <c r="P322" s="1025"/>
      <c r="Q322" s="1025">
        <f t="shared" si="46"/>
        <v>4</v>
      </c>
      <c r="R322" s="1025">
        <f>Q322*(списки!$C$56-O322)</f>
        <v>38</v>
      </c>
      <c r="S322" s="1026">
        <v>2.1</v>
      </c>
      <c r="T322" s="1026"/>
      <c r="U322" s="1026">
        <f t="shared" si="53"/>
        <v>30</v>
      </c>
      <c r="V322" s="1026">
        <f>U322*(списки!$C$56-S322)</f>
        <v>537</v>
      </c>
      <c r="W322" s="1027">
        <v>-13.9</v>
      </c>
      <c r="X322" s="1027"/>
      <c r="Y322" s="1027">
        <f t="shared" si="47"/>
        <v>31</v>
      </c>
      <c r="Z322" s="1027">
        <f>Y322*(списки!$C$56-W322)</f>
        <v>1050.8999999999999</v>
      </c>
      <c r="AA322" s="1028">
        <v>-35.5</v>
      </c>
      <c r="AB322" s="1028"/>
      <c r="AC322" s="1028">
        <f t="shared" si="48"/>
        <v>30</v>
      </c>
      <c r="AD322" s="1028">
        <f>AC322*(списки!$C$56-AA322)</f>
        <v>1665</v>
      </c>
      <c r="AE322" s="1029">
        <v>-43.2</v>
      </c>
      <c r="AF322" s="1029"/>
      <c r="AG322" s="1029">
        <v>31</v>
      </c>
      <c r="AH322" s="1029">
        <f>AG322*(списки!$C$56-AE322)</f>
        <v>1959.2</v>
      </c>
      <c r="AI322" s="1030">
        <v>-45.9</v>
      </c>
      <c r="AJ322" s="1030"/>
      <c r="AK322" s="1030">
        <v>31</v>
      </c>
      <c r="AL322" s="1030">
        <f>AK322*(списки!$C$56-AI322)</f>
        <v>2042.9</v>
      </c>
      <c r="AM322" s="1031">
        <v>-41.8</v>
      </c>
      <c r="AN322" s="1031"/>
      <c r="AO322" s="1031">
        <v>28</v>
      </c>
      <c r="AP322" s="1031">
        <f>AO322*(списки!$C$56-AM322)</f>
        <v>1730.3999999999999</v>
      </c>
      <c r="AQ322" s="1026">
        <v>-29.2</v>
      </c>
      <c r="AR322" s="1026"/>
      <c r="AS322" s="1026">
        <f t="shared" si="49"/>
        <v>31</v>
      </c>
      <c r="AT322" s="1026">
        <f>AS322*(списки!$C$56-AQ322)</f>
        <v>1525.2</v>
      </c>
      <c r="AU322" s="1032">
        <v>-13.1</v>
      </c>
      <c r="AV322" s="1032"/>
      <c r="AW322" s="1032">
        <f t="shared" si="50"/>
        <v>30</v>
      </c>
      <c r="AX322" s="1032">
        <f>AW322*(списки!$C$56-AU322)</f>
        <v>993</v>
      </c>
      <c r="AY322" s="1033">
        <v>2.2000000000000002</v>
      </c>
      <c r="AZ322" s="1033"/>
      <c r="BA322" s="1033">
        <f t="shared" si="51"/>
        <v>31</v>
      </c>
      <c r="BB322" s="1033">
        <f>BA322*(списки!$C$56-AY322)</f>
        <v>551.80000000000007</v>
      </c>
      <c r="BC322" s="1034">
        <v>12.5</v>
      </c>
      <c r="BD322" s="1034"/>
      <c r="BE322" s="1034">
        <f t="shared" si="52"/>
        <v>4</v>
      </c>
      <c r="BF322" s="1035">
        <f>BE322*(списки!$C$56-BC322)</f>
        <v>30</v>
      </c>
      <c r="BG322" s="1424" t="e">
        <v>#N/A</v>
      </c>
      <c r="BH322" s="1424" t="e">
        <v>#N/A</v>
      </c>
    </row>
    <row r="323" spans="2:60" ht="15.75" customHeight="1" x14ac:dyDescent="0.25">
      <c r="B323" s="1014" t="s">
        <v>336</v>
      </c>
      <c r="C323" s="1014" t="s">
        <v>379</v>
      </c>
      <c r="D323" s="1015" t="str">
        <f t="shared" si="54"/>
        <v>Республика Саха (Якутия)Жиганск</v>
      </c>
      <c r="E323" s="1016">
        <v>275</v>
      </c>
      <c r="F323" s="1017">
        <v>-20</v>
      </c>
      <c r="G323" s="1017">
        <v>-52</v>
      </c>
      <c r="H323" s="1019">
        <v>4.0999999999999996</v>
      </c>
      <c r="I323" s="1020">
        <f>E323*(списки!$C$56-F323)</f>
        <v>11000</v>
      </c>
      <c r="J323" s="1021" t="str">
        <f t="shared" si="44"/>
        <v>11000-11000</v>
      </c>
      <c r="K323" s="1022">
        <v>16.2</v>
      </c>
      <c r="L323" s="1022"/>
      <c r="M323" s="1023">
        <f t="shared" si="45"/>
        <v>0</v>
      </c>
      <c r="N323" s="1024">
        <f>M323*(списки!$C$56-K323)</f>
        <v>0</v>
      </c>
      <c r="O323" s="1025">
        <v>12</v>
      </c>
      <c r="P323" s="1025"/>
      <c r="Q323" s="1025">
        <f t="shared" si="46"/>
        <v>1</v>
      </c>
      <c r="R323" s="1025">
        <f>Q323*(списки!$C$56-O323)</f>
        <v>8</v>
      </c>
      <c r="S323" s="1026">
        <v>3.5</v>
      </c>
      <c r="T323" s="1026"/>
      <c r="U323" s="1026">
        <f t="shared" si="53"/>
        <v>30</v>
      </c>
      <c r="V323" s="1026">
        <f>U323*(списки!$C$56-S323)</f>
        <v>495</v>
      </c>
      <c r="W323" s="1027">
        <v>-10.7</v>
      </c>
      <c r="X323" s="1027"/>
      <c r="Y323" s="1027">
        <f t="shared" si="47"/>
        <v>31</v>
      </c>
      <c r="Z323" s="1027">
        <f>Y323*(списки!$C$56-W323)</f>
        <v>951.69999999999993</v>
      </c>
      <c r="AA323" s="1028">
        <v>-29.4</v>
      </c>
      <c r="AB323" s="1028"/>
      <c r="AC323" s="1028">
        <f t="shared" si="48"/>
        <v>30</v>
      </c>
      <c r="AD323" s="1028">
        <f>AC323*(списки!$C$56-AA323)</f>
        <v>1482</v>
      </c>
      <c r="AE323" s="1029">
        <v>-36.4</v>
      </c>
      <c r="AF323" s="1029"/>
      <c r="AG323" s="1029">
        <v>31</v>
      </c>
      <c r="AH323" s="1029">
        <f>AG323*(списки!$C$56-AE323)</f>
        <v>1748.3999999999999</v>
      </c>
      <c r="AI323" s="1030">
        <v>-38.5</v>
      </c>
      <c r="AJ323" s="1030"/>
      <c r="AK323" s="1030">
        <v>31</v>
      </c>
      <c r="AL323" s="1030">
        <f>AK323*(списки!$C$56-AI323)</f>
        <v>1813.5</v>
      </c>
      <c r="AM323" s="1031">
        <v>-34.4</v>
      </c>
      <c r="AN323" s="1031"/>
      <c r="AO323" s="1031">
        <v>28</v>
      </c>
      <c r="AP323" s="1031">
        <f>AO323*(списки!$C$56-AM323)</f>
        <v>1523.2</v>
      </c>
      <c r="AQ323" s="1026">
        <v>-22.8</v>
      </c>
      <c r="AR323" s="1026"/>
      <c r="AS323" s="1026">
        <f t="shared" si="49"/>
        <v>31</v>
      </c>
      <c r="AT323" s="1026">
        <f>AS323*(списки!$C$56-AQ323)</f>
        <v>1326.8</v>
      </c>
      <c r="AU323" s="1032">
        <v>-10.3</v>
      </c>
      <c r="AV323" s="1032"/>
      <c r="AW323" s="1032">
        <f t="shared" si="50"/>
        <v>30</v>
      </c>
      <c r="AX323" s="1032">
        <f>AW323*(списки!$C$56-AU323)</f>
        <v>909</v>
      </c>
      <c r="AY323" s="1033">
        <v>1.7</v>
      </c>
      <c r="AZ323" s="1033"/>
      <c r="BA323" s="1033">
        <f t="shared" si="51"/>
        <v>31</v>
      </c>
      <c r="BB323" s="1033">
        <f>BA323*(списки!$C$56-AY323)</f>
        <v>567.30000000000007</v>
      </c>
      <c r="BC323" s="1034">
        <v>12.2</v>
      </c>
      <c r="BD323" s="1034"/>
      <c r="BE323" s="1034">
        <f t="shared" si="52"/>
        <v>1</v>
      </c>
      <c r="BF323" s="1035">
        <f>BE323*(списки!$C$56-BC323)</f>
        <v>7.8000000000000007</v>
      </c>
      <c r="BG323" s="1424">
        <v>10186.467857142856</v>
      </c>
      <c r="BH323" s="1424">
        <v>10274.25178571429</v>
      </c>
    </row>
    <row r="324" spans="2:60" ht="15.75" customHeight="1" x14ac:dyDescent="0.25">
      <c r="B324" s="1038" t="s">
        <v>336</v>
      </c>
      <c r="C324" s="1038" t="s">
        <v>380</v>
      </c>
      <c r="D324" s="1015" t="str">
        <f t="shared" si="54"/>
        <v>Республика Саха (Якутия)Зырянка</v>
      </c>
      <c r="E324" s="1016">
        <v>265</v>
      </c>
      <c r="F324" s="1017">
        <v>-20.399999999999999</v>
      </c>
      <c r="G324" s="1017">
        <v>-50</v>
      </c>
      <c r="H324" s="1019">
        <v>3.1</v>
      </c>
      <c r="I324" s="1020">
        <f>E324*(списки!$C$56-F324)</f>
        <v>10706</v>
      </c>
      <c r="J324" s="1021" t="str">
        <f t="shared" si="44"/>
        <v>10000-11000</v>
      </c>
      <c r="K324" s="1022">
        <v>16</v>
      </c>
      <c r="L324" s="1022"/>
      <c r="M324" s="1023">
        <f t="shared" si="45"/>
        <v>0</v>
      </c>
      <c r="N324" s="1024">
        <f>M324*(списки!$C$56-K324)</f>
        <v>0</v>
      </c>
      <c r="O324" s="1025">
        <v>12</v>
      </c>
      <c r="P324" s="1025"/>
      <c r="Q324" s="1025">
        <f t="shared" si="46"/>
        <v>0</v>
      </c>
      <c r="R324" s="1025">
        <f>Q324*(списки!$C$56-O324)</f>
        <v>0</v>
      </c>
      <c r="S324" s="1026">
        <v>4.2</v>
      </c>
      <c r="T324" s="1026"/>
      <c r="U324" s="1026">
        <f t="shared" si="53"/>
        <v>26.5</v>
      </c>
      <c r="V324" s="1026">
        <f>U324*(списки!$C$56-S324)</f>
        <v>418.70000000000005</v>
      </c>
      <c r="W324" s="1027">
        <v>-10.5</v>
      </c>
      <c r="X324" s="1027"/>
      <c r="Y324" s="1027">
        <f t="shared" si="47"/>
        <v>31</v>
      </c>
      <c r="Z324" s="1027">
        <f>Y324*(списки!$C$56-W324)</f>
        <v>945.5</v>
      </c>
      <c r="AA324" s="1028">
        <v>-27.3</v>
      </c>
      <c r="AB324" s="1028"/>
      <c r="AC324" s="1028">
        <f t="shared" si="48"/>
        <v>30</v>
      </c>
      <c r="AD324" s="1028">
        <f>AC324*(списки!$C$56-AA324)</f>
        <v>1419</v>
      </c>
      <c r="AE324" s="1029">
        <v>-35.200000000000003</v>
      </c>
      <c r="AF324" s="1029"/>
      <c r="AG324" s="1029">
        <v>31</v>
      </c>
      <c r="AH324" s="1029">
        <f>AG324*(списки!$C$56-AE324)</f>
        <v>1711.2</v>
      </c>
      <c r="AI324" s="1030">
        <v>-36.299999999999997</v>
      </c>
      <c r="AJ324" s="1030"/>
      <c r="AK324" s="1030">
        <v>31</v>
      </c>
      <c r="AL324" s="1030">
        <f>AK324*(списки!$C$56-AI324)</f>
        <v>1745.3</v>
      </c>
      <c r="AM324" s="1031">
        <v>-33.4</v>
      </c>
      <c r="AN324" s="1031"/>
      <c r="AO324" s="1031">
        <v>28</v>
      </c>
      <c r="AP324" s="1031">
        <f>AO324*(списки!$C$56-AM324)</f>
        <v>1495.2</v>
      </c>
      <c r="AQ324" s="1026">
        <v>-24.9</v>
      </c>
      <c r="AR324" s="1026"/>
      <c r="AS324" s="1026">
        <f t="shared" si="49"/>
        <v>31</v>
      </c>
      <c r="AT324" s="1026">
        <f>AS324*(списки!$C$56-AQ324)</f>
        <v>1391.8999999999999</v>
      </c>
      <c r="AU324" s="1032">
        <v>-11.7</v>
      </c>
      <c r="AV324" s="1032"/>
      <c r="AW324" s="1032">
        <f t="shared" si="50"/>
        <v>30</v>
      </c>
      <c r="AX324" s="1032">
        <f>AW324*(списки!$C$56-AU324)</f>
        <v>951</v>
      </c>
      <c r="AY324" s="1033">
        <v>3.6</v>
      </c>
      <c r="AZ324" s="1033"/>
      <c r="BA324" s="1033">
        <f t="shared" si="51"/>
        <v>26.5</v>
      </c>
      <c r="BB324" s="1033">
        <f>BA324*(списки!$C$56-AY324)</f>
        <v>434.59999999999997</v>
      </c>
      <c r="BC324" s="1034">
        <v>13.4</v>
      </c>
      <c r="BD324" s="1034"/>
      <c r="BE324" s="1034">
        <f t="shared" si="52"/>
        <v>0</v>
      </c>
      <c r="BF324" s="1035">
        <f>BE324*(списки!$C$56-BC324)</f>
        <v>0</v>
      </c>
      <c r="BG324" s="1424">
        <v>9767.039285714287</v>
      </c>
      <c r="BH324" s="1424">
        <v>9931.6392857142837</v>
      </c>
    </row>
    <row r="325" spans="2:60" ht="15.75" customHeight="1" x14ac:dyDescent="0.25">
      <c r="B325" s="1014" t="s">
        <v>336</v>
      </c>
      <c r="C325" s="1014" t="s">
        <v>350</v>
      </c>
      <c r="D325" s="1015" t="str">
        <f t="shared" si="54"/>
        <v>Республика Саха (Якутия)Исить</v>
      </c>
      <c r="E325" s="1016">
        <v>255</v>
      </c>
      <c r="F325" s="1017">
        <v>-17.899999999999999</v>
      </c>
      <c r="G325" s="1017">
        <v>-49</v>
      </c>
      <c r="H325" s="1019">
        <v>4.7</v>
      </c>
      <c r="I325" s="1020">
        <f>E325*(списки!$C$56-F325)</f>
        <v>9664.5</v>
      </c>
      <c r="J325" s="1021" t="str">
        <f t="shared" si="44"/>
        <v>9000-10000</v>
      </c>
      <c r="K325" s="1022">
        <v>17.8</v>
      </c>
      <c r="L325" s="1022"/>
      <c r="M325" s="1023">
        <f t="shared" si="45"/>
        <v>0</v>
      </c>
      <c r="N325" s="1024">
        <f>M325*(списки!$C$56-K325)</f>
        <v>0</v>
      </c>
      <c r="O325" s="1025">
        <v>14.4</v>
      </c>
      <c r="P325" s="1025"/>
      <c r="Q325" s="1025">
        <f t="shared" si="46"/>
        <v>0</v>
      </c>
      <c r="R325" s="1025">
        <f>Q325*(списки!$C$56-O325)</f>
        <v>0</v>
      </c>
      <c r="S325" s="1026">
        <v>6.3</v>
      </c>
      <c r="T325" s="1026"/>
      <c r="U325" s="1026">
        <f t="shared" si="53"/>
        <v>21.5</v>
      </c>
      <c r="V325" s="1026">
        <f>U325*(списки!$C$56-S325)</f>
        <v>294.55</v>
      </c>
      <c r="W325" s="1027">
        <v>-5.5</v>
      </c>
      <c r="X325" s="1027"/>
      <c r="Y325" s="1027">
        <f t="shared" si="47"/>
        <v>31</v>
      </c>
      <c r="Z325" s="1027">
        <f>Y325*(списки!$C$56-W325)</f>
        <v>790.5</v>
      </c>
      <c r="AA325" s="1028">
        <v>-23.5</v>
      </c>
      <c r="AB325" s="1028"/>
      <c r="AC325" s="1028">
        <f t="shared" si="48"/>
        <v>30</v>
      </c>
      <c r="AD325" s="1028">
        <f>AC325*(списки!$C$56-AA325)</f>
        <v>1305</v>
      </c>
      <c r="AE325" s="1029">
        <v>-32.9</v>
      </c>
      <c r="AF325" s="1029"/>
      <c r="AG325" s="1029">
        <v>31</v>
      </c>
      <c r="AH325" s="1029">
        <f>AG325*(списки!$C$56-AE325)</f>
        <v>1639.8999999999999</v>
      </c>
      <c r="AI325" s="1030">
        <v>-35</v>
      </c>
      <c r="AJ325" s="1030"/>
      <c r="AK325" s="1030">
        <v>31</v>
      </c>
      <c r="AL325" s="1030">
        <f>AK325*(списки!$C$56-AI325)</f>
        <v>1705</v>
      </c>
      <c r="AM325" s="1031">
        <v>-31.3</v>
      </c>
      <c r="AN325" s="1031"/>
      <c r="AO325" s="1031">
        <v>28</v>
      </c>
      <c r="AP325" s="1031">
        <f>AO325*(списки!$C$56-AM325)</f>
        <v>1436.3999999999999</v>
      </c>
      <c r="AQ325" s="1026">
        <v>-19.600000000000001</v>
      </c>
      <c r="AR325" s="1026"/>
      <c r="AS325" s="1026">
        <f t="shared" si="49"/>
        <v>31</v>
      </c>
      <c r="AT325" s="1026">
        <f>AS325*(списки!$C$56-AQ325)</f>
        <v>1227.6000000000001</v>
      </c>
      <c r="AU325" s="1032">
        <v>-5.0999999999999996</v>
      </c>
      <c r="AV325" s="1032"/>
      <c r="AW325" s="1032">
        <f t="shared" si="50"/>
        <v>30</v>
      </c>
      <c r="AX325" s="1032">
        <f>AW325*(списки!$C$56-AU325)</f>
        <v>753</v>
      </c>
      <c r="AY325" s="1033">
        <v>6.3</v>
      </c>
      <c r="AZ325" s="1033"/>
      <c r="BA325" s="1033">
        <f t="shared" si="51"/>
        <v>21.5</v>
      </c>
      <c r="BB325" s="1033">
        <f>BA325*(списки!$C$56-AY325)</f>
        <v>294.55</v>
      </c>
      <c r="BC325" s="1034">
        <v>14.6</v>
      </c>
      <c r="BD325" s="1034"/>
      <c r="BE325" s="1034">
        <f t="shared" si="52"/>
        <v>0</v>
      </c>
      <c r="BF325" s="1035">
        <f>BE325*(списки!$C$56-BC325)</f>
        <v>0</v>
      </c>
      <c r="BG325" s="1424">
        <v>9009.748214285717</v>
      </c>
      <c r="BH325" s="1424">
        <v>8907.160714285721</v>
      </c>
    </row>
    <row r="326" spans="2:60" ht="15.75" customHeight="1" x14ac:dyDescent="0.25">
      <c r="B326" s="1038" t="s">
        <v>336</v>
      </c>
      <c r="C326" s="1038" t="s">
        <v>684</v>
      </c>
      <c r="D326" s="1015" t="str">
        <f t="shared" si="54"/>
        <v>Республика Саха (Якутия)Иэма</v>
      </c>
      <c r="E326" s="1016">
        <v>292</v>
      </c>
      <c r="F326" s="1017">
        <v>-22.9</v>
      </c>
      <c r="G326" s="1017">
        <v>-57</v>
      </c>
      <c r="H326" s="1019">
        <f>H325</f>
        <v>4.7</v>
      </c>
      <c r="I326" s="1020">
        <f>E326*(списки!$C$56-F326)</f>
        <v>12526.8</v>
      </c>
      <c r="J326" s="1021" t="str">
        <f t="shared" si="44"/>
        <v>12000-13000</v>
      </c>
      <c r="K326" s="1022">
        <v>12.7</v>
      </c>
      <c r="L326" s="1022"/>
      <c r="M326" s="1023">
        <f t="shared" si="45"/>
        <v>0</v>
      </c>
      <c r="N326" s="1024">
        <f>M326*(списки!$C$56-K326)</f>
        <v>0</v>
      </c>
      <c r="O326" s="1025">
        <v>10.3</v>
      </c>
      <c r="P326" s="1025"/>
      <c r="Q326" s="1025">
        <f t="shared" si="46"/>
        <v>9.5</v>
      </c>
      <c r="R326" s="1025">
        <f>Q326*(списки!$C$56-O326)</f>
        <v>92.149999999999991</v>
      </c>
      <c r="S326" s="1026">
        <v>2</v>
      </c>
      <c r="T326" s="1026"/>
      <c r="U326" s="1026">
        <f t="shared" si="53"/>
        <v>30</v>
      </c>
      <c r="V326" s="1026">
        <f>U326*(списки!$C$56-S326)</f>
        <v>540</v>
      </c>
      <c r="W326" s="1027">
        <v>-14.8</v>
      </c>
      <c r="X326" s="1027"/>
      <c r="Y326" s="1027">
        <f t="shared" si="47"/>
        <v>31</v>
      </c>
      <c r="Z326" s="1027">
        <f>Y326*(списки!$C$56-W326)</f>
        <v>1078.8</v>
      </c>
      <c r="AA326" s="1028">
        <v>-35.4</v>
      </c>
      <c r="AB326" s="1028"/>
      <c r="AC326" s="1028">
        <f t="shared" si="48"/>
        <v>30</v>
      </c>
      <c r="AD326" s="1028">
        <f>AC326*(списки!$C$56-AA326)</f>
        <v>1662</v>
      </c>
      <c r="AE326" s="1029">
        <v>-42.7</v>
      </c>
      <c r="AF326" s="1029"/>
      <c r="AG326" s="1029">
        <v>31</v>
      </c>
      <c r="AH326" s="1029">
        <f>AG326*(списки!$C$56-AE326)</f>
        <v>1943.7</v>
      </c>
      <c r="AI326" s="1030">
        <v>-45.5</v>
      </c>
      <c r="AJ326" s="1030"/>
      <c r="AK326" s="1030">
        <v>31</v>
      </c>
      <c r="AL326" s="1030">
        <f>AK326*(списки!$C$56-AI326)</f>
        <v>2030.5</v>
      </c>
      <c r="AM326" s="1031">
        <v>-42.3</v>
      </c>
      <c r="AN326" s="1031"/>
      <c r="AO326" s="1031">
        <v>28</v>
      </c>
      <c r="AP326" s="1031">
        <f>AO326*(списки!$C$56-AM326)</f>
        <v>1744.3999999999999</v>
      </c>
      <c r="AQ326" s="1026">
        <v>-31.8</v>
      </c>
      <c r="AR326" s="1026"/>
      <c r="AS326" s="1026">
        <f t="shared" si="49"/>
        <v>31</v>
      </c>
      <c r="AT326" s="1026">
        <f>AS326*(списки!$C$56-AQ326)</f>
        <v>1605.8</v>
      </c>
      <c r="AU326" s="1032">
        <v>-16.600000000000001</v>
      </c>
      <c r="AV326" s="1032"/>
      <c r="AW326" s="1032">
        <f t="shared" si="50"/>
        <v>30</v>
      </c>
      <c r="AX326" s="1032">
        <f>AW326*(списки!$C$56-AU326)</f>
        <v>1098</v>
      </c>
      <c r="AY326" s="1033">
        <v>-1</v>
      </c>
      <c r="AZ326" s="1033"/>
      <c r="BA326" s="1033">
        <f t="shared" si="51"/>
        <v>31</v>
      </c>
      <c r="BB326" s="1033">
        <f>BA326*(списки!$C$56-AY326)</f>
        <v>651</v>
      </c>
      <c r="BC326" s="1034">
        <v>8.9</v>
      </c>
      <c r="BD326" s="1034"/>
      <c r="BE326" s="1034">
        <f t="shared" si="52"/>
        <v>9.5</v>
      </c>
      <c r="BF326" s="1035">
        <f>BE326*(списки!$C$56-BC326)</f>
        <v>105.45</v>
      </c>
      <c r="BG326" s="1424">
        <v>12160.748214285715</v>
      </c>
      <c r="BH326" s="1424">
        <v>11733.396309523821</v>
      </c>
    </row>
    <row r="327" spans="2:60" ht="15.75" customHeight="1" x14ac:dyDescent="0.25">
      <c r="B327" s="1014" t="s">
        <v>336</v>
      </c>
      <c r="C327" s="1014" t="s">
        <v>685</v>
      </c>
      <c r="D327" s="1015" t="str">
        <f t="shared" si="54"/>
        <v>Республика Саха (Якутия)Крест- Хальджай</v>
      </c>
      <c r="E327" s="1016">
        <v>254</v>
      </c>
      <c r="F327" s="1017">
        <v>-22.7</v>
      </c>
      <c r="G327" s="1017">
        <v>-54</v>
      </c>
      <c r="H327" s="1019">
        <v>1.4</v>
      </c>
      <c r="I327" s="1020">
        <f>E327*(списки!$C$56-F327)</f>
        <v>10845.800000000001</v>
      </c>
      <c r="J327" s="1021" t="str">
        <f t="shared" si="44"/>
        <v>10000-11000</v>
      </c>
      <c r="K327" s="1022">
        <v>18.600000000000001</v>
      </c>
      <c r="L327" s="1022"/>
      <c r="M327" s="1023">
        <f t="shared" si="45"/>
        <v>0</v>
      </c>
      <c r="N327" s="1024">
        <f>M327*(списки!$C$56-K327)</f>
        <v>0</v>
      </c>
      <c r="O327" s="1025">
        <v>14.2</v>
      </c>
      <c r="P327" s="1025"/>
      <c r="Q327" s="1025">
        <f t="shared" si="46"/>
        <v>0</v>
      </c>
      <c r="R327" s="1025">
        <f>Q327*(списки!$C$56-O327)</f>
        <v>0</v>
      </c>
      <c r="S327" s="1026">
        <v>5.7</v>
      </c>
      <c r="T327" s="1026"/>
      <c r="U327" s="1026">
        <f t="shared" si="53"/>
        <v>21</v>
      </c>
      <c r="V327" s="1026">
        <f>U327*(списки!$C$56-S327)</f>
        <v>300.3</v>
      </c>
      <c r="W327" s="1027">
        <v>-9.1</v>
      </c>
      <c r="X327" s="1027"/>
      <c r="Y327" s="1027">
        <f t="shared" si="47"/>
        <v>31</v>
      </c>
      <c r="Z327" s="1027">
        <f>Y327*(списки!$C$56-W327)</f>
        <v>902.1</v>
      </c>
      <c r="AA327" s="1028">
        <v>-31</v>
      </c>
      <c r="AB327" s="1028"/>
      <c r="AC327" s="1028">
        <f t="shared" si="48"/>
        <v>30</v>
      </c>
      <c r="AD327" s="1028">
        <f>AC327*(списки!$C$56-AA327)</f>
        <v>1530</v>
      </c>
      <c r="AE327" s="1029">
        <v>-41.8</v>
      </c>
      <c r="AF327" s="1029"/>
      <c r="AG327" s="1029">
        <v>31</v>
      </c>
      <c r="AH327" s="1029">
        <f>AG327*(списки!$C$56-AE327)</f>
        <v>1915.8</v>
      </c>
      <c r="AI327" s="1030">
        <v>-43.8</v>
      </c>
      <c r="AJ327" s="1030"/>
      <c r="AK327" s="1030">
        <v>31</v>
      </c>
      <c r="AL327" s="1030">
        <f>AK327*(списки!$C$56-AI327)</f>
        <v>1977.8</v>
      </c>
      <c r="AM327" s="1031">
        <v>-38.200000000000003</v>
      </c>
      <c r="AN327" s="1031"/>
      <c r="AO327" s="1031">
        <v>28</v>
      </c>
      <c r="AP327" s="1031">
        <f>AO327*(списки!$C$56-AM327)</f>
        <v>1629.6000000000001</v>
      </c>
      <c r="AQ327" s="1026">
        <v>-22.2</v>
      </c>
      <c r="AR327" s="1026"/>
      <c r="AS327" s="1026">
        <f t="shared" si="49"/>
        <v>31</v>
      </c>
      <c r="AT327" s="1026">
        <f>AS327*(списки!$C$56-AQ327)</f>
        <v>1308.2</v>
      </c>
      <c r="AU327" s="1032">
        <v>-5.6</v>
      </c>
      <c r="AV327" s="1032"/>
      <c r="AW327" s="1032">
        <f t="shared" si="50"/>
        <v>30</v>
      </c>
      <c r="AX327" s="1032">
        <f>AW327*(списки!$C$56-AU327)</f>
        <v>768</v>
      </c>
      <c r="AY327" s="1033">
        <v>7</v>
      </c>
      <c r="AZ327" s="1033"/>
      <c r="BA327" s="1033">
        <f t="shared" si="51"/>
        <v>21</v>
      </c>
      <c r="BB327" s="1033">
        <f>BA327*(списки!$C$56-AY327)</f>
        <v>273</v>
      </c>
      <c r="BC327" s="1034">
        <v>15.7</v>
      </c>
      <c r="BD327" s="1034"/>
      <c r="BE327" s="1034">
        <f t="shared" si="52"/>
        <v>0</v>
      </c>
      <c r="BF327" s="1035">
        <f>BE327*(списки!$C$56-BC327)</f>
        <v>0</v>
      </c>
      <c r="BG327" s="1424">
        <v>10242.390714285722</v>
      </c>
      <c r="BH327" s="1424">
        <v>10147.737500000003</v>
      </c>
    </row>
    <row r="328" spans="2:60" ht="15.75" customHeight="1" x14ac:dyDescent="0.25">
      <c r="B328" s="1038" t="s">
        <v>336</v>
      </c>
      <c r="C328" s="1038" t="s">
        <v>351</v>
      </c>
      <c r="D328" s="1015" t="str">
        <f t="shared" si="54"/>
        <v>Республика Саха (Якутия)Кюсюр</v>
      </c>
      <c r="E328" s="1016">
        <v>295</v>
      </c>
      <c r="F328" s="1017">
        <v>-19.7</v>
      </c>
      <c r="G328" s="1017">
        <v>-54</v>
      </c>
      <c r="H328" s="1019">
        <v>4.2</v>
      </c>
      <c r="I328" s="1020">
        <f>E328*(списки!$C$56-F328)</f>
        <v>11711.5</v>
      </c>
      <c r="J328" s="1021" t="str">
        <f t="shared" si="44"/>
        <v>11000-12000</v>
      </c>
      <c r="K328" s="1022">
        <v>12.6</v>
      </c>
      <c r="L328" s="1022"/>
      <c r="M328" s="1023">
        <f t="shared" si="45"/>
        <v>0</v>
      </c>
      <c r="N328" s="1024">
        <f>M328*(списки!$C$56-K328)</f>
        <v>0</v>
      </c>
      <c r="O328" s="1025">
        <v>9.5</v>
      </c>
      <c r="P328" s="1025"/>
      <c r="Q328" s="1025">
        <f t="shared" si="46"/>
        <v>11</v>
      </c>
      <c r="R328" s="1025">
        <f>Q328*(списки!$C$56-O328)</f>
        <v>115.5</v>
      </c>
      <c r="S328" s="1026">
        <v>2</v>
      </c>
      <c r="T328" s="1026"/>
      <c r="U328" s="1026">
        <f t="shared" si="53"/>
        <v>30</v>
      </c>
      <c r="V328" s="1026">
        <f>U328*(списки!$C$56-S328)</f>
        <v>540</v>
      </c>
      <c r="W328" s="1027">
        <v>-12</v>
      </c>
      <c r="X328" s="1027"/>
      <c r="Y328" s="1027">
        <f t="shared" si="47"/>
        <v>31</v>
      </c>
      <c r="Z328" s="1027">
        <f>Y328*(списки!$C$56-W328)</f>
        <v>992</v>
      </c>
      <c r="AA328" s="1028">
        <v>-29.8</v>
      </c>
      <c r="AB328" s="1028"/>
      <c r="AC328" s="1028">
        <f t="shared" si="48"/>
        <v>30</v>
      </c>
      <c r="AD328" s="1028">
        <f>AC328*(списки!$C$56-AA328)</f>
        <v>1494</v>
      </c>
      <c r="AE328" s="1029">
        <v>-35.200000000000003</v>
      </c>
      <c r="AF328" s="1029"/>
      <c r="AG328" s="1029">
        <v>31</v>
      </c>
      <c r="AH328" s="1029">
        <f>AG328*(списки!$C$56-AE328)</f>
        <v>1711.2</v>
      </c>
      <c r="AI328" s="1030">
        <v>-37.700000000000003</v>
      </c>
      <c r="AJ328" s="1030"/>
      <c r="AK328" s="1030">
        <v>31</v>
      </c>
      <c r="AL328" s="1030">
        <f>AK328*(списки!$C$56-AI328)</f>
        <v>1788.7</v>
      </c>
      <c r="AM328" s="1031">
        <v>-34.6</v>
      </c>
      <c r="AN328" s="1031"/>
      <c r="AO328" s="1031">
        <v>28</v>
      </c>
      <c r="AP328" s="1031">
        <f>AO328*(списки!$C$56-AM328)</f>
        <v>1528.8</v>
      </c>
      <c r="AQ328" s="1026">
        <v>-26.3</v>
      </c>
      <c r="AR328" s="1026"/>
      <c r="AS328" s="1026">
        <f t="shared" si="49"/>
        <v>31</v>
      </c>
      <c r="AT328" s="1026">
        <f>AS328*(списки!$C$56-AQ328)</f>
        <v>1435.3</v>
      </c>
      <c r="AU328" s="1032">
        <v>-15</v>
      </c>
      <c r="AV328" s="1032"/>
      <c r="AW328" s="1032">
        <f t="shared" si="50"/>
        <v>30</v>
      </c>
      <c r="AX328" s="1032">
        <f>AW328*(списки!$C$56-AU328)</f>
        <v>1050</v>
      </c>
      <c r="AY328" s="1033">
        <v>-3</v>
      </c>
      <c r="AZ328" s="1033"/>
      <c r="BA328" s="1033">
        <f t="shared" si="51"/>
        <v>31</v>
      </c>
      <c r="BB328" s="1033">
        <f>BA328*(списки!$C$56-AY328)</f>
        <v>713</v>
      </c>
      <c r="BC328" s="1034">
        <v>8</v>
      </c>
      <c r="BD328" s="1034"/>
      <c r="BE328" s="1034">
        <f t="shared" si="52"/>
        <v>11</v>
      </c>
      <c r="BF328" s="1035">
        <f>BE328*(списки!$C$56-BC328)</f>
        <v>132</v>
      </c>
      <c r="BG328" s="1424">
        <v>11085.580952380949</v>
      </c>
      <c r="BH328" s="1424">
        <v>10642.139285714287</v>
      </c>
    </row>
    <row r="329" spans="2:60" ht="15.75" customHeight="1" x14ac:dyDescent="0.25">
      <c r="B329" s="1014" t="s">
        <v>336</v>
      </c>
      <c r="C329" s="1014" t="s">
        <v>352</v>
      </c>
      <c r="D329" s="1015" t="str">
        <f t="shared" si="54"/>
        <v>Республика Саха (Якутия)Ленск</v>
      </c>
      <c r="E329" s="1016">
        <v>258</v>
      </c>
      <c r="F329" s="1017">
        <v>-14.3</v>
      </c>
      <c r="G329" s="1017">
        <v>-50</v>
      </c>
      <c r="H329" s="1019">
        <v>3.2</v>
      </c>
      <c r="I329" s="1020">
        <f>E329*(списки!$C$56-F329)</f>
        <v>8849.4</v>
      </c>
      <c r="J329" s="1021" t="str">
        <f t="shared" ref="J329:J392" si="55">CONCATENATE(ROUNDDOWN(I329/1000,0)*1000,"-",ROUNDUP(I329/1000,0)*1000)</f>
        <v>8000-9000</v>
      </c>
      <c r="K329" s="1022">
        <v>17.600000000000001</v>
      </c>
      <c r="L329" s="1022"/>
      <c r="M329" s="1023">
        <f t="shared" ref="M329:M392" si="56">MAX(0,E329-Q329-U329-Y329-AC329-AG329-AK329-AO329-AS329-AW329-BA329-BE329)</f>
        <v>0</v>
      </c>
      <c r="N329" s="1024">
        <f>M329*(списки!$C$56-K329)</f>
        <v>0</v>
      </c>
      <c r="O329" s="1025">
        <v>13.9</v>
      </c>
      <c r="P329" s="1025"/>
      <c r="Q329" s="1025">
        <f t="shared" ref="Q329:Q392" si="57">IF((E329-273)&gt;0,IF((E329-273)/2&gt;31,31,(E329-273)/2),0)</f>
        <v>0</v>
      </c>
      <c r="R329" s="1025">
        <f>Q329*(списки!$C$56-O329)</f>
        <v>0</v>
      </c>
      <c r="S329" s="1026">
        <v>5.7</v>
      </c>
      <c r="T329" s="1026"/>
      <c r="U329" s="1026">
        <f t="shared" si="53"/>
        <v>23</v>
      </c>
      <c r="V329" s="1026">
        <f>U329*(списки!$C$56-S329)</f>
        <v>328.90000000000003</v>
      </c>
      <c r="W329" s="1027">
        <v>-4.9000000000000004</v>
      </c>
      <c r="X329" s="1027"/>
      <c r="Y329" s="1027">
        <f t="shared" ref="Y329:Y392" si="58">IF((E329-151)&gt;0,IF((E329-151)/2&gt;31,31,(E329-151)/2),0)</f>
        <v>31</v>
      </c>
      <c r="Z329" s="1027">
        <f>Y329*(списки!$C$56-W329)</f>
        <v>771.9</v>
      </c>
      <c r="AA329" s="1028">
        <v>-19.5</v>
      </c>
      <c r="AB329" s="1028"/>
      <c r="AC329" s="1028">
        <f t="shared" ref="AC329:AC392" si="59">IF((E329-90)/2&gt;30,30,(E329-90)/2)</f>
        <v>30</v>
      </c>
      <c r="AD329" s="1028">
        <f>AC329*(списки!$C$56-AA329)</f>
        <v>1185</v>
      </c>
      <c r="AE329" s="1029">
        <v>-27.7</v>
      </c>
      <c r="AF329" s="1029"/>
      <c r="AG329" s="1029">
        <v>31</v>
      </c>
      <c r="AH329" s="1029">
        <f>AG329*(списки!$C$56-AE329)</f>
        <v>1478.7</v>
      </c>
      <c r="AI329" s="1030">
        <v>-29</v>
      </c>
      <c r="AJ329" s="1030"/>
      <c r="AK329" s="1030">
        <v>31</v>
      </c>
      <c r="AL329" s="1030">
        <f>AK329*(списки!$C$56-AI329)</f>
        <v>1519</v>
      </c>
      <c r="AM329" s="1031">
        <v>-25.6</v>
      </c>
      <c r="AN329" s="1031"/>
      <c r="AO329" s="1031">
        <v>28</v>
      </c>
      <c r="AP329" s="1031">
        <f>AO329*(списки!$C$56-AM329)</f>
        <v>1276.8</v>
      </c>
      <c r="AQ329" s="1026">
        <v>-14.9</v>
      </c>
      <c r="AR329" s="1026"/>
      <c r="AS329" s="1026">
        <f t="shared" ref="AS329:AS392" si="60">IF((E329-90)/2&gt;31,31,(E329-90)/2)</f>
        <v>31</v>
      </c>
      <c r="AT329" s="1026">
        <f>AS329*(списки!$C$56-AQ329)</f>
        <v>1081.8999999999999</v>
      </c>
      <c r="AU329" s="1032">
        <v>-3.6</v>
      </c>
      <c r="AV329" s="1032"/>
      <c r="AW329" s="1032">
        <f t="shared" ref="AW329:AW392" si="61">IF((E329-151)&gt;0,IF((E329-151)/2&gt;30,30,(E329-151)/2),0)</f>
        <v>30</v>
      </c>
      <c r="AX329" s="1032">
        <f>AW329*(списки!$C$56-AU329)</f>
        <v>708</v>
      </c>
      <c r="AY329" s="1033">
        <v>6.2</v>
      </c>
      <c r="AZ329" s="1033"/>
      <c r="BA329" s="1033">
        <f t="shared" ref="BA329:BA392" si="62">IF((E329-212)&gt;0,IF((E329-212)/2&gt;31,31,(E329-212)/2),0)</f>
        <v>23</v>
      </c>
      <c r="BB329" s="1033">
        <f>BA329*(списки!$C$56-AY329)</f>
        <v>317.40000000000003</v>
      </c>
      <c r="BC329" s="1034">
        <v>14.6</v>
      </c>
      <c r="BD329" s="1034"/>
      <c r="BE329" s="1034">
        <f t="shared" ref="BE329:BE392" si="63">IF((E329-273)&gt;0,IF((E329-273)/2&gt;30,30,(E329-273)/2),0)</f>
        <v>0</v>
      </c>
      <c r="BF329" s="1035">
        <f>BE329*(списки!$C$56-BC329)</f>
        <v>0</v>
      </c>
      <c r="BG329" s="1424">
        <v>8367.9803571428583</v>
      </c>
      <c r="BH329" s="1424">
        <v>8324.2196428571424</v>
      </c>
    </row>
    <row r="330" spans="2:60" ht="15.75" customHeight="1" x14ac:dyDescent="0.25">
      <c r="B330" s="1038" t="s">
        <v>336</v>
      </c>
      <c r="C330" s="1038" t="s">
        <v>353</v>
      </c>
      <c r="D330" s="1015" t="str">
        <f t="shared" si="54"/>
        <v>Республика Саха (Якутия)Нагорный</v>
      </c>
      <c r="E330" s="1016">
        <v>270</v>
      </c>
      <c r="F330" s="1017">
        <v>-14.8</v>
      </c>
      <c r="G330" s="1017">
        <v>-40</v>
      </c>
      <c r="H330" s="1019">
        <v>4.7</v>
      </c>
      <c r="I330" s="1020">
        <f>E330*(списки!$C$56-F330)</f>
        <v>9396</v>
      </c>
      <c r="J330" s="1021" t="str">
        <f t="shared" si="55"/>
        <v>9000-10000</v>
      </c>
      <c r="K330" s="1022">
        <v>14.8</v>
      </c>
      <c r="L330" s="1022"/>
      <c r="M330" s="1023">
        <f t="shared" si="56"/>
        <v>0</v>
      </c>
      <c r="N330" s="1024">
        <f>M330*(списки!$C$56-K330)</f>
        <v>0</v>
      </c>
      <c r="O330" s="1025">
        <v>11.8</v>
      </c>
      <c r="P330" s="1025"/>
      <c r="Q330" s="1025">
        <f t="shared" si="57"/>
        <v>0</v>
      </c>
      <c r="R330" s="1025">
        <f>Q330*(списки!$C$56-O330)</f>
        <v>0</v>
      </c>
      <c r="S330" s="1026">
        <v>4</v>
      </c>
      <c r="T330" s="1026"/>
      <c r="U330" s="1026">
        <f t="shared" ref="U330:U393" si="64">IF((E330-212)&gt;0,IF((E330-212)/2&gt;30,30,(E330-212)/2),0)</f>
        <v>29</v>
      </c>
      <c r="V330" s="1026">
        <f>U330*(списки!$C$56-S330)</f>
        <v>464</v>
      </c>
      <c r="W330" s="1027">
        <v>-7.7</v>
      </c>
      <c r="X330" s="1027"/>
      <c r="Y330" s="1027">
        <f t="shared" si="58"/>
        <v>31</v>
      </c>
      <c r="Z330" s="1027">
        <f>Y330*(списки!$C$56-W330)</f>
        <v>858.69999999999993</v>
      </c>
      <c r="AA330" s="1028">
        <v>-21.7</v>
      </c>
      <c r="AB330" s="1028"/>
      <c r="AC330" s="1028">
        <f t="shared" si="59"/>
        <v>30</v>
      </c>
      <c r="AD330" s="1028">
        <f>AC330*(списки!$C$56-AA330)</f>
        <v>1251</v>
      </c>
      <c r="AE330" s="1029">
        <v>-28.2</v>
      </c>
      <c r="AF330" s="1029"/>
      <c r="AG330" s="1029">
        <v>31</v>
      </c>
      <c r="AH330" s="1029">
        <f>AG330*(списки!$C$56-AE330)</f>
        <v>1494.2</v>
      </c>
      <c r="AI330" s="1030">
        <v>-29.1</v>
      </c>
      <c r="AJ330" s="1030"/>
      <c r="AK330" s="1030">
        <v>31</v>
      </c>
      <c r="AL330" s="1030">
        <f>AK330*(списки!$C$56-AI330)</f>
        <v>1522.1000000000001</v>
      </c>
      <c r="AM330" s="1031">
        <v>-25.6</v>
      </c>
      <c r="AN330" s="1031"/>
      <c r="AO330" s="1031">
        <v>28</v>
      </c>
      <c r="AP330" s="1031">
        <f>AO330*(списки!$C$56-AM330)</f>
        <v>1276.8</v>
      </c>
      <c r="AQ330" s="1026">
        <v>-17</v>
      </c>
      <c r="AR330" s="1026"/>
      <c r="AS330" s="1026">
        <f t="shared" si="60"/>
        <v>31</v>
      </c>
      <c r="AT330" s="1026">
        <f>AS330*(списки!$C$56-AQ330)</f>
        <v>1147</v>
      </c>
      <c r="AU330" s="1032">
        <v>-5.9</v>
      </c>
      <c r="AV330" s="1032"/>
      <c r="AW330" s="1032">
        <f t="shared" si="61"/>
        <v>30</v>
      </c>
      <c r="AX330" s="1032">
        <f>AW330*(списки!$C$56-AU330)</f>
        <v>777</v>
      </c>
      <c r="AY330" s="1033">
        <v>4.0999999999999996</v>
      </c>
      <c r="AZ330" s="1033"/>
      <c r="BA330" s="1033">
        <f t="shared" si="62"/>
        <v>29</v>
      </c>
      <c r="BB330" s="1033">
        <f>BA330*(списки!$C$56-AY330)</f>
        <v>461.1</v>
      </c>
      <c r="BC330" s="1034">
        <v>12.1</v>
      </c>
      <c r="BD330" s="1034"/>
      <c r="BE330" s="1034">
        <f t="shared" si="63"/>
        <v>0</v>
      </c>
      <c r="BF330" s="1035">
        <f>BE330*(списки!$C$56-BC330)</f>
        <v>0</v>
      </c>
      <c r="BG330" s="1424">
        <v>8936.1977380952394</v>
      </c>
      <c r="BH330" s="1424">
        <v>8732.7507142857103</v>
      </c>
    </row>
    <row r="331" spans="2:60" ht="15.75" customHeight="1" x14ac:dyDescent="0.25">
      <c r="B331" s="1014" t="s">
        <v>336</v>
      </c>
      <c r="C331" s="1014" t="s">
        <v>354</v>
      </c>
      <c r="D331" s="1015" t="str">
        <f t="shared" si="54"/>
        <v>Республика Саха (Якутия)Нера</v>
      </c>
      <c r="E331" s="1016">
        <v>272</v>
      </c>
      <c r="F331" s="1017">
        <v>-23.8</v>
      </c>
      <c r="G331" s="1017">
        <v>-58</v>
      </c>
      <c r="H331" s="1019">
        <f>H330</f>
        <v>4.7</v>
      </c>
      <c r="I331" s="1020">
        <f>E331*(списки!$C$56-F331)</f>
        <v>11913.599999999999</v>
      </c>
      <c r="J331" s="1021" t="str">
        <f t="shared" si="55"/>
        <v>11000-12000</v>
      </c>
      <c r="K331" s="1022">
        <v>15.7</v>
      </c>
      <c r="L331" s="1022"/>
      <c r="M331" s="1023">
        <f t="shared" si="56"/>
        <v>0</v>
      </c>
      <c r="N331" s="1024">
        <f>M331*(списки!$C$56-K331)</f>
        <v>0</v>
      </c>
      <c r="O331" s="1025">
        <v>12.1</v>
      </c>
      <c r="P331" s="1025"/>
      <c r="Q331" s="1025">
        <f t="shared" si="57"/>
        <v>0</v>
      </c>
      <c r="R331" s="1025">
        <f>Q331*(списки!$C$56-O331)</f>
        <v>0</v>
      </c>
      <c r="S331" s="1026">
        <v>3.4</v>
      </c>
      <c r="T331" s="1026"/>
      <c r="U331" s="1026">
        <f t="shared" si="64"/>
        <v>30</v>
      </c>
      <c r="V331" s="1026">
        <f>U331*(списки!$C$56-S331)</f>
        <v>498.00000000000006</v>
      </c>
      <c r="W331" s="1027">
        <v>-14.7</v>
      </c>
      <c r="X331" s="1027"/>
      <c r="Y331" s="1027">
        <f t="shared" si="58"/>
        <v>31</v>
      </c>
      <c r="Z331" s="1027">
        <f>Y331*(списки!$C$56-W331)</f>
        <v>1075.7</v>
      </c>
      <c r="AA331" s="1028">
        <v>-35.9</v>
      </c>
      <c r="AB331" s="1028"/>
      <c r="AC331" s="1028">
        <f t="shared" si="59"/>
        <v>30</v>
      </c>
      <c r="AD331" s="1028">
        <f>AC331*(списки!$C$56-AA331)</f>
        <v>1677</v>
      </c>
      <c r="AE331" s="1029">
        <v>-44.4</v>
      </c>
      <c r="AF331" s="1029"/>
      <c r="AG331" s="1029">
        <v>31</v>
      </c>
      <c r="AH331" s="1029">
        <f>AG331*(списки!$C$56-AE331)</f>
        <v>1996.4</v>
      </c>
      <c r="AI331" s="1030">
        <v>-46.3</v>
      </c>
      <c r="AJ331" s="1030"/>
      <c r="AK331" s="1030">
        <v>31</v>
      </c>
      <c r="AL331" s="1030">
        <f>AK331*(списки!$C$56-AI331)</f>
        <v>2055.2999999999997</v>
      </c>
      <c r="AM331" s="1031">
        <v>-41.6</v>
      </c>
      <c r="AN331" s="1031"/>
      <c r="AO331" s="1031">
        <v>28</v>
      </c>
      <c r="AP331" s="1031">
        <f>AO331*(списки!$C$56-AM331)</f>
        <v>1724.8</v>
      </c>
      <c r="AQ331" s="1026">
        <v>-29.1</v>
      </c>
      <c r="AR331" s="1026"/>
      <c r="AS331" s="1026">
        <f t="shared" si="60"/>
        <v>31</v>
      </c>
      <c r="AT331" s="1026">
        <f>AS331*(списки!$C$56-AQ331)</f>
        <v>1522.1000000000001</v>
      </c>
      <c r="AU331" s="1032">
        <v>-11.3</v>
      </c>
      <c r="AV331" s="1032"/>
      <c r="AW331" s="1032">
        <f t="shared" si="61"/>
        <v>30</v>
      </c>
      <c r="AX331" s="1032">
        <f>AW331*(списки!$C$56-AU331)</f>
        <v>939</v>
      </c>
      <c r="AY331" s="1033">
        <v>3.8</v>
      </c>
      <c r="AZ331" s="1033"/>
      <c r="BA331" s="1033">
        <f t="shared" si="62"/>
        <v>30</v>
      </c>
      <c r="BB331" s="1033">
        <f>BA331*(списки!$C$56-AY331)</f>
        <v>486</v>
      </c>
      <c r="BC331" s="1034">
        <v>13.2</v>
      </c>
      <c r="BD331" s="1034"/>
      <c r="BE331" s="1034">
        <f t="shared" si="63"/>
        <v>0</v>
      </c>
      <c r="BF331" s="1035">
        <f>BE331*(списки!$C$56-BC331)</f>
        <v>0</v>
      </c>
      <c r="BG331" s="1424" t="e">
        <v>#N/A</v>
      </c>
      <c r="BH331" s="1424" t="e">
        <v>#N/A</v>
      </c>
    </row>
    <row r="332" spans="2:60" ht="15.75" customHeight="1" x14ac:dyDescent="0.25">
      <c r="B332" s="1038" t="s">
        <v>336</v>
      </c>
      <c r="C332" s="1038" t="s">
        <v>355</v>
      </c>
      <c r="D332" s="1015" t="str">
        <f t="shared" ref="D332:D396" si="65">CONCATENATE(B332,C332)</f>
        <v>Республика Саха (Якутия)Нюрба</v>
      </c>
      <c r="E332" s="1016">
        <v>263</v>
      </c>
      <c r="F332" s="1017">
        <v>-17.7</v>
      </c>
      <c r="G332" s="1017">
        <v>-52</v>
      </c>
      <c r="H332" s="1019">
        <v>3.3</v>
      </c>
      <c r="I332" s="1020">
        <f>E332*(списки!$C$56-F332)</f>
        <v>9915.1</v>
      </c>
      <c r="J332" s="1021" t="str">
        <f t="shared" si="55"/>
        <v>9000-10000</v>
      </c>
      <c r="K332" s="1022">
        <v>17.3</v>
      </c>
      <c r="L332" s="1022"/>
      <c r="M332" s="1023">
        <f t="shared" si="56"/>
        <v>0</v>
      </c>
      <c r="N332" s="1024">
        <f>M332*(списки!$C$56-K332)</f>
        <v>0</v>
      </c>
      <c r="O332" s="1025">
        <v>13.5</v>
      </c>
      <c r="P332" s="1025"/>
      <c r="Q332" s="1025">
        <f t="shared" si="57"/>
        <v>0</v>
      </c>
      <c r="R332" s="1025">
        <f>Q332*(списки!$C$56-O332)</f>
        <v>0</v>
      </c>
      <c r="S332" s="1026">
        <v>5.2</v>
      </c>
      <c r="T332" s="1026"/>
      <c r="U332" s="1026">
        <f t="shared" si="64"/>
        <v>25.5</v>
      </c>
      <c r="V332" s="1026">
        <f>U332*(списки!$C$56-S332)</f>
        <v>377.40000000000003</v>
      </c>
      <c r="W332" s="1027">
        <v>-7.3</v>
      </c>
      <c r="X332" s="1027"/>
      <c r="Y332" s="1027">
        <f t="shared" si="58"/>
        <v>31</v>
      </c>
      <c r="Z332" s="1027">
        <f>Y332*(списки!$C$56-W332)</f>
        <v>846.30000000000007</v>
      </c>
      <c r="AA332" s="1028">
        <v>-26</v>
      </c>
      <c r="AB332" s="1028"/>
      <c r="AC332" s="1028">
        <f t="shared" si="59"/>
        <v>30</v>
      </c>
      <c r="AD332" s="1028">
        <f>AC332*(списки!$C$56-AA332)</f>
        <v>1380</v>
      </c>
      <c r="AE332" s="1029">
        <v>-34.200000000000003</v>
      </c>
      <c r="AF332" s="1029"/>
      <c r="AG332" s="1029">
        <v>31</v>
      </c>
      <c r="AH332" s="1029">
        <f>AG332*(списки!$C$56-AE332)</f>
        <v>1680.2</v>
      </c>
      <c r="AI332" s="1030">
        <v>-36</v>
      </c>
      <c r="AJ332" s="1030"/>
      <c r="AK332" s="1030">
        <v>31</v>
      </c>
      <c r="AL332" s="1030">
        <f>AK332*(списки!$C$56-AI332)</f>
        <v>1736</v>
      </c>
      <c r="AM332" s="1031">
        <v>-31.9</v>
      </c>
      <c r="AN332" s="1031"/>
      <c r="AO332" s="1031">
        <v>28</v>
      </c>
      <c r="AP332" s="1031">
        <f>AO332*(списки!$C$56-AM332)</f>
        <v>1453.2</v>
      </c>
      <c r="AQ332" s="1026">
        <v>-20.6</v>
      </c>
      <c r="AR332" s="1026"/>
      <c r="AS332" s="1026">
        <f t="shared" si="60"/>
        <v>31</v>
      </c>
      <c r="AT332" s="1026">
        <f>AS332*(списки!$C$56-AQ332)</f>
        <v>1258.6000000000001</v>
      </c>
      <c r="AU332" s="1032">
        <v>-7.2</v>
      </c>
      <c r="AV332" s="1032"/>
      <c r="AW332" s="1032">
        <f t="shared" si="61"/>
        <v>30</v>
      </c>
      <c r="AX332" s="1032">
        <f>AW332*(списки!$C$56-AU332)</f>
        <v>816</v>
      </c>
      <c r="AY332" s="1033">
        <v>5</v>
      </c>
      <c r="AZ332" s="1033"/>
      <c r="BA332" s="1033">
        <f t="shared" si="62"/>
        <v>25.5</v>
      </c>
      <c r="BB332" s="1033">
        <f>BA332*(списки!$C$56-AY332)</f>
        <v>382.5</v>
      </c>
      <c r="BC332" s="1034">
        <v>14.2</v>
      </c>
      <c r="BD332" s="1034"/>
      <c r="BE332" s="1034">
        <f t="shared" si="63"/>
        <v>0</v>
      </c>
      <c r="BF332" s="1035">
        <f>BE332*(списки!$C$56-BC332)</f>
        <v>0</v>
      </c>
      <c r="BG332" s="1424">
        <v>9257.8892857142855</v>
      </c>
      <c r="BH332" s="1424">
        <v>9180.9553571428587</v>
      </c>
    </row>
    <row r="333" spans="2:60" ht="15.75" customHeight="1" x14ac:dyDescent="0.25">
      <c r="B333" s="1014" t="s">
        <v>336</v>
      </c>
      <c r="C333" s="1014" t="s">
        <v>356</v>
      </c>
      <c r="D333" s="1015" t="str">
        <f t="shared" si="65"/>
        <v>Республика Саха (Якутия)Нюя</v>
      </c>
      <c r="E333" s="1016">
        <v>253</v>
      </c>
      <c r="F333" s="1017">
        <v>-14.2</v>
      </c>
      <c r="G333" s="1017">
        <v>-50</v>
      </c>
      <c r="H333" s="1019">
        <v>5.3</v>
      </c>
      <c r="I333" s="1020">
        <f>E333*(списки!$C$56-F333)</f>
        <v>8652.6</v>
      </c>
      <c r="J333" s="1021" t="str">
        <f t="shared" si="55"/>
        <v>8000-9000</v>
      </c>
      <c r="K333" s="1022">
        <v>18.100000000000001</v>
      </c>
      <c r="L333" s="1022"/>
      <c r="M333" s="1023">
        <f t="shared" si="56"/>
        <v>0</v>
      </c>
      <c r="N333" s="1024">
        <f>M333*(списки!$C$56-K333)</f>
        <v>0</v>
      </c>
      <c r="O333" s="1025">
        <v>14.5</v>
      </c>
      <c r="P333" s="1025"/>
      <c r="Q333" s="1025">
        <f t="shared" si="57"/>
        <v>0</v>
      </c>
      <c r="R333" s="1025">
        <f>Q333*(списки!$C$56-O333)</f>
        <v>0</v>
      </c>
      <c r="S333" s="1026">
        <v>6.8</v>
      </c>
      <c r="T333" s="1026"/>
      <c r="U333" s="1026">
        <f t="shared" si="64"/>
        <v>20.5</v>
      </c>
      <c r="V333" s="1026">
        <f>U333*(списки!$C$56-S333)</f>
        <v>270.59999999999997</v>
      </c>
      <c r="W333" s="1027">
        <v>-3.5</v>
      </c>
      <c r="X333" s="1027"/>
      <c r="Y333" s="1027">
        <f t="shared" si="58"/>
        <v>31</v>
      </c>
      <c r="Z333" s="1027">
        <f>Y333*(списки!$C$56-W333)</f>
        <v>728.5</v>
      </c>
      <c r="AA333" s="1028">
        <v>-20.100000000000001</v>
      </c>
      <c r="AB333" s="1028"/>
      <c r="AC333" s="1028">
        <f t="shared" si="59"/>
        <v>30</v>
      </c>
      <c r="AD333" s="1028">
        <f>AC333*(списки!$C$56-AA333)</f>
        <v>1203</v>
      </c>
      <c r="AE333" s="1029">
        <v>-28.6</v>
      </c>
      <c r="AF333" s="1029"/>
      <c r="AG333" s="1029">
        <v>31</v>
      </c>
      <c r="AH333" s="1029">
        <f>AG333*(списки!$C$56-AE333)</f>
        <v>1506.6000000000001</v>
      </c>
      <c r="AI333" s="1030">
        <v>-30</v>
      </c>
      <c r="AJ333" s="1030"/>
      <c r="AK333" s="1030">
        <v>31</v>
      </c>
      <c r="AL333" s="1030">
        <f>AK333*(списки!$C$56-AI333)</f>
        <v>1550</v>
      </c>
      <c r="AM333" s="1031">
        <v>-26.8</v>
      </c>
      <c r="AN333" s="1031"/>
      <c r="AO333" s="1031">
        <v>28</v>
      </c>
      <c r="AP333" s="1031">
        <f>AO333*(списки!$C$56-AM333)</f>
        <v>1310.3999999999999</v>
      </c>
      <c r="AQ333" s="1026">
        <v>-15.9</v>
      </c>
      <c r="AR333" s="1026"/>
      <c r="AS333" s="1026">
        <f t="shared" si="60"/>
        <v>31</v>
      </c>
      <c r="AT333" s="1026">
        <f>AS333*(списки!$C$56-AQ333)</f>
        <v>1112.8999999999999</v>
      </c>
      <c r="AU333" s="1032">
        <v>-3.5</v>
      </c>
      <c r="AV333" s="1032"/>
      <c r="AW333" s="1032">
        <f t="shared" si="61"/>
        <v>30</v>
      </c>
      <c r="AX333" s="1032">
        <f>AW333*(списки!$C$56-AU333)</f>
        <v>705</v>
      </c>
      <c r="AY333" s="1033">
        <v>6.3</v>
      </c>
      <c r="AZ333" s="1033"/>
      <c r="BA333" s="1033">
        <f t="shared" si="62"/>
        <v>20.5</v>
      </c>
      <c r="BB333" s="1033">
        <f>BA333*(списки!$C$56-AY333)</f>
        <v>280.84999999999997</v>
      </c>
      <c r="BC333" s="1034">
        <v>14.9</v>
      </c>
      <c r="BD333" s="1034"/>
      <c r="BE333" s="1034">
        <f t="shared" si="63"/>
        <v>0</v>
      </c>
      <c r="BF333" s="1035">
        <f>BE333*(списки!$C$56-BC333)</f>
        <v>0</v>
      </c>
      <c r="BG333" s="1424" t="e">
        <v>#N/A</v>
      </c>
      <c r="BH333" s="1424" t="e">
        <v>#N/A</v>
      </c>
    </row>
    <row r="334" spans="2:60" ht="15.75" customHeight="1" x14ac:dyDescent="0.25">
      <c r="B334" s="1038" t="s">
        <v>336</v>
      </c>
      <c r="C334" s="1038" t="s">
        <v>359</v>
      </c>
      <c r="D334" s="1015" t="str">
        <f t="shared" si="65"/>
        <v>Республика Саха (Якутия)Оймякон</v>
      </c>
      <c r="E334" s="1016">
        <v>277</v>
      </c>
      <c r="F334" s="1017">
        <v>-25.4</v>
      </c>
      <c r="G334" s="1017">
        <v>-59</v>
      </c>
      <c r="H334" s="1019">
        <v>1.4</v>
      </c>
      <c r="I334" s="1020">
        <f>E334*(списки!$C$56-F334)</f>
        <v>12575.8</v>
      </c>
      <c r="J334" s="1021" t="str">
        <f t="shared" si="55"/>
        <v>12000-13000</v>
      </c>
      <c r="K334" s="1022">
        <v>14.5</v>
      </c>
      <c r="L334" s="1022"/>
      <c r="M334" s="1023">
        <f t="shared" si="56"/>
        <v>0</v>
      </c>
      <c r="N334" s="1024">
        <f>M334*(списки!$C$56-K334)</f>
        <v>0</v>
      </c>
      <c r="O334" s="1025">
        <v>10.3</v>
      </c>
      <c r="P334" s="1025"/>
      <c r="Q334" s="1025">
        <f t="shared" si="57"/>
        <v>2</v>
      </c>
      <c r="R334" s="1025">
        <f>Q334*(списки!$C$56-O334)</f>
        <v>19.399999999999999</v>
      </c>
      <c r="S334" s="1026">
        <v>2.1</v>
      </c>
      <c r="T334" s="1026"/>
      <c r="U334" s="1026">
        <f t="shared" si="64"/>
        <v>30</v>
      </c>
      <c r="V334" s="1026">
        <f>U334*(списки!$C$56-S334)</f>
        <v>537</v>
      </c>
      <c r="W334" s="1027">
        <v>-15.2</v>
      </c>
      <c r="X334" s="1027"/>
      <c r="Y334" s="1027">
        <f t="shared" si="58"/>
        <v>31</v>
      </c>
      <c r="Z334" s="1027">
        <f>Y334*(списки!$C$56-W334)</f>
        <v>1091.2</v>
      </c>
      <c r="AA334" s="1028">
        <v>-36.200000000000003</v>
      </c>
      <c r="AB334" s="1028"/>
      <c r="AC334" s="1028">
        <f t="shared" si="59"/>
        <v>30</v>
      </c>
      <c r="AD334" s="1028">
        <f>AC334*(списки!$C$56-AA334)</f>
        <v>1686</v>
      </c>
      <c r="AE334" s="1029">
        <v>-45.7</v>
      </c>
      <c r="AF334" s="1029"/>
      <c r="AG334" s="1029">
        <v>31</v>
      </c>
      <c r="AH334" s="1029">
        <f>AG334*(списки!$C$56-AE334)</f>
        <v>2036.7</v>
      </c>
      <c r="AI334" s="1030">
        <v>-46.6</v>
      </c>
      <c r="AJ334" s="1030"/>
      <c r="AK334" s="1030">
        <v>31</v>
      </c>
      <c r="AL334" s="1030">
        <f>AK334*(списки!$C$56-AI334)</f>
        <v>2064.6</v>
      </c>
      <c r="AM334" s="1031">
        <v>-42.7</v>
      </c>
      <c r="AN334" s="1031"/>
      <c r="AO334" s="1031">
        <v>28</v>
      </c>
      <c r="AP334" s="1031">
        <f>AO334*(списки!$C$56-AM334)</f>
        <v>1755.6000000000001</v>
      </c>
      <c r="AQ334" s="1026">
        <v>-31.7</v>
      </c>
      <c r="AR334" s="1026"/>
      <c r="AS334" s="1026">
        <f t="shared" si="60"/>
        <v>31</v>
      </c>
      <c r="AT334" s="1026">
        <f>AS334*(списки!$C$56-AQ334)</f>
        <v>1602.7</v>
      </c>
      <c r="AU334" s="1032">
        <v>-13.8</v>
      </c>
      <c r="AV334" s="1032"/>
      <c r="AW334" s="1032">
        <f t="shared" si="61"/>
        <v>30</v>
      </c>
      <c r="AX334" s="1032">
        <f>AW334*(списки!$C$56-AU334)</f>
        <v>1013.9999999999999</v>
      </c>
      <c r="AY334" s="1033">
        <v>2.6</v>
      </c>
      <c r="AZ334" s="1033"/>
      <c r="BA334" s="1033">
        <f t="shared" si="62"/>
        <v>31</v>
      </c>
      <c r="BB334" s="1033">
        <f>BA334*(списки!$C$56-AY334)</f>
        <v>539.4</v>
      </c>
      <c r="BC334" s="1034">
        <v>12.2</v>
      </c>
      <c r="BD334" s="1034"/>
      <c r="BE334" s="1034">
        <f t="shared" si="63"/>
        <v>2</v>
      </c>
      <c r="BF334" s="1035">
        <f>BE334*(списки!$C$56-BC334)</f>
        <v>15.600000000000001</v>
      </c>
      <c r="BG334" s="1424">
        <v>11826.441071428575</v>
      </c>
      <c r="BH334" s="1424">
        <v>11669.357142857143</v>
      </c>
    </row>
    <row r="335" spans="2:60" ht="15.75" customHeight="1" x14ac:dyDescent="0.25">
      <c r="B335" s="1014" t="s">
        <v>336</v>
      </c>
      <c r="C335" s="1014" t="s">
        <v>357</v>
      </c>
      <c r="D335" s="1015" t="str">
        <f t="shared" si="65"/>
        <v>Республика Саха (Якутия)Олекминск</v>
      </c>
      <c r="E335" s="1016">
        <v>253</v>
      </c>
      <c r="F335" s="1017">
        <v>-15.7</v>
      </c>
      <c r="G335" s="1017">
        <v>-49</v>
      </c>
      <c r="H335" s="1019">
        <v>2.7</v>
      </c>
      <c r="I335" s="1020">
        <f>E335*(списки!$C$56-F335)</f>
        <v>9032.1</v>
      </c>
      <c r="J335" s="1021" t="str">
        <f t="shared" si="55"/>
        <v>9000-10000</v>
      </c>
      <c r="K335" s="1022">
        <v>18.100000000000001</v>
      </c>
      <c r="L335" s="1022"/>
      <c r="M335" s="1023">
        <f t="shared" si="56"/>
        <v>0</v>
      </c>
      <c r="N335" s="1024">
        <f>M335*(списки!$C$56-K335)</f>
        <v>0</v>
      </c>
      <c r="O335" s="1025">
        <v>14.5</v>
      </c>
      <c r="P335" s="1025"/>
      <c r="Q335" s="1025">
        <f t="shared" si="57"/>
        <v>0</v>
      </c>
      <c r="R335" s="1025">
        <f>Q335*(списки!$C$56-O335)</f>
        <v>0</v>
      </c>
      <c r="S335" s="1026">
        <v>6.1</v>
      </c>
      <c r="T335" s="1026"/>
      <c r="U335" s="1026">
        <f t="shared" si="64"/>
        <v>20.5</v>
      </c>
      <c r="V335" s="1026">
        <f>U335*(списки!$C$56-S335)</f>
        <v>284.95</v>
      </c>
      <c r="W335" s="1027">
        <v>-5.2</v>
      </c>
      <c r="X335" s="1027"/>
      <c r="Y335" s="1027">
        <f t="shared" si="58"/>
        <v>31</v>
      </c>
      <c r="Z335" s="1027">
        <f>Y335*(списки!$C$56-W335)</f>
        <v>781.19999999999993</v>
      </c>
      <c r="AA335" s="1028">
        <v>-21.2</v>
      </c>
      <c r="AB335" s="1028"/>
      <c r="AC335" s="1028">
        <f t="shared" si="59"/>
        <v>30</v>
      </c>
      <c r="AD335" s="1028">
        <f>AC335*(списки!$C$56-AA335)</f>
        <v>1236</v>
      </c>
      <c r="AE335" s="1029">
        <v>-29.7</v>
      </c>
      <c r="AF335" s="1029"/>
      <c r="AG335" s="1029">
        <v>31</v>
      </c>
      <c r="AH335" s="1029">
        <f>AG335*(списки!$C$56-AE335)</f>
        <v>1540.7</v>
      </c>
      <c r="AI335" s="1030">
        <v>-31.4</v>
      </c>
      <c r="AJ335" s="1030"/>
      <c r="AK335" s="1030">
        <v>31</v>
      </c>
      <c r="AL335" s="1030">
        <f>AK335*(списки!$C$56-AI335)</f>
        <v>1593.3999999999999</v>
      </c>
      <c r="AM335" s="1031">
        <v>-27.3</v>
      </c>
      <c r="AN335" s="1031"/>
      <c r="AO335" s="1031">
        <v>28</v>
      </c>
      <c r="AP335" s="1031">
        <f>AO335*(списки!$C$56-AM335)</f>
        <v>1324.3999999999999</v>
      </c>
      <c r="AQ335" s="1026">
        <v>-15.5</v>
      </c>
      <c r="AR335" s="1026"/>
      <c r="AS335" s="1026">
        <f t="shared" si="60"/>
        <v>31</v>
      </c>
      <c r="AT335" s="1026">
        <f>AS335*(списки!$C$56-AQ335)</f>
        <v>1100.5</v>
      </c>
      <c r="AU335" s="1032">
        <v>-3.3</v>
      </c>
      <c r="AV335" s="1032"/>
      <c r="AW335" s="1032">
        <f t="shared" si="61"/>
        <v>30</v>
      </c>
      <c r="AX335" s="1032">
        <f>AW335*(списки!$C$56-AU335)</f>
        <v>699</v>
      </c>
      <c r="AY335" s="1033">
        <v>7</v>
      </c>
      <c r="AZ335" s="1033"/>
      <c r="BA335" s="1033">
        <f t="shared" si="62"/>
        <v>20.5</v>
      </c>
      <c r="BB335" s="1033">
        <f>BA335*(списки!$C$56-AY335)</f>
        <v>266.5</v>
      </c>
      <c r="BC335" s="1034">
        <v>15.1</v>
      </c>
      <c r="BD335" s="1034"/>
      <c r="BE335" s="1034">
        <f t="shared" si="63"/>
        <v>0</v>
      </c>
      <c r="BF335" s="1035">
        <f>BE335*(списки!$C$56-BC335)</f>
        <v>0</v>
      </c>
      <c r="BG335" s="1424">
        <v>8691.594642857146</v>
      </c>
      <c r="BH335" s="1424">
        <v>8561.807142857142</v>
      </c>
    </row>
    <row r="336" spans="2:60" ht="15.75" customHeight="1" x14ac:dyDescent="0.25">
      <c r="B336" s="1038" t="s">
        <v>336</v>
      </c>
      <c r="C336" s="1038" t="s">
        <v>358</v>
      </c>
      <c r="D336" s="1015" t="str">
        <f t="shared" si="65"/>
        <v>Республика Саха (Якутия)Оленек</v>
      </c>
      <c r="E336" s="1016">
        <v>287</v>
      </c>
      <c r="F336" s="1017">
        <v>-18.899999999999999</v>
      </c>
      <c r="G336" s="1017">
        <v>-55</v>
      </c>
      <c r="H336" s="1019">
        <v>2.5</v>
      </c>
      <c r="I336" s="1020">
        <f>E336*(списки!$C$56-F336)</f>
        <v>11164.3</v>
      </c>
      <c r="J336" s="1021" t="str">
        <f t="shared" si="55"/>
        <v>11000-12000</v>
      </c>
      <c r="K336" s="1022">
        <v>15</v>
      </c>
      <c r="L336" s="1022"/>
      <c r="M336" s="1023">
        <f t="shared" si="56"/>
        <v>0</v>
      </c>
      <c r="N336" s="1024">
        <f>M336*(списки!$C$56-K336)</f>
        <v>0</v>
      </c>
      <c r="O336" s="1025">
        <v>10.8</v>
      </c>
      <c r="P336" s="1025"/>
      <c r="Q336" s="1025">
        <f t="shared" si="57"/>
        <v>7</v>
      </c>
      <c r="R336" s="1025">
        <f>Q336*(списки!$C$56-O336)</f>
        <v>64.399999999999991</v>
      </c>
      <c r="S336" s="1026">
        <v>2.2999999999999998</v>
      </c>
      <c r="T336" s="1026"/>
      <c r="U336" s="1026">
        <f t="shared" si="64"/>
        <v>30</v>
      </c>
      <c r="V336" s="1026">
        <f>U336*(списки!$C$56-S336)</f>
        <v>531</v>
      </c>
      <c r="W336" s="1027">
        <v>-11.6</v>
      </c>
      <c r="X336" s="1027"/>
      <c r="Y336" s="1027">
        <f t="shared" si="58"/>
        <v>31</v>
      </c>
      <c r="Z336" s="1027">
        <f>Y336*(списки!$C$56-W336)</f>
        <v>979.6</v>
      </c>
      <c r="AA336" s="1028">
        <v>-28.6</v>
      </c>
      <c r="AB336" s="1028"/>
      <c r="AC336" s="1028">
        <f t="shared" si="59"/>
        <v>30</v>
      </c>
      <c r="AD336" s="1028">
        <f>AC336*(списки!$C$56-AA336)</f>
        <v>1458</v>
      </c>
      <c r="AE336" s="1029">
        <v>-33.700000000000003</v>
      </c>
      <c r="AF336" s="1029"/>
      <c r="AG336" s="1029">
        <v>31</v>
      </c>
      <c r="AH336" s="1029">
        <f>AG336*(списки!$C$56-AE336)</f>
        <v>1664.7</v>
      </c>
      <c r="AI336" s="1030">
        <v>-37</v>
      </c>
      <c r="AJ336" s="1030"/>
      <c r="AK336" s="1030">
        <v>31</v>
      </c>
      <c r="AL336" s="1030">
        <f>AK336*(списки!$C$56-AI336)</f>
        <v>1767</v>
      </c>
      <c r="AM336" s="1031">
        <v>-33.700000000000003</v>
      </c>
      <c r="AN336" s="1031"/>
      <c r="AO336" s="1031">
        <v>28</v>
      </c>
      <c r="AP336" s="1031">
        <f>AO336*(списки!$C$56-AM336)</f>
        <v>1503.6000000000001</v>
      </c>
      <c r="AQ336" s="1026">
        <v>-22.8</v>
      </c>
      <c r="AR336" s="1026"/>
      <c r="AS336" s="1026">
        <f t="shared" si="60"/>
        <v>31</v>
      </c>
      <c r="AT336" s="1026">
        <f>AS336*(списки!$C$56-AQ336)</f>
        <v>1326.8</v>
      </c>
      <c r="AU336" s="1032">
        <v>-11.7</v>
      </c>
      <c r="AV336" s="1032"/>
      <c r="AW336" s="1032">
        <f t="shared" si="61"/>
        <v>30</v>
      </c>
      <c r="AX336" s="1032">
        <f>AW336*(списки!$C$56-AU336)</f>
        <v>951</v>
      </c>
      <c r="AY336" s="1033">
        <v>-1.2</v>
      </c>
      <c r="AZ336" s="1033"/>
      <c r="BA336" s="1033">
        <f t="shared" si="62"/>
        <v>31</v>
      </c>
      <c r="BB336" s="1033">
        <f>BA336*(списки!$C$56-AY336)</f>
        <v>657.19999999999993</v>
      </c>
      <c r="BC336" s="1034">
        <v>10</v>
      </c>
      <c r="BD336" s="1034"/>
      <c r="BE336" s="1034">
        <f t="shared" si="63"/>
        <v>7</v>
      </c>
      <c r="BF336" s="1035">
        <f>BE336*(списки!$C$56-BC336)</f>
        <v>70</v>
      </c>
      <c r="BG336" s="1424">
        <v>10224.508928571437</v>
      </c>
      <c r="BH336" s="1424">
        <v>10531.361309523816</v>
      </c>
    </row>
    <row r="337" spans="2:60" ht="15.75" customHeight="1" x14ac:dyDescent="0.25">
      <c r="B337" s="1014" t="s">
        <v>336</v>
      </c>
      <c r="C337" s="1014" t="s">
        <v>686</v>
      </c>
      <c r="D337" s="1015" t="str">
        <f t="shared" si="65"/>
        <v>Республика Саха (Якутия)Охотский Перевоз</v>
      </c>
      <c r="E337" s="1016">
        <v>260</v>
      </c>
      <c r="F337" s="1017">
        <v>-21.7</v>
      </c>
      <c r="G337" s="1017">
        <v>-55</v>
      </c>
      <c r="H337" s="1019">
        <v>1.8</v>
      </c>
      <c r="I337" s="1020">
        <f>E337*(списки!$C$56-F337)</f>
        <v>10842</v>
      </c>
      <c r="J337" s="1021" t="str">
        <f t="shared" si="55"/>
        <v>10000-11000</v>
      </c>
      <c r="K337" s="1022">
        <v>17.399999999999999</v>
      </c>
      <c r="L337" s="1022"/>
      <c r="M337" s="1023">
        <f t="shared" si="56"/>
        <v>0</v>
      </c>
      <c r="N337" s="1024">
        <f>M337*(списки!$C$56-K337)</f>
        <v>0</v>
      </c>
      <c r="O337" s="1025">
        <v>14</v>
      </c>
      <c r="P337" s="1025"/>
      <c r="Q337" s="1025">
        <f t="shared" si="57"/>
        <v>0</v>
      </c>
      <c r="R337" s="1025">
        <f>Q337*(списки!$C$56-O337)</f>
        <v>0</v>
      </c>
      <c r="S337" s="1026">
        <v>5.5</v>
      </c>
      <c r="T337" s="1026"/>
      <c r="U337" s="1026">
        <f t="shared" si="64"/>
        <v>24</v>
      </c>
      <c r="V337" s="1026">
        <f>U337*(списки!$C$56-S337)</f>
        <v>348</v>
      </c>
      <c r="W337" s="1027">
        <v>-8.6999999999999993</v>
      </c>
      <c r="X337" s="1027"/>
      <c r="Y337" s="1027">
        <f t="shared" si="58"/>
        <v>31</v>
      </c>
      <c r="Z337" s="1027">
        <f>Y337*(списки!$C$56-W337)</f>
        <v>889.69999999999993</v>
      </c>
      <c r="AA337" s="1028">
        <v>-30.3</v>
      </c>
      <c r="AB337" s="1028"/>
      <c r="AC337" s="1028">
        <f t="shared" si="59"/>
        <v>30</v>
      </c>
      <c r="AD337" s="1028">
        <f>AC337*(списки!$C$56-AA337)</f>
        <v>1509</v>
      </c>
      <c r="AE337" s="1029">
        <v>-41.1</v>
      </c>
      <c r="AF337" s="1029"/>
      <c r="AG337" s="1029">
        <v>31</v>
      </c>
      <c r="AH337" s="1029">
        <f>AG337*(списки!$C$56-AE337)</f>
        <v>1894.1000000000001</v>
      </c>
      <c r="AI337" s="1030">
        <v>-44.2</v>
      </c>
      <c r="AJ337" s="1030"/>
      <c r="AK337" s="1030">
        <v>31</v>
      </c>
      <c r="AL337" s="1030">
        <f>AK337*(списки!$C$56-AI337)</f>
        <v>1990.2</v>
      </c>
      <c r="AM337" s="1031">
        <v>-39.4</v>
      </c>
      <c r="AN337" s="1031"/>
      <c r="AO337" s="1031">
        <v>28</v>
      </c>
      <c r="AP337" s="1031">
        <f>AO337*(списки!$C$56-AM337)</f>
        <v>1663.2</v>
      </c>
      <c r="AQ337" s="1026">
        <v>-24.7</v>
      </c>
      <c r="AR337" s="1026"/>
      <c r="AS337" s="1026">
        <f t="shared" si="60"/>
        <v>31</v>
      </c>
      <c r="AT337" s="1026">
        <f>AS337*(списки!$C$56-AQ337)</f>
        <v>1385.7</v>
      </c>
      <c r="AU337" s="1032">
        <v>-7.8</v>
      </c>
      <c r="AV337" s="1032"/>
      <c r="AW337" s="1032">
        <f t="shared" si="61"/>
        <v>30</v>
      </c>
      <c r="AX337" s="1032">
        <f>AW337*(списки!$C$56-AU337)</f>
        <v>834</v>
      </c>
      <c r="AY337" s="1033">
        <v>5.7</v>
      </c>
      <c r="AZ337" s="1033"/>
      <c r="BA337" s="1033">
        <f t="shared" si="62"/>
        <v>24</v>
      </c>
      <c r="BB337" s="1033">
        <f>BA337*(списки!$C$56-AY337)</f>
        <v>343.20000000000005</v>
      </c>
      <c r="BC337" s="1034">
        <v>14.2</v>
      </c>
      <c r="BD337" s="1034"/>
      <c r="BE337" s="1034">
        <f t="shared" si="63"/>
        <v>0</v>
      </c>
      <c r="BF337" s="1035">
        <f>BE337*(списки!$C$56-BC337)</f>
        <v>0</v>
      </c>
      <c r="BG337" s="1424">
        <v>10475.398214285717</v>
      </c>
      <c r="BH337" s="1424">
        <v>9960.9792857142857</v>
      </c>
    </row>
    <row r="338" spans="2:60" ht="15.75" customHeight="1" x14ac:dyDescent="0.25">
      <c r="B338" s="1038" t="s">
        <v>336</v>
      </c>
      <c r="C338" s="1038" t="s">
        <v>360</v>
      </c>
      <c r="D338" s="1015" t="str">
        <f t="shared" si="65"/>
        <v>Республика Саха (Якутия)Сангар</v>
      </c>
      <c r="E338" s="1016">
        <v>261</v>
      </c>
      <c r="F338" s="1017">
        <v>-19.600000000000001</v>
      </c>
      <c r="G338" s="1017">
        <v>-50</v>
      </c>
      <c r="H338" s="1019">
        <v>7.6</v>
      </c>
      <c r="I338" s="1020">
        <f>E338*(списки!$C$56-F338)</f>
        <v>10335.6</v>
      </c>
      <c r="J338" s="1021" t="str">
        <f t="shared" si="55"/>
        <v>10000-11000</v>
      </c>
      <c r="K338" s="1022">
        <v>18.100000000000001</v>
      </c>
      <c r="L338" s="1022"/>
      <c r="M338" s="1023">
        <f t="shared" si="56"/>
        <v>0</v>
      </c>
      <c r="N338" s="1024">
        <f>M338*(списки!$C$56-K338)</f>
        <v>0</v>
      </c>
      <c r="O338" s="1025">
        <v>14.5</v>
      </c>
      <c r="P338" s="1025"/>
      <c r="Q338" s="1025">
        <f t="shared" si="57"/>
        <v>0</v>
      </c>
      <c r="R338" s="1025">
        <f>Q338*(списки!$C$56-O338)</f>
        <v>0</v>
      </c>
      <c r="S338" s="1026">
        <v>6</v>
      </c>
      <c r="T338" s="1026"/>
      <c r="U338" s="1026">
        <f t="shared" si="64"/>
        <v>24.5</v>
      </c>
      <c r="V338" s="1026">
        <f>U338*(списки!$C$56-S338)</f>
        <v>343</v>
      </c>
      <c r="W338" s="1027">
        <v>-8.6999999999999993</v>
      </c>
      <c r="X338" s="1027"/>
      <c r="Y338" s="1027">
        <f t="shared" si="58"/>
        <v>31</v>
      </c>
      <c r="Z338" s="1027">
        <f>Y338*(списки!$C$56-W338)</f>
        <v>889.69999999999993</v>
      </c>
      <c r="AA338" s="1028">
        <v>-28.5</v>
      </c>
      <c r="AB338" s="1028"/>
      <c r="AC338" s="1028">
        <f t="shared" si="59"/>
        <v>30</v>
      </c>
      <c r="AD338" s="1028">
        <f>AC338*(списки!$C$56-AA338)</f>
        <v>1455</v>
      </c>
      <c r="AE338" s="1029">
        <v>-37.299999999999997</v>
      </c>
      <c r="AF338" s="1029"/>
      <c r="AG338" s="1029">
        <v>31</v>
      </c>
      <c r="AH338" s="1029">
        <f>AG338*(списки!$C$56-AE338)</f>
        <v>1776.3</v>
      </c>
      <c r="AI338" s="1030">
        <v>-39.1</v>
      </c>
      <c r="AJ338" s="1030"/>
      <c r="AK338" s="1030">
        <v>31</v>
      </c>
      <c r="AL338" s="1030">
        <f>AK338*(списки!$C$56-AI338)</f>
        <v>1832.1000000000001</v>
      </c>
      <c r="AM338" s="1031">
        <v>-34.5</v>
      </c>
      <c r="AN338" s="1031"/>
      <c r="AO338" s="1031">
        <v>28</v>
      </c>
      <c r="AP338" s="1031">
        <f>AO338*(списки!$C$56-AM338)</f>
        <v>1526</v>
      </c>
      <c r="AQ338" s="1026">
        <v>-21.6</v>
      </c>
      <c r="AR338" s="1026"/>
      <c r="AS338" s="1026">
        <f t="shared" si="60"/>
        <v>31</v>
      </c>
      <c r="AT338" s="1026">
        <f>AS338*(списки!$C$56-AQ338)</f>
        <v>1289.6000000000001</v>
      </c>
      <c r="AU338" s="1032">
        <v>-8.5</v>
      </c>
      <c r="AV338" s="1032"/>
      <c r="AW338" s="1032">
        <f t="shared" si="61"/>
        <v>30</v>
      </c>
      <c r="AX338" s="1032">
        <f>AW338*(списки!$C$56-AU338)</f>
        <v>855</v>
      </c>
      <c r="AY338" s="1033">
        <v>4.0999999999999996</v>
      </c>
      <c r="AZ338" s="1033"/>
      <c r="BA338" s="1033">
        <f t="shared" si="62"/>
        <v>24.5</v>
      </c>
      <c r="BB338" s="1033">
        <f>BA338*(списки!$C$56-AY338)</f>
        <v>389.55</v>
      </c>
      <c r="BC338" s="1034">
        <v>14.3</v>
      </c>
      <c r="BD338" s="1034"/>
      <c r="BE338" s="1034">
        <f t="shared" si="63"/>
        <v>0</v>
      </c>
      <c r="BF338" s="1035">
        <f>BE338*(списки!$C$56-BC338)</f>
        <v>0</v>
      </c>
      <c r="BG338" s="1424">
        <v>9846.9035714285674</v>
      </c>
      <c r="BH338" s="1424">
        <v>9901.1982142857141</v>
      </c>
    </row>
    <row r="339" spans="2:60" ht="15.75" customHeight="1" x14ac:dyDescent="0.25">
      <c r="B339" s="1014" t="s">
        <v>336</v>
      </c>
      <c r="C339" s="1014" t="s">
        <v>361</v>
      </c>
      <c r="D339" s="1015" t="str">
        <f t="shared" si="65"/>
        <v>Республика Саха (Якутия)Саскылах</v>
      </c>
      <c r="E339" s="1016">
        <v>308</v>
      </c>
      <c r="F339" s="1017">
        <v>-19.3</v>
      </c>
      <c r="G339" s="1017">
        <v>-53</v>
      </c>
      <c r="H339" s="1019">
        <v>3.4</v>
      </c>
      <c r="I339" s="1020">
        <f>E339*(списки!$C$56-F339)</f>
        <v>12104.4</v>
      </c>
      <c r="J339" s="1021" t="str">
        <f t="shared" si="55"/>
        <v>12000-13000</v>
      </c>
      <c r="K339" s="1022">
        <v>11.5</v>
      </c>
      <c r="L339" s="1022"/>
      <c r="M339" s="1023">
        <f t="shared" si="56"/>
        <v>0</v>
      </c>
      <c r="N339" s="1024">
        <f>M339*(списки!$C$56-K339)</f>
        <v>0</v>
      </c>
      <c r="O339" s="1025">
        <v>8.3000000000000007</v>
      </c>
      <c r="P339" s="1025"/>
      <c r="Q339" s="1025">
        <f t="shared" si="57"/>
        <v>17.5</v>
      </c>
      <c r="R339" s="1025">
        <f>Q339*(списки!$C$56-O339)</f>
        <v>204.75</v>
      </c>
      <c r="S339" s="1026">
        <v>0.8</v>
      </c>
      <c r="T339" s="1026"/>
      <c r="U339" s="1026">
        <f t="shared" si="64"/>
        <v>30</v>
      </c>
      <c r="V339" s="1026">
        <f>U339*(списки!$C$56-S339)</f>
        <v>576</v>
      </c>
      <c r="W339" s="1027">
        <v>-13.4</v>
      </c>
      <c r="X339" s="1027"/>
      <c r="Y339" s="1027">
        <f t="shared" si="58"/>
        <v>31</v>
      </c>
      <c r="Z339" s="1027">
        <f>Y339*(списки!$C$56-W339)</f>
        <v>1035.3999999999999</v>
      </c>
      <c r="AA339" s="1028">
        <v>-28.2</v>
      </c>
      <c r="AB339" s="1028"/>
      <c r="AC339" s="1028">
        <f t="shared" si="59"/>
        <v>30</v>
      </c>
      <c r="AD339" s="1028">
        <f>AC339*(списки!$C$56-AA339)</f>
        <v>1446</v>
      </c>
      <c r="AE339" s="1029">
        <v>-32.299999999999997</v>
      </c>
      <c r="AF339" s="1029"/>
      <c r="AG339" s="1029">
        <v>31</v>
      </c>
      <c r="AH339" s="1029">
        <f>AG339*(списки!$C$56-AE339)</f>
        <v>1621.3</v>
      </c>
      <c r="AI339" s="1030">
        <v>-35.200000000000003</v>
      </c>
      <c r="AJ339" s="1030"/>
      <c r="AK339" s="1030">
        <v>31</v>
      </c>
      <c r="AL339" s="1030">
        <f>AK339*(списки!$C$56-AI339)</f>
        <v>1711.2</v>
      </c>
      <c r="AM339" s="1031">
        <v>-34.4</v>
      </c>
      <c r="AN339" s="1031"/>
      <c r="AO339" s="1031">
        <v>28</v>
      </c>
      <c r="AP339" s="1031">
        <f>AO339*(списки!$C$56-AM339)</f>
        <v>1523.2</v>
      </c>
      <c r="AQ339" s="1026">
        <v>-28.6</v>
      </c>
      <c r="AR339" s="1026"/>
      <c r="AS339" s="1026">
        <f t="shared" si="60"/>
        <v>31</v>
      </c>
      <c r="AT339" s="1026">
        <f>AS339*(списки!$C$56-AQ339)</f>
        <v>1506.6000000000001</v>
      </c>
      <c r="AU339" s="1032">
        <v>-19</v>
      </c>
      <c r="AV339" s="1032"/>
      <c r="AW339" s="1032">
        <f t="shared" si="61"/>
        <v>30</v>
      </c>
      <c r="AX339" s="1032">
        <f>AW339*(списки!$C$56-AU339)</f>
        <v>1170</v>
      </c>
      <c r="AY339" s="1033">
        <v>-7.4</v>
      </c>
      <c r="AZ339" s="1033"/>
      <c r="BA339" s="1033">
        <f t="shared" si="62"/>
        <v>31</v>
      </c>
      <c r="BB339" s="1033">
        <f>BA339*(списки!$C$56-AY339)</f>
        <v>849.4</v>
      </c>
      <c r="BC339" s="1034">
        <v>5.3</v>
      </c>
      <c r="BD339" s="1034"/>
      <c r="BE339" s="1034">
        <f t="shared" si="63"/>
        <v>17.5</v>
      </c>
      <c r="BF339" s="1035">
        <f>BE339*(списки!$C$56-BC339)</f>
        <v>257.25</v>
      </c>
      <c r="BG339" s="1424">
        <v>11194.501785714281</v>
      </c>
      <c r="BH339" s="1424">
        <v>11328.217738095236</v>
      </c>
    </row>
    <row r="340" spans="2:60" ht="15.75" customHeight="1" x14ac:dyDescent="0.25">
      <c r="B340" s="1038" t="s">
        <v>336</v>
      </c>
      <c r="C340" s="1038" t="s">
        <v>363</v>
      </c>
      <c r="D340" s="1015" t="str">
        <f t="shared" si="65"/>
        <v>Республика Саха (Якутия)Среднеколымск</v>
      </c>
      <c r="E340" s="1016">
        <v>277</v>
      </c>
      <c r="F340" s="1017">
        <v>-19.8</v>
      </c>
      <c r="G340" s="1017">
        <v>-50</v>
      </c>
      <c r="H340" s="1019">
        <v>1.9</v>
      </c>
      <c r="I340" s="1020">
        <f>E340*(списки!$C$56-F340)</f>
        <v>11024.599999999999</v>
      </c>
      <c r="J340" s="1021" t="str">
        <f t="shared" si="55"/>
        <v>11000-12000</v>
      </c>
      <c r="K340" s="1022">
        <v>14.4</v>
      </c>
      <c r="L340" s="1022"/>
      <c r="M340" s="1023">
        <f t="shared" si="56"/>
        <v>0</v>
      </c>
      <c r="N340" s="1024">
        <f>M340*(списки!$C$56-K340)</f>
        <v>0</v>
      </c>
      <c r="O340" s="1025">
        <v>10.6</v>
      </c>
      <c r="P340" s="1025"/>
      <c r="Q340" s="1025">
        <f t="shared" si="57"/>
        <v>2</v>
      </c>
      <c r="R340" s="1025">
        <f>Q340*(списки!$C$56-O340)</f>
        <v>18.8</v>
      </c>
      <c r="S340" s="1026">
        <v>3.3</v>
      </c>
      <c r="T340" s="1026"/>
      <c r="U340" s="1026">
        <f t="shared" si="64"/>
        <v>30</v>
      </c>
      <c r="V340" s="1026">
        <f>U340*(списки!$C$56-S340)</f>
        <v>501</v>
      </c>
      <c r="W340" s="1027">
        <v>-10.9</v>
      </c>
      <c r="X340" s="1027"/>
      <c r="Y340" s="1027">
        <f t="shared" si="58"/>
        <v>31</v>
      </c>
      <c r="Z340" s="1027">
        <f>Y340*(списки!$C$56-W340)</f>
        <v>957.9</v>
      </c>
      <c r="AA340" s="1028">
        <v>-26.8</v>
      </c>
      <c r="AB340" s="1028"/>
      <c r="AC340" s="1028">
        <f t="shared" si="59"/>
        <v>30</v>
      </c>
      <c r="AD340" s="1028">
        <f>AC340*(списки!$C$56-AA340)</f>
        <v>1404</v>
      </c>
      <c r="AE340" s="1029">
        <v>-34.4</v>
      </c>
      <c r="AF340" s="1029"/>
      <c r="AG340" s="1029">
        <v>31</v>
      </c>
      <c r="AH340" s="1029">
        <f>AG340*(списки!$C$56-AE340)</f>
        <v>1686.3999999999999</v>
      </c>
      <c r="AI340" s="1030">
        <v>-36.200000000000003</v>
      </c>
      <c r="AJ340" s="1030"/>
      <c r="AK340" s="1030">
        <v>31</v>
      </c>
      <c r="AL340" s="1030">
        <f>AK340*(списки!$C$56-AI340)</f>
        <v>1742.2</v>
      </c>
      <c r="AM340" s="1031">
        <v>-33.9</v>
      </c>
      <c r="AN340" s="1031"/>
      <c r="AO340" s="1031">
        <v>28</v>
      </c>
      <c r="AP340" s="1031">
        <f>AO340*(списки!$C$56-AM340)</f>
        <v>1509.2</v>
      </c>
      <c r="AQ340" s="1026">
        <v>-26.2</v>
      </c>
      <c r="AR340" s="1026"/>
      <c r="AS340" s="1026">
        <f t="shared" si="60"/>
        <v>31</v>
      </c>
      <c r="AT340" s="1026">
        <f>AS340*(списки!$C$56-AQ340)</f>
        <v>1432.2</v>
      </c>
      <c r="AU340" s="1032">
        <v>-13.9</v>
      </c>
      <c r="AV340" s="1032"/>
      <c r="AW340" s="1032">
        <f t="shared" si="61"/>
        <v>30</v>
      </c>
      <c r="AX340" s="1032">
        <f>AW340*(списки!$C$56-AU340)</f>
        <v>1017</v>
      </c>
      <c r="AY340" s="1033">
        <v>1.1000000000000001</v>
      </c>
      <c r="AZ340" s="1033"/>
      <c r="BA340" s="1033">
        <f t="shared" si="62"/>
        <v>31</v>
      </c>
      <c r="BB340" s="1033">
        <f>BA340*(списки!$C$56-AY340)</f>
        <v>585.9</v>
      </c>
      <c r="BC340" s="1034">
        <v>11.4</v>
      </c>
      <c r="BD340" s="1034"/>
      <c r="BE340" s="1034">
        <f t="shared" si="63"/>
        <v>2</v>
      </c>
      <c r="BF340" s="1035">
        <f>BE340*(списки!$C$56-BC340)</f>
        <v>17.2</v>
      </c>
      <c r="BG340" s="1424">
        <v>9576.7541666666657</v>
      </c>
      <c r="BH340" s="1424">
        <v>9850.912500000004</v>
      </c>
    </row>
    <row r="341" spans="2:60" ht="15.75" customHeight="1" x14ac:dyDescent="0.25">
      <c r="B341" s="1014" t="s">
        <v>336</v>
      </c>
      <c r="C341" s="1014" t="s">
        <v>365</v>
      </c>
      <c r="D341" s="1015" t="str">
        <f t="shared" si="65"/>
        <v>Республика Саха (Якутия)Сунтар</v>
      </c>
      <c r="E341" s="1016">
        <v>257</v>
      </c>
      <c r="F341" s="1017">
        <v>-16.8</v>
      </c>
      <c r="G341" s="1017">
        <v>-52</v>
      </c>
      <c r="H341" s="1019">
        <v>2.2999999999999998</v>
      </c>
      <c r="I341" s="1020">
        <f>E341*(списки!$C$56-F341)</f>
        <v>9457.5999999999985</v>
      </c>
      <c r="J341" s="1021" t="str">
        <f t="shared" si="55"/>
        <v>9000-10000</v>
      </c>
      <c r="K341" s="1022">
        <v>18</v>
      </c>
      <c r="L341" s="1022"/>
      <c r="M341" s="1023">
        <f t="shared" si="56"/>
        <v>0</v>
      </c>
      <c r="N341" s="1024">
        <f>M341*(списки!$C$56-K341)</f>
        <v>0</v>
      </c>
      <c r="O341" s="1025">
        <v>14.2</v>
      </c>
      <c r="P341" s="1025"/>
      <c r="Q341" s="1025">
        <f t="shared" si="57"/>
        <v>0</v>
      </c>
      <c r="R341" s="1025">
        <f>Q341*(списки!$C$56-O341)</f>
        <v>0</v>
      </c>
      <c r="S341" s="1026">
        <v>5.6</v>
      </c>
      <c r="T341" s="1026"/>
      <c r="U341" s="1026">
        <f t="shared" si="64"/>
        <v>22.5</v>
      </c>
      <c r="V341" s="1026">
        <f>U341*(списки!$C$56-S341)</f>
        <v>324</v>
      </c>
      <c r="W341" s="1027">
        <v>-6</v>
      </c>
      <c r="X341" s="1027"/>
      <c r="Y341" s="1027">
        <f t="shared" si="58"/>
        <v>31</v>
      </c>
      <c r="Z341" s="1027">
        <f>Y341*(списки!$C$56-W341)</f>
        <v>806</v>
      </c>
      <c r="AA341" s="1028">
        <v>-23.2</v>
      </c>
      <c r="AB341" s="1028"/>
      <c r="AC341" s="1028">
        <f t="shared" si="59"/>
        <v>30</v>
      </c>
      <c r="AD341" s="1028">
        <f>AC341*(списки!$C$56-AA341)</f>
        <v>1296</v>
      </c>
      <c r="AE341" s="1029">
        <v>-30.9</v>
      </c>
      <c r="AF341" s="1029"/>
      <c r="AG341" s="1029">
        <v>31</v>
      </c>
      <c r="AH341" s="1029">
        <f>AG341*(списки!$C$56-AE341)</f>
        <v>1577.8999999999999</v>
      </c>
      <c r="AI341" s="1030">
        <v>-32.9</v>
      </c>
      <c r="AJ341" s="1030"/>
      <c r="AK341" s="1030">
        <v>31</v>
      </c>
      <c r="AL341" s="1030">
        <f>AK341*(списки!$C$56-AI341)</f>
        <v>1639.8999999999999</v>
      </c>
      <c r="AM341" s="1031">
        <v>-29.2</v>
      </c>
      <c r="AN341" s="1031"/>
      <c r="AO341" s="1031">
        <v>28</v>
      </c>
      <c r="AP341" s="1031">
        <f>AO341*(списки!$C$56-AM341)</f>
        <v>1377.6000000000001</v>
      </c>
      <c r="AQ341" s="1026">
        <v>-17.8</v>
      </c>
      <c r="AR341" s="1026"/>
      <c r="AS341" s="1026">
        <f t="shared" si="60"/>
        <v>31</v>
      </c>
      <c r="AT341" s="1026">
        <f>AS341*(списки!$C$56-AQ341)</f>
        <v>1171.8</v>
      </c>
      <c r="AU341" s="1032">
        <v>-4.8</v>
      </c>
      <c r="AV341" s="1032"/>
      <c r="AW341" s="1032">
        <f t="shared" si="61"/>
        <v>30</v>
      </c>
      <c r="AX341" s="1032">
        <f>AW341*(списки!$C$56-AU341)</f>
        <v>744</v>
      </c>
      <c r="AY341" s="1033">
        <v>6.3</v>
      </c>
      <c r="AZ341" s="1033"/>
      <c r="BA341" s="1033">
        <f t="shared" si="62"/>
        <v>22.5</v>
      </c>
      <c r="BB341" s="1033">
        <f>BA341*(списки!$C$56-AY341)</f>
        <v>308.25</v>
      </c>
      <c r="BC341" s="1034">
        <v>15.1</v>
      </c>
      <c r="BD341" s="1034"/>
      <c r="BE341" s="1034">
        <f t="shared" si="63"/>
        <v>0</v>
      </c>
      <c r="BF341" s="1035">
        <f>BE341*(списки!$C$56-BC341)</f>
        <v>0</v>
      </c>
      <c r="BG341" s="1424">
        <v>8864.6910714285768</v>
      </c>
      <c r="BH341" s="1424">
        <v>8689.6589285714217</v>
      </c>
    </row>
    <row r="342" spans="2:60" ht="15.75" customHeight="1" x14ac:dyDescent="0.25">
      <c r="B342" s="1038" t="s">
        <v>336</v>
      </c>
      <c r="C342" s="1038" t="s">
        <v>364</v>
      </c>
      <c r="D342" s="1015" t="str">
        <f t="shared" si="65"/>
        <v>Республика Саха (Якутия)Сухана</v>
      </c>
      <c r="E342" s="1016">
        <v>284</v>
      </c>
      <c r="F342" s="1017">
        <v>-21.4</v>
      </c>
      <c r="G342" s="1017">
        <v>-59</v>
      </c>
      <c r="H342" s="1019">
        <v>2.6</v>
      </c>
      <c r="I342" s="1020">
        <f>E342*(списки!$C$56-F342)</f>
        <v>11757.6</v>
      </c>
      <c r="J342" s="1021" t="str">
        <f t="shared" si="55"/>
        <v>11000-12000</v>
      </c>
      <c r="K342" s="1022">
        <v>15.1</v>
      </c>
      <c r="L342" s="1022"/>
      <c r="M342" s="1023">
        <f t="shared" si="56"/>
        <v>0</v>
      </c>
      <c r="N342" s="1024">
        <f>M342*(списки!$C$56-K342)</f>
        <v>0</v>
      </c>
      <c r="O342" s="1025">
        <v>10.5</v>
      </c>
      <c r="P342" s="1025"/>
      <c r="Q342" s="1025">
        <f t="shared" si="57"/>
        <v>5.5</v>
      </c>
      <c r="R342" s="1025">
        <f>Q342*(списки!$C$56-O342)</f>
        <v>52.25</v>
      </c>
      <c r="S342" s="1026">
        <v>2.2999999999999998</v>
      </c>
      <c r="T342" s="1026"/>
      <c r="U342" s="1026">
        <f t="shared" si="64"/>
        <v>30</v>
      </c>
      <c r="V342" s="1026">
        <f>U342*(списки!$C$56-S342)</f>
        <v>531</v>
      </c>
      <c r="W342" s="1027">
        <v>-12.3</v>
      </c>
      <c r="X342" s="1027"/>
      <c r="Y342" s="1027">
        <f t="shared" si="58"/>
        <v>31</v>
      </c>
      <c r="Z342" s="1027">
        <f>Y342*(списки!$C$56-W342)</f>
        <v>1001.3</v>
      </c>
      <c r="AA342" s="1028">
        <v>-32.1</v>
      </c>
      <c r="AB342" s="1028"/>
      <c r="AC342" s="1028">
        <f t="shared" si="59"/>
        <v>30</v>
      </c>
      <c r="AD342" s="1028">
        <f>AC342*(списки!$C$56-AA342)</f>
        <v>1563</v>
      </c>
      <c r="AE342" s="1029">
        <v>-38.4</v>
      </c>
      <c r="AF342" s="1029"/>
      <c r="AG342" s="1029">
        <v>31</v>
      </c>
      <c r="AH342" s="1029">
        <f>AG342*(списки!$C$56-AE342)</f>
        <v>1810.3999999999999</v>
      </c>
      <c r="AI342" s="1030">
        <v>-41.7</v>
      </c>
      <c r="AJ342" s="1030"/>
      <c r="AK342" s="1030">
        <v>31</v>
      </c>
      <c r="AL342" s="1030">
        <f>AK342*(списки!$C$56-AI342)</f>
        <v>1912.7</v>
      </c>
      <c r="AM342" s="1031">
        <v>-38</v>
      </c>
      <c r="AN342" s="1031"/>
      <c r="AO342" s="1031">
        <v>28</v>
      </c>
      <c r="AP342" s="1031">
        <f>AO342*(списки!$C$56-AM342)</f>
        <v>1624</v>
      </c>
      <c r="AQ342" s="1026">
        <v>-26</v>
      </c>
      <c r="AR342" s="1026"/>
      <c r="AS342" s="1026">
        <f t="shared" si="60"/>
        <v>31</v>
      </c>
      <c r="AT342" s="1026">
        <f>AS342*(списки!$C$56-AQ342)</f>
        <v>1426</v>
      </c>
      <c r="AU342" s="1032">
        <v>-12.2</v>
      </c>
      <c r="AV342" s="1032"/>
      <c r="AW342" s="1032">
        <f t="shared" si="61"/>
        <v>30</v>
      </c>
      <c r="AX342" s="1032">
        <f>AW342*(списки!$C$56-AU342)</f>
        <v>966.00000000000011</v>
      </c>
      <c r="AY342" s="1033">
        <v>0.1</v>
      </c>
      <c r="AZ342" s="1033"/>
      <c r="BA342" s="1033">
        <f t="shared" si="62"/>
        <v>31</v>
      </c>
      <c r="BB342" s="1033">
        <f>BA342*(списки!$C$56-AY342)</f>
        <v>616.9</v>
      </c>
      <c r="BC342" s="1034">
        <v>11.2</v>
      </c>
      <c r="BD342" s="1034"/>
      <c r="BE342" s="1034">
        <f t="shared" si="63"/>
        <v>5.5</v>
      </c>
      <c r="BF342" s="1035">
        <f>BE342*(списки!$C$56-BC342)</f>
        <v>48.400000000000006</v>
      </c>
      <c r="BG342" s="1424">
        <v>10633.334047619059</v>
      </c>
      <c r="BH342" s="1424">
        <v>10859.973214285717</v>
      </c>
    </row>
    <row r="343" spans="2:60" ht="15.75" customHeight="1" x14ac:dyDescent="0.25">
      <c r="B343" s="1014" t="s">
        <v>336</v>
      </c>
      <c r="C343" s="1014" t="s">
        <v>366</v>
      </c>
      <c r="D343" s="1015" t="str">
        <f t="shared" si="65"/>
        <v>Республика Саха (Якутия)Сюльдюкар</v>
      </c>
      <c r="E343" s="1016">
        <v>270</v>
      </c>
      <c r="F343" s="1017">
        <v>-18</v>
      </c>
      <c r="G343" s="1017">
        <v>-53</v>
      </c>
      <c r="H343" s="1019">
        <f>H342</f>
        <v>2.6</v>
      </c>
      <c r="I343" s="1020">
        <f>E343*(списки!$C$56-F343)</f>
        <v>10260</v>
      </c>
      <c r="J343" s="1021" t="str">
        <f t="shared" si="55"/>
        <v>10000-11000</v>
      </c>
      <c r="K343" s="1022">
        <v>16.399999999999999</v>
      </c>
      <c r="L343" s="1022"/>
      <c r="M343" s="1023">
        <f t="shared" si="56"/>
        <v>0</v>
      </c>
      <c r="N343" s="1024">
        <f>M343*(списки!$C$56-K343)</f>
        <v>0</v>
      </c>
      <c r="O343" s="1025">
        <v>12.6</v>
      </c>
      <c r="P343" s="1025"/>
      <c r="Q343" s="1025">
        <f t="shared" si="57"/>
        <v>0</v>
      </c>
      <c r="R343" s="1025">
        <f>Q343*(списки!$C$56-O343)</f>
        <v>0</v>
      </c>
      <c r="S343" s="1026">
        <v>4.5</v>
      </c>
      <c r="T343" s="1026"/>
      <c r="U343" s="1026">
        <f t="shared" si="64"/>
        <v>29</v>
      </c>
      <c r="V343" s="1026">
        <f>U343*(списки!$C$56-S343)</f>
        <v>449.5</v>
      </c>
      <c r="W343" s="1027">
        <v>-7.4</v>
      </c>
      <c r="X343" s="1027"/>
      <c r="Y343" s="1027">
        <f t="shared" si="58"/>
        <v>31</v>
      </c>
      <c r="Z343" s="1027">
        <f>Y343*(списки!$C$56-W343)</f>
        <v>849.4</v>
      </c>
      <c r="AA343" s="1028">
        <v>-26.9</v>
      </c>
      <c r="AB343" s="1028"/>
      <c r="AC343" s="1028">
        <f t="shared" si="59"/>
        <v>30</v>
      </c>
      <c r="AD343" s="1028">
        <f>AC343*(списки!$C$56-AA343)</f>
        <v>1407</v>
      </c>
      <c r="AE343" s="1029">
        <v>-35.1</v>
      </c>
      <c r="AF343" s="1029"/>
      <c r="AG343" s="1029">
        <v>31</v>
      </c>
      <c r="AH343" s="1029">
        <f>AG343*(списки!$C$56-AE343)</f>
        <v>1708.1000000000001</v>
      </c>
      <c r="AI343" s="1030">
        <v>-37.6</v>
      </c>
      <c r="AJ343" s="1030"/>
      <c r="AK343" s="1030">
        <v>31</v>
      </c>
      <c r="AL343" s="1030">
        <f>AK343*(списки!$C$56-AI343)</f>
        <v>1785.6000000000001</v>
      </c>
      <c r="AM343" s="1031">
        <v>-33.799999999999997</v>
      </c>
      <c r="AN343" s="1031"/>
      <c r="AO343" s="1031">
        <v>28</v>
      </c>
      <c r="AP343" s="1031">
        <f>AO343*(списки!$C$56-AM343)</f>
        <v>1506.3999999999999</v>
      </c>
      <c r="AQ343" s="1026">
        <v>-21.2</v>
      </c>
      <c r="AR343" s="1026"/>
      <c r="AS343" s="1026">
        <f t="shared" si="60"/>
        <v>31</v>
      </c>
      <c r="AT343" s="1026">
        <f>AS343*(списки!$C$56-AQ343)</f>
        <v>1277.2</v>
      </c>
      <c r="AU343" s="1032">
        <v>-8.5</v>
      </c>
      <c r="AV343" s="1032"/>
      <c r="AW343" s="1032">
        <f t="shared" si="61"/>
        <v>30</v>
      </c>
      <c r="AX343" s="1032">
        <f>AW343*(списки!$C$56-AU343)</f>
        <v>855</v>
      </c>
      <c r="AY343" s="1033">
        <v>3.6</v>
      </c>
      <c r="AZ343" s="1033"/>
      <c r="BA343" s="1033">
        <f t="shared" si="62"/>
        <v>29</v>
      </c>
      <c r="BB343" s="1033">
        <f>BA343*(списки!$C$56-AY343)</f>
        <v>475.59999999999997</v>
      </c>
      <c r="BC343" s="1034">
        <v>13.2</v>
      </c>
      <c r="BD343" s="1034"/>
      <c r="BE343" s="1034">
        <f t="shared" si="63"/>
        <v>0</v>
      </c>
      <c r="BF343" s="1035">
        <f>BE343*(списки!$C$56-BC343)</f>
        <v>0</v>
      </c>
      <c r="BG343" s="1424">
        <v>8733.3892857142873</v>
      </c>
      <c r="BH343" s="1424">
        <v>8787.1607142857156</v>
      </c>
    </row>
    <row r="344" spans="2:60" ht="15.75" customHeight="1" x14ac:dyDescent="0.25">
      <c r="B344" s="1038" t="s">
        <v>336</v>
      </c>
      <c r="C344" s="1038" t="s">
        <v>687</v>
      </c>
      <c r="D344" s="1015" t="str">
        <f t="shared" si="65"/>
        <v>Республика Саха (Якутия)Сюрен-Кюель</v>
      </c>
      <c r="E344" s="1016">
        <v>292</v>
      </c>
      <c r="F344" s="1017">
        <v>-17.399999999999999</v>
      </c>
      <c r="G344" s="1017">
        <v>-46</v>
      </c>
      <c r="H344" s="1019">
        <v>8.6999999999999993</v>
      </c>
      <c r="I344" s="1020">
        <f>E344*(списки!$C$56-F344)</f>
        <v>10920.8</v>
      </c>
      <c r="J344" s="1021" t="str">
        <f t="shared" si="55"/>
        <v>10000-11000</v>
      </c>
      <c r="K344" s="1022">
        <v>12.7</v>
      </c>
      <c r="L344" s="1022"/>
      <c r="M344" s="1023">
        <f t="shared" si="56"/>
        <v>0</v>
      </c>
      <c r="N344" s="1024">
        <f>M344*(списки!$C$56-K344)</f>
        <v>0</v>
      </c>
      <c r="O344" s="1025">
        <v>9.9</v>
      </c>
      <c r="P344" s="1025"/>
      <c r="Q344" s="1025">
        <f t="shared" si="57"/>
        <v>9.5</v>
      </c>
      <c r="R344" s="1025">
        <f>Q344*(списки!$C$56-O344)</f>
        <v>95.95</v>
      </c>
      <c r="S344" s="1026">
        <v>1.7</v>
      </c>
      <c r="T344" s="1026"/>
      <c r="U344" s="1026">
        <f t="shared" si="64"/>
        <v>30</v>
      </c>
      <c r="V344" s="1026">
        <f>U344*(списки!$C$56-S344)</f>
        <v>549</v>
      </c>
      <c r="W344" s="1027">
        <v>-12.1</v>
      </c>
      <c r="X344" s="1027"/>
      <c r="Y344" s="1027">
        <f t="shared" si="58"/>
        <v>31</v>
      </c>
      <c r="Z344" s="1027">
        <f>Y344*(списки!$C$56-W344)</f>
        <v>995.1</v>
      </c>
      <c r="AA344" s="1028">
        <v>-27.4</v>
      </c>
      <c r="AB344" s="1028"/>
      <c r="AC344" s="1028">
        <f t="shared" si="59"/>
        <v>30</v>
      </c>
      <c r="AD344" s="1028">
        <f>AC344*(списки!$C$56-AA344)</f>
        <v>1422</v>
      </c>
      <c r="AE344" s="1029">
        <v>-33.1</v>
      </c>
      <c r="AF344" s="1029"/>
      <c r="AG344" s="1029">
        <v>31</v>
      </c>
      <c r="AH344" s="1029">
        <f>AG344*(списки!$C$56-AE344)</f>
        <v>1646.1000000000001</v>
      </c>
      <c r="AI344" s="1030">
        <v>-34.6</v>
      </c>
      <c r="AJ344" s="1030"/>
      <c r="AK344" s="1030">
        <v>31</v>
      </c>
      <c r="AL344" s="1030">
        <f>AK344*(списки!$C$56-AI344)</f>
        <v>1692.6000000000001</v>
      </c>
      <c r="AM344" s="1031">
        <v>-32.4</v>
      </c>
      <c r="AN344" s="1031"/>
      <c r="AO344" s="1031">
        <v>28</v>
      </c>
      <c r="AP344" s="1031">
        <f>AO344*(списки!$C$56-AM344)</f>
        <v>1467.2</v>
      </c>
      <c r="AQ344" s="1026">
        <v>-23.6</v>
      </c>
      <c r="AR344" s="1026"/>
      <c r="AS344" s="1026">
        <f t="shared" si="60"/>
        <v>31</v>
      </c>
      <c r="AT344" s="1026">
        <f>AS344*(списки!$C$56-AQ344)</f>
        <v>1351.6000000000001</v>
      </c>
      <c r="AU344" s="1032">
        <v>-12.7</v>
      </c>
      <c r="AV344" s="1032"/>
      <c r="AW344" s="1032">
        <f t="shared" si="61"/>
        <v>30</v>
      </c>
      <c r="AX344" s="1032">
        <f>AW344*(списки!$C$56-AU344)</f>
        <v>981.00000000000011</v>
      </c>
      <c r="AY344" s="1033">
        <v>-0.2</v>
      </c>
      <c r="AZ344" s="1033"/>
      <c r="BA344" s="1033">
        <f t="shared" si="62"/>
        <v>31</v>
      </c>
      <c r="BB344" s="1033">
        <f>BA344*(списки!$C$56-AY344)</f>
        <v>626.19999999999993</v>
      </c>
      <c r="BC344" s="1034">
        <v>9.3000000000000007</v>
      </c>
      <c r="BD344" s="1034"/>
      <c r="BE344" s="1034">
        <f t="shared" si="63"/>
        <v>9.5</v>
      </c>
      <c r="BF344" s="1035">
        <f>BE344*(списки!$C$56-BC344)</f>
        <v>101.64999999999999</v>
      </c>
      <c r="BG344" s="1424" t="e">
        <v>#N/A</v>
      </c>
      <c r="BH344" s="1424" t="e">
        <v>#N/A</v>
      </c>
    </row>
    <row r="345" spans="2:60" ht="15.75" customHeight="1" x14ac:dyDescent="0.25">
      <c r="B345" s="1014" t="s">
        <v>336</v>
      </c>
      <c r="C345" s="1014" t="s">
        <v>367</v>
      </c>
      <c r="D345" s="1015" t="str">
        <f t="shared" si="65"/>
        <v>Республика Саха (Якутия)Токо</v>
      </c>
      <c r="E345" s="1016">
        <v>273</v>
      </c>
      <c r="F345" s="1017">
        <v>-18.899999999999999</v>
      </c>
      <c r="G345" s="1017">
        <v>-51</v>
      </c>
      <c r="H345" s="1019">
        <v>2.5</v>
      </c>
      <c r="I345" s="1020">
        <f>E345*(списки!$C$56-F345)</f>
        <v>10619.699999999999</v>
      </c>
      <c r="J345" s="1021" t="str">
        <f t="shared" si="55"/>
        <v>10000-11000</v>
      </c>
      <c r="K345" s="1022">
        <v>14.6</v>
      </c>
      <c r="L345" s="1022"/>
      <c r="M345" s="1023">
        <f t="shared" si="56"/>
        <v>0.5</v>
      </c>
      <c r="N345" s="1024">
        <f>M345*(списки!$C$56-K345)</f>
        <v>2.7</v>
      </c>
      <c r="O345" s="1025">
        <v>11.2</v>
      </c>
      <c r="P345" s="1025"/>
      <c r="Q345" s="1025">
        <f t="shared" si="57"/>
        <v>0</v>
      </c>
      <c r="R345" s="1025">
        <f>Q345*(списки!$C$56-O345)</f>
        <v>0</v>
      </c>
      <c r="S345" s="1026">
        <v>3.7</v>
      </c>
      <c r="T345" s="1026"/>
      <c r="U345" s="1026">
        <f t="shared" si="64"/>
        <v>30</v>
      </c>
      <c r="V345" s="1026">
        <f>U345*(списки!$C$56-S345)</f>
        <v>489</v>
      </c>
      <c r="W345" s="1027">
        <v>-9.1999999999999993</v>
      </c>
      <c r="X345" s="1027"/>
      <c r="Y345" s="1027">
        <f t="shared" si="58"/>
        <v>31</v>
      </c>
      <c r="Z345" s="1027">
        <f>Y345*(списки!$C$56-W345)</f>
        <v>905.19999999999993</v>
      </c>
      <c r="AA345" s="1028">
        <v>-27.1</v>
      </c>
      <c r="AB345" s="1028"/>
      <c r="AC345" s="1028">
        <f t="shared" si="59"/>
        <v>30</v>
      </c>
      <c r="AD345" s="1028">
        <f>AC345*(списки!$C$56-AA345)</f>
        <v>1413</v>
      </c>
      <c r="AE345" s="1029">
        <v>-36.6</v>
      </c>
      <c r="AF345" s="1029"/>
      <c r="AG345" s="1029">
        <v>31</v>
      </c>
      <c r="AH345" s="1029">
        <f>AG345*(списки!$C$56-AE345)</f>
        <v>1754.6000000000001</v>
      </c>
      <c r="AI345" s="1030">
        <v>-38.1</v>
      </c>
      <c r="AJ345" s="1030"/>
      <c r="AK345" s="1030">
        <v>31</v>
      </c>
      <c r="AL345" s="1030">
        <f>AK345*(списки!$C$56-AI345)</f>
        <v>1801.1000000000001</v>
      </c>
      <c r="AM345" s="1031">
        <v>-33.299999999999997</v>
      </c>
      <c r="AN345" s="1031"/>
      <c r="AO345" s="1031">
        <v>28</v>
      </c>
      <c r="AP345" s="1031">
        <f>AO345*(списки!$C$56-AM345)</f>
        <v>1492.3999999999999</v>
      </c>
      <c r="AQ345" s="1026">
        <v>-21.5</v>
      </c>
      <c r="AR345" s="1026"/>
      <c r="AS345" s="1026">
        <f t="shared" si="60"/>
        <v>31</v>
      </c>
      <c r="AT345" s="1026">
        <f>AS345*(списки!$C$56-AQ345)</f>
        <v>1286.5</v>
      </c>
      <c r="AU345" s="1032">
        <v>-7.3</v>
      </c>
      <c r="AV345" s="1032"/>
      <c r="AW345" s="1032">
        <f t="shared" si="61"/>
        <v>30</v>
      </c>
      <c r="AX345" s="1032">
        <f>AW345*(списки!$C$56-AU345)</f>
        <v>819</v>
      </c>
      <c r="AY345" s="1033">
        <v>3.9</v>
      </c>
      <c r="AZ345" s="1033"/>
      <c r="BA345" s="1033">
        <f t="shared" si="62"/>
        <v>30.5</v>
      </c>
      <c r="BB345" s="1033">
        <f>BA345*(списки!$C$56-AY345)</f>
        <v>491.05000000000007</v>
      </c>
      <c r="BC345" s="1034">
        <v>11.8</v>
      </c>
      <c r="BD345" s="1034"/>
      <c r="BE345" s="1034">
        <f t="shared" si="63"/>
        <v>0</v>
      </c>
      <c r="BF345" s="1035">
        <f>BE345*(списки!$C$56-BC345)</f>
        <v>0</v>
      </c>
      <c r="BG345" s="1424">
        <v>10159.596428571431</v>
      </c>
      <c r="BH345" s="1424">
        <v>9788.7071428571453</v>
      </c>
    </row>
    <row r="346" spans="2:60" ht="15.75" customHeight="1" x14ac:dyDescent="0.25">
      <c r="B346" s="1038" t="s">
        <v>336</v>
      </c>
      <c r="C346" s="1038" t="s">
        <v>368</v>
      </c>
      <c r="D346" s="1015" t="str">
        <f t="shared" si="65"/>
        <v>Республика Саха (Якутия)Томмот</v>
      </c>
      <c r="E346" s="1016">
        <v>262</v>
      </c>
      <c r="F346" s="1017">
        <v>-17.100000000000001</v>
      </c>
      <c r="G346" s="1017">
        <v>-51</v>
      </c>
      <c r="H346" s="1019">
        <f>H345</f>
        <v>2.5</v>
      </c>
      <c r="I346" s="1020">
        <f>E346*(списки!$C$56-F346)</f>
        <v>9720.2000000000007</v>
      </c>
      <c r="J346" s="1021" t="str">
        <f t="shared" si="55"/>
        <v>9000-10000</v>
      </c>
      <c r="K346" s="1022">
        <v>17.2</v>
      </c>
      <c r="L346" s="1022"/>
      <c r="M346" s="1023">
        <f t="shared" si="56"/>
        <v>0</v>
      </c>
      <c r="N346" s="1024">
        <f>M346*(списки!$C$56-K346)</f>
        <v>0</v>
      </c>
      <c r="O346" s="1025">
        <v>13.5</v>
      </c>
      <c r="P346" s="1025"/>
      <c r="Q346" s="1025">
        <f t="shared" si="57"/>
        <v>0</v>
      </c>
      <c r="R346" s="1025">
        <f>Q346*(списки!$C$56-O346)</f>
        <v>0</v>
      </c>
      <c r="S346" s="1026">
        <v>5.5</v>
      </c>
      <c r="T346" s="1026"/>
      <c r="U346" s="1026">
        <f t="shared" si="64"/>
        <v>25</v>
      </c>
      <c r="V346" s="1026">
        <f>U346*(списки!$C$56-S346)</f>
        <v>362.5</v>
      </c>
      <c r="W346" s="1027">
        <v>-6.7</v>
      </c>
      <c r="X346" s="1027"/>
      <c r="Y346" s="1027">
        <f t="shared" si="58"/>
        <v>31</v>
      </c>
      <c r="Z346" s="1027">
        <f>Y346*(списки!$C$56-W346)</f>
        <v>827.69999999999993</v>
      </c>
      <c r="AA346" s="1028">
        <v>-24.4</v>
      </c>
      <c r="AB346" s="1028"/>
      <c r="AC346" s="1028">
        <f t="shared" si="59"/>
        <v>30</v>
      </c>
      <c r="AD346" s="1028">
        <f>AC346*(списки!$C$56-AA346)</f>
        <v>1332</v>
      </c>
      <c r="AE346" s="1029">
        <v>-33.9</v>
      </c>
      <c r="AF346" s="1029"/>
      <c r="AG346" s="1029">
        <v>31</v>
      </c>
      <c r="AH346" s="1029">
        <f>AG346*(списки!$C$56-AE346)</f>
        <v>1670.8999999999999</v>
      </c>
      <c r="AI346" s="1030">
        <v>-35.5</v>
      </c>
      <c r="AJ346" s="1030"/>
      <c r="AK346" s="1030">
        <v>31</v>
      </c>
      <c r="AL346" s="1030">
        <f>AK346*(списки!$C$56-AI346)</f>
        <v>1720.5</v>
      </c>
      <c r="AM346" s="1031">
        <v>-31.6</v>
      </c>
      <c r="AN346" s="1031"/>
      <c r="AO346" s="1031">
        <v>28</v>
      </c>
      <c r="AP346" s="1031">
        <f>AO346*(списки!$C$56-AM346)</f>
        <v>1444.8</v>
      </c>
      <c r="AQ346" s="1026">
        <v>-20</v>
      </c>
      <c r="AR346" s="1026"/>
      <c r="AS346" s="1026">
        <f t="shared" si="60"/>
        <v>31</v>
      </c>
      <c r="AT346" s="1026">
        <f>AS346*(списки!$C$56-AQ346)</f>
        <v>1240</v>
      </c>
      <c r="AU346" s="1032">
        <v>-5.8</v>
      </c>
      <c r="AV346" s="1032"/>
      <c r="AW346" s="1032">
        <f t="shared" si="61"/>
        <v>30</v>
      </c>
      <c r="AX346" s="1032">
        <f>AW346*(списки!$C$56-AU346)</f>
        <v>774</v>
      </c>
      <c r="AY346" s="1033">
        <v>5.4</v>
      </c>
      <c r="AZ346" s="1033"/>
      <c r="BA346" s="1033">
        <f t="shared" si="62"/>
        <v>25</v>
      </c>
      <c r="BB346" s="1033">
        <f>BA346*(списки!$C$56-AY346)</f>
        <v>365</v>
      </c>
      <c r="BC346" s="1034">
        <v>13.7</v>
      </c>
      <c r="BD346" s="1034"/>
      <c r="BE346" s="1034">
        <f t="shared" si="63"/>
        <v>0</v>
      </c>
      <c r="BF346" s="1035">
        <f>BE346*(списки!$C$56-BC346)</f>
        <v>0</v>
      </c>
      <c r="BG346" s="1424">
        <v>9078.5250000000015</v>
      </c>
      <c r="BH346" s="1424">
        <v>8911.2249999999985</v>
      </c>
    </row>
    <row r="347" spans="2:60" ht="15.75" customHeight="1" x14ac:dyDescent="0.25">
      <c r="B347" s="1014" t="s">
        <v>336</v>
      </c>
      <c r="C347" s="1014" t="s">
        <v>369</v>
      </c>
      <c r="D347" s="1015" t="str">
        <f t="shared" si="65"/>
        <v>Республика Саха (Якутия)Томпо</v>
      </c>
      <c r="E347" s="1016">
        <v>269</v>
      </c>
      <c r="F347" s="1017">
        <v>-23.3</v>
      </c>
      <c r="G347" s="1017">
        <v>-54</v>
      </c>
      <c r="H347" s="1019">
        <v>2.7</v>
      </c>
      <c r="I347" s="1020">
        <f>E347*(списки!$C$56-F347)</f>
        <v>11647.699999999999</v>
      </c>
      <c r="J347" s="1021" t="str">
        <f t="shared" si="55"/>
        <v>11000-12000</v>
      </c>
      <c r="K347" s="1022">
        <v>15.9</v>
      </c>
      <c r="L347" s="1022"/>
      <c r="M347" s="1023">
        <f t="shared" si="56"/>
        <v>0</v>
      </c>
      <c r="N347" s="1024">
        <f>M347*(списки!$C$56-K347)</f>
        <v>0</v>
      </c>
      <c r="O347" s="1025">
        <v>11.7</v>
      </c>
      <c r="P347" s="1025"/>
      <c r="Q347" s="1025">
        <f t="shared" si="57"/>
        <v>0</v>
      </c>
      <c r="R347" s="1025">
        <f>Q347*(списки!$C$56-O347)</f>
        <v>0</v>
      </c>
      <c r="S347" s="1026">
        <v>3.2</v>
      </c>
      <c r="T347" s="1026"/>
      <c r="U347" s="1026">
        <f t="shared" si="64"/>
        <v>28.5</v>
      </c>
      <c r="V347" s="1026">
        <f>U347*(списки!$C$56-S347)</f>
        <v>478.8</v>
      </c>
      <c r="W347" s="1027">
        <v>-13</v>
      </c>
      <c r="X347" s="1027"/>
      <c r="Y347" s="1027">
        <f t="shared" si="58"/>
        <v>31</v>
      </c>
      <c r="Z347" s="1027">
        <f>Y347*(списки!$C$56-W347)</f>
        <v>1023</v>
      </c>
      <c r="AA347" s="1028">
        <v>-33.6</v>
      </c>
      <c r="AB347" s="1028"/>
      <c r="AC347" s="1028">
        <f t="shared" si="59"/>
        <v>30</v>
      </c>
      <c r="AD347" s="1028">
        <f>AC347*(списки!$C$56-AA347)</f>
        <v>1608</v>
      </c>
      <c r="AE347" s="1029">
        <v>-42.1</v>
      </c>
      <c r="AF347" s="1029"/>
      <c r="AG347" s="1029">
        <v>31</v>
      </c>
      <c r="AH347" s="1029">
        <f>AG347*(списки!$C$56-AE347)</f>
        <v>1925.1000000000001</v>
      </c>
      <c r="AI347" s="1030">
        <v>-43.5</v>
      </c>
      <c r="AJ347" s="1030"/>
      <c r="AK347" s="1030">
        <v>31</v>
      </c>
      <c r="AL347" s="1030">
        <f>AK347*(списки!$C$56-AI347)</f>
        <v>1968.5</v>
      </c>
      <c r="AM347" s="1031">
        <v>-38.6</v>
      </c>
      <c r="AN347" s="1031"/>
      <c r="AO347" s="1031">
        <v>28</v>
      </c>
      <c r="AP347" s="1031">
        <f>AO347*(списки!$C$56-AM347)</f>
        <v>1640.8</v>
      </c>
      <c r="AQ347" s="1026">
        <v>-26.5</v>
      </c>
      <c r="AR347" s="1026"/>
      <c r="AS347" s="1026">
        <f t="shared" si="60"/>
        <v>31</v>
      </c>
      <c r="AT347" s="1026">
        <f>AS347*(списки!$C$56-AQ347)</f>
        <v>1441.5</v>
      </c>
      <c r="AU347" s="1032">
        <v>-10.3</v>
      </c>
      <c r="AV347" s="1032"/>
      <c r="AW347" s="1032">
        <f t="shared" si="61"/>
        <v>30</v>
      </c>
      <c r="AX347" s="1032">
        <f>AW347*(списки!$C$56-AU347)</f>
        <v>909</v>
      </c>
      <c r="AY347" s="1033">
        <v>4.0999999999999996</v>
      </c>
      <c r="AZ347" s="1033"/>
      <c r="BA347" s="1033">
        <f t="shared" si="62"/>
        <v>28.5</v>
      </c>
      <c r="BB347" s="1033">
        <f>BA347*(списки!$C$56-AY347)</f>
        <v>453.15000000000003</v>
      </c>
      <c r="BC347" s="1034">
        <v>13.2</v>
      </c>
      <c r="BD347" s="1034"/>
      <c r="BE347" s="1034">
        <f t="shared" si="63"/>
        <v>0</v>
      </c>
      <c r="BF347" s="1035">
        <f>BE347*(списки!$C$56-BC347)</f>
        <v>0</v>
      </c>
      <c r="BG347" s="1424">
        <v>11177.810714285721</v>
      </c>
      <c r="BH347" s="1424">
        <v>10743.720357142856</v>
      </c>
    </row>
    <row r="348" spans="2:60" ht="15.75" customHeight="1" x14ac:dyDescent="0.25">
      <c r="B348" s="1038" t="s">
        <v>336</v>
      </c>
      <c r="C348" s="1038" t="s">
        <v>688</v>
      </c>
      <c r="D348" s="1015" t="str">
        <f t="shared" si="65"/>
        <v>Республика Саха (Якутия)Туой-Хая</v>
      </c>
      <c r="E348" s="1016">
        <v>266</v>
      </c>
      <c r="F348" s="1017">
        <v>-15.8</v>
      </c>
      <c r="G348" s="1017">
        <v>-52</v>
      </c>
      <c r="H348" s="1019">
        <v>3</v>
      </c>
      <c r="I348" s="1020">
        <f>E348*(списки!$C$56-F348)</f>
        <v>9522.7999999999993</v>
      </c>
      <c r="J348" s="1021" t="str">
        <f t="shared" si="55"/>
        <v>9000-10000</v>
      </c>
      <c r="K348" s="1022">
        <v>16.5</v>
      </c>
      <c r="L348" s="1022"/>
      <c r="M348" s="1023">
        <f t="shared" si="56"/>
        <v>0</v>
      </c>
      <c r="N348" s="1024">
        <f>M348*(списки!$C$56-K348)</f>
        <v>0</v>
      </c>
      <c r="O348" s="1025">
        <v>13</v>
      </c>
      <c r="P348" s="1025"/>
      <c r="Q348" s="1025">
        <f t="shared" si="57"/>
        <v>0</v>
      </c>
      <c r="R348" s="1025">
        <f>Q348*(списки!$C$56-O348)</f>
        <v>0</v>
      </c>
      <c r="S348" s="1026">
        <v>5.4</v>
      </c>
      <c r="T348" s="1026"/>
      <c r="U348" s="1026">
        <f t="shared" si="64"/>
        <v>27</v>
      </c>
      <c r="V348" s="1026">
        <f>U348*(списки!$C$56-S348)</f>
        <v>394.2</v>
      </c>
      <c r="W348" s="1027">
        <v>-6.3</v>
      </c>
      <c r="X348" s="1027"/>
      <c r="Y348" s="1027">
        <f t="shared" si="58"/>
        <v>31</v>
      </c>
      <c r="Z348" s="1027">
        <f>Y348*(списки!$C$56-W348)</f>
        <v>815.30000000000007</v>
      </c>
      <c r="AA348" s="1028">
        <v>-23.6</v>
      </c>
      <c r="AB348" s="1028"/>
      <c r="AC348" s="1028">
        <f t="shared" si="59"/>
        <v>30</v>
      </c>
      <c r="AD348" s="1028">
        <f>AC348*(списки!$C$56-AA348)</f>
        <v>1308</v>
      </c>
      <c r="AE348" s="1029">
        <v>-31.2</v>
      </c>
      <c r="AF348" s="1029"/>
      <c r="AG348" s="1029">
        <v>31</v>
      </c>
      <c r="AH348" s="1029">
        <f>AG348*(списки!$C$56-AE348)</f>
        <v>1587.2</v>
      </c>
      <c r="AI348" s="1030">
        <v>-33.200000000000003</v>
      </c>
      <c r="AJ348" s="1030"/>
      <c r="AK348" s="1030">
        <v>31</v>
      </c>
      <c r="AL348" s="1030">
        <f>AK348*(списки!$C$56-AI348)</f>
        <v>1649.2</v>
      </c>
      <c r="AM348" s="1031">
        <v>-29.3</v>
      </c>
      <c r="AN348" s="1031"/>
      <c r="AO348" s="1031">
        <v>28</v>
      </c>
      <c r="AP348" s="1031">
        <f>AO348*(списки!$C$56-AM348)</f>
        <v>1380.3999999999999</v>
      </c>
      <c r="AQ348" s="1026">
        <v>-18.8</v>
      </c>
      <c r="AR348" s="1026"/>
      <c r="AS348" s="1026">
        <f t="shared" si="60"/>
        <v>31</v>
      </c>
      <c r="AT348" s="1026">
        <f>AS348*(списки!$C$56-AQ348)</f>
        <v>1202.8</v>
      </c>
      <c r="AU348" s="1032">
        <v>-6.4</v>
      </c>
      <c r="AV348" s="1032"/>
      <c r="AW348" s="1032">
        <f t="shared" si="61"/>
        <v>30</v>
      </c>
      <c r="AX348" s="1032">
        <f>AW348*(списки!$C$56-AU348)</f>
        <v>792</v>
      </c>
      <c r="AY348" s="1033">
        <v>4.3</v>
      </c>
      <c r="AZ348" s="1033"/>
      <c r="BA348" s="1033">
        <f t="shared" si="62"/>
        <v>27</v>
      </c>
      <c r="BB348" s="1033">
        <f>BA348*(списки!$C$56-AY348)</f>
        <v>423.9</v>
      </c>
      <c r="BC348" s="1034">
        <v>13.3</v>
      </c>
      <c r="BD348" s="1034"/>
      <c r="BE348" s="1034">
        <f t="shared" si="63"/>
        <v>0</v>
      </c>
      <c r="BF348" s="1035">
        <f>BE348*(списки!$C$56-BC348)</f>
        <v>0</v>
      </c>
      <c r="BG348" s="1424" t="e">
        <v>#N/A</v>
      </c>
      <c r="BH348" s="1424" t="e">
        <v>#N/A</v>
      </c>
    </row>
    <row r="349" spans="2:60" ht="15.75" customHeight="1" x14ac:dyDescent="0.25">
      <c r="B349" s="1014" t="s">
        <v>336</v>
      </c>
      <c r="C349" s="1014" t="s">
        <v>370</v>
      </c>
      <c r="D349" s="1015" t="str">
        <f t="shared" si="65"/>
        <v>Республика Саха (Якутия)Тяня</v>
      </c>
      <c r="E349" s="1016">
        <v>262</v>
      </c>
      <c r="F349" s="1017">
        <v>-15.7</v>
      </c>
      <c r="G349" s="1017">
        <v>-50</v>
      </c>
      <c r="H349" s="1019">
        <f>H348</f>
        <v>3</v>
      </c>
      <c r="I349" s="1020">
        <f>E349*(списки!$C$56-F349)</f>
        <v>9353.4000000000015</v>
      </c>
      <c r="J349" s="1021" t="str">
        <f t="shared" si="55"/>
        <v>9000-10000</v>
      </c>
      <c r="K349" s="1022">
        <v>17</v>
      </c>
      <c r="L349" s="1022"/>
      <c r="M349" s="1023">
        <f t="shared" si="56"/>
        <v>0</v>
      </c>
      <c r="N349" s="1024">
        <f>M349*(списки!$C$56-K349)</f>
        <v>0</v>
      </c>
      <c r="O349" s="1025">
        <v>13.2</v>
      </c>
      <c r="P349" s="1025"/>
      <c r="Q349" s="1025">
        <f t="shared" si="57"/>
        <v>0</v>
      </c>
      <c r="R349" s="1025">
        <f>Q349*(списки!$C$56-O349)</f>
        <v>0</v>
      </c>
      <c r="S349" s="1026">
        <v>5.0999999999999996</v>
      </c>
      <c r="T349" s="1026"/>
      <c r="U349" s="1026">
        <f t="shared" si="64"/>
        <v>25</v>
      </c>
      <c r="V349" s="1026">
        <f>U349*(списки!$C$56-S349)</f>
        <v>372.5</v>
      </c>
      <c r="W349" s="1027">
        <v>-5.9</v>
      </c>
      <c r="X349" s="1027"/>
      <c r="Y349" s="1027">
        <f t="shared" si="58"/>
        <v>31</v>
      </c>
      <c r="Z349" s="1027">
        <f>Y349*(списки!$C$56-W349)</f>
        <v>802.9</v>
      </c>
      <c r="AA349" s="1028">
        <v>-22.6</v>
      </c>
      <c r="AB349" s="1028"/>
      <c r="AC349" s="1028">
        <f t="shared" si="59"/>
        <v>30</v>
      </c>
      <c r="AD349" s="1028">
        <f>AC349*(списки!$C$56-AA349)</f>
        <v>1278</v>
      </c>
      <c r="AE349" s="1029">
        <v>-32.200000000000003</v>
      </c>
      <c r="AF349" s="1029"/>
      <c r="AG349" s="1029">
        <v>31</v>
      </c>
      <c r="AH349" s="1029">
        <f>AG349*(списки!$C$56-AE349)</f>
        <v>1618.2</v>
      </c>
      <c r="AI349" s="1030">
        <v>-33.1</v>
      </c>
      <c r="AJ349" s="1030"/>
      <c r="AK349" s="1030">
        <v>31</v>
      </c>
      <c r="AL349" s="1030">
        <f>AK349*(списки!$C$56-AI349)</f>
        <v>1646.1000000000001</v>
      </c>
      <c r="AM349" s="1031">
        <v>-29.9</v>
      </c>
      <c r="AN349" s="1031"/>
      <c r="AO349" s="1031">
        <v>28</v>
      </c>
      <c r="AP349" s="1031">
        <f>AO349*(списки!$C$56-AM349)</f>
        <v>1397.2</v>
      </c>
      <c r="AQ349" s="1026">
        <v>-18.2</v>
      </c>
      <c r="AR349" s="1026"/>
      <c r="AS349" s="1026">
        <f t="shared" si="60"/>
        <v>31</v>
      </c>
      <c r="AT349" s="1026">
        <f>AS349*(списки!$C$56-AQ349)</f>
        <v>1184.2</v>
      </c>
      <c r="AU349" s="1032">
        <v>-4.5</v>
      </c>
      <c r="AV349" s="1032"/>
      <c r="AW349" s="1032">
        <f t="shared" si="61"/>
        <v>30</v>
      </c>
      <c r="AX349" s="1032">
        <f>AW349*(списки!$C$56-AU349)</f>
        <v>735</v>
      </c>
      <c r="AY349" s="1033">
        <v>5.7</v>
      </c>
      <c r="AZ349" s="1033"/>
      <c r="BA349" s="1033">
        <f t="shared" si="62"/>
        <v>25</v>
      </c>
      <c r="BB349" s="1033">
        <f>BA349*(списки!$C$56-AY349)</f>
        <v>357.5</v>
      </c>
      <c r="BC349" s="1034">
        <v>13.6</v>
      </c>
      <c r="BD349" s="1034"/>
      <c r="BE349" s="1034">
        <f t="shared" si="63"/>
        <v>0</v>
      </c>
      <c r="BF349" s="1035">
        <f>BE349*(списки!$C$56-BC349)</f>
        <v>0</v>
      </c>
      <c r="BG349" s="1424">
        <v>8883.7839285714326</v>
      </c>
      <c r="BH349" s="1424">
        <v>8778.8107142857152</v>
      </c>
    </row>
    <row r="350" spans="2:60" ht="15.75" customHeight="1" x14ac:dyDescent="0.25">
      <c r="B350" s="1038" t="s">
        <v>336</v>
      </c>
      <c r="C350" s="1038" t="s">
        <v>371</v>
      </c>
      <c r="D350" s="1015" t="str">
        <f t="shared" si="65"/>
        <v>Республика Саха (Якутия)Усть-Мая</v>
      </c>
      <c r="E350" s="1016">
        <v>251</v>
      </c>
      <c r="F350" s="1017">
        <v>-20.8</v>
      </c>
      <c r="G350" s="1017">
        <v>-52</v>
      </c>
      <c r="H350" s="1019">
        <v>1.5</v>
      </c>
      <c r="I350" s="1020">
        <f>E350*(списки!$C$56-F350)</f>
        <v>10240.799999999999</v>
      </c>
      <c r="J350" s="1021" t="str">
        <f t="shared" si="55"/>
        <v>10000-11000</v>
      </c>
      <c r="K350" s="1022">
        <v>18.2</v>
      </c>
      <c r="L350" s="1022"/>
      <c r="M350" s="1023">
        <f t="shared" si="56"/>
        <v>0</v>
      </c>
      <c r="N350" s="1024">
        <f>M350*(списки!$C$56-K350)</f>
        <v>0</v>
      </c>
      <c r="O350" s="1025">
        <v>14.4</v>
      </c>
      <c r="P350" s="1025"/>
      <c r="Q350" s="1025">
        <f t="shared" si="57"/>
        <v>0</v>
      </c>
      <c r="R350" s="1025">
        <f>Q350*(списки!$C$56-O350)</f>
        <v>0</v>
      </c>
      <c r="S350" s="1026">
        <v>6.1</v>
      </c>
      <c r="T350" s="1026"/>
      <c r="U350" s="1026">
        <f t="shared" si="64"/>
        <v>19.5</v>
      </c>
      <c r="V350" s="1026">
        <f>U350*(списки!$C$56-S350)</f>
        <v>271.05</v>
      </c>
      <c r="W350" s="1027">
        <v>-7.4</v>
      </c>
      <c r="X350" s="1027"/>
      <c r="Y350" s="1027">
        <f t="shared" si="58"/>
        <v>31</v>
      </c>
      <c r="Z350" s="1027">
        <f>Y350*(списки!$C$56-W350)</f>
        <v>849.4</v>
      </c>
      <c r="AA350" s="1028">
        <v>-27.6</v>
      </c>
      <c r="AB350" s="1028"/>
      <c r="AC350" s="1028">
        <f t="shared" si="59"/>
        <v>30</v>
      </c>
      <c r="AD350" s="1028">
        <f>AC350*(списки!$C$56-AA350)</f>
        <v>1428</v>
      </c>
      <c r="AE350" s="1029">
        <v>-38.799999999999997</v>
      </c>
      <c r="AF350" s="1029"/>
      <c r="AG350" s="1029">
        <v>31</v>
      </c>
      <c r="AH350" s="1029">
        <f>AG350*(списки!$C$56-AE350)</f>
        <v>1822.8</v>
      </c>
      <c r="AI350" s="1030">
        <v>-40.299999999999997</v>
      </c>
      <c r="AJ350" s="1030"/>
      <c r="AK350" s="1030">
        <v>31</v>
      </c>
      <c r="AL350" s="1030">
        <f>AK350*(списки!$C$56-AI350)</f>
        <v>1869.3</v>
      </c>
      <c r="AM350" s="1031">
        <v>-34.9</v>
      </c>
      <c r="AN350" s="1031"/>
      <c r="AO350" s="1031">
        <v>28</v>
      </c>
      <c r="AP350" s="1031">
        <f>AO350*(списки!$C$56-AM350)</f>
        <v>1537.2</v>
      </c>
      <c r="AQ350" s="1026">
        <v>-20.100000000000001</v>
      </c>
      <c r="AR350" s="1026"/>
      <c r="AS350" s="1026">
        <f t="shared" si="60"/>
        <v>31</v>
      </c>
      <c r="AT350" s="1026">
        <f>AS350*(списки!$C$56-AQ350)</f>
        <v>1243.1000000000001</v>
      </c>
      <c r="AU350" s="1032">
        <v>-4</v>
      </c>
      <c r="AV350" s="1032"/>
      <c r="AW350" s="1032">
        <f t="shared" si="61"/>
        <v>30</v>
      </c>
      <c r="AX350" s="1032">
        <f>AW350*(списки!$C$56-AU350)</f>
        <v>720</v>
      </c>
      <c r="AY350" s="1033">
        <v>7.4</v>
      </c>
      <c r="AZ350" s="1033"/>
      <c r="BA350" s="1033">
        <f t="shared" si="62"/>
        <v>19.5</v>
      </c>
      <c r="BB350" s="1033">
        <f>BA350*(списки!$C$56-AY350)</f>
        <v>245.7</v>
      </c>
      <c r="BC350" s="1034">
        <v>15.5</v>
      </c>
      <c r="BD350" s="1034"/>
      <c r="BE350" s="1034">
        <f t="shared" si="63"/>
        <v>0</v>
      </c>
      <c r="BF350" s="1035">
        <f>BE350*(списки!$C$56-BC350)</f>
        <v>0</v>
      </c>
      <c r="BG350" s="1424">
        <v>9906.2607142857159</v>
      </c>
      <c r="BH350" s="1424">
        <v>9526.4589285714337</v>
      </c>
    </row>
    <row r="351" spans="2:60" ht="15.75" customHeight="1" x14ac:dyDescent="0.25">
      <c r="B351" s="1014" t="s">
        <v>336</v>
      </c>
      <c r="C351" s="1014" t="s">
        <v>372</v>
      </c>
      <c r="D351" s="1015" t="str">
        <f t="shared" si="65"/>
        <v>Республика Саха (Якутия)Усть-Миль</v>
      </c>
      <c r="E351" s="1016">
        <v>259</v>
      </c>
      <c r="F351" s="1017">
        <v>-18.899999999999999</v>
      </c>
      <c r="G351" s="1017">
        <v>-51</v>
      </c>
      <c r="H351" s="1019">
        <f>H350</f>
        <v>1.5</v>
      </c>
      <c r="I351" s="1020">
        <f>E351*(списки!$C$56-F351)</f>
        <v>10075.1</v>
      </c>
      <c r="J351" s="1021" t="str">
        <f t="shared" si="55"/>
        <v>10000-11000</v>
      </c>
      <c r="K351" s="1022">
        <v>17.2</v>
      </c>
      <c r="L351" s="1022"/>
      <c r="M351" s="1023">
        <f t="shared" si="56"/>
        <v>0</v>
      </c>
      <c r="N351" s="1024">
        <f>M351*(списки!$C$56-K351)</f>
        <v>0</v>
      </c>
      <c r="O351" s="1025">
        <v>13.9</v>
      </c>
      <c r="P351" s="1025"/>
      <c r="Q351" s="1025">
        <f t="shared" si="57"/>
        <v>0</v>
      </c>
      <c r="R351" s="1025">
        <f>Q351*(списки!$C$56-O351)</f>
        <v>0</v>
      </c>
      <c r="S351" s="1026">
        <v>5.5</v>
      </c>
      <c r="T351" s="1026"/>
      <c r="U351" s="1026">
        <f t="shared" si="64"/>
        <v>23.5</v>
      </c>
      <c r="V351" s="1026">
        <f>U351*(списки!$C$56-S351)</f>
        <v>340.75</v>
      </c>
      <c r="W351" s="1027">
        <v>-7.3</v>
      </c>
      <c r="X351" s="1027"/>
      <c r="Y351" s="1027">
        <f t="shared" si="58"/>
        <v>31</v>
      </c>
      <c r="Z351" s="1027">
        <f>Y351*(списки!$C$56-W351)</f>
        <v>846.30000000000007</v>
      </c>
      <c r="AA351" s="1028">
        <v>-27</v>
      </c>
      <c r="AB351" s="1028"/>
      <c r="AC351" s="1028">
        <f t="shared" si="59"/>
        <v>30</v>
      </c>
      <c r="AD351" s="1028">
        <f>AC351*(списки!$C$56-AA351)</f>
        <v>1410</v>
      </c>
      <c r="AE351" s="1029">
        <v>-37.700000000000003</v>
      </c>
      <c r="AF351" s="1029"/>
      <c r="AG351" s="1029">
        <v>31</v>
      </c>
      <c r="AH351" s="1029">
        <f>AG351*(списки!$C$56-AE351)</f>
        <v>1788.7</v>
      </c>
      <c r="AI351" s="1030">
        <v>-39.6</v>
      </c>
      <c r="AJ351" s="1030"/>
      <c r="AK351" s="1030">
        <v>31</v>
      </c>
      <c r="AL351" s="1030">
        <f>AK351*(списки!$C$56-AI351)</f>
        <v>1847.6000000000001</v>
      </c>
      <c r="AM351" s="1031">
        <v>-34.200000000000003</v>
      </c>
      <c r="AN351" s="1031"/>
      <c r="AO351" s="1031">
        <v>28</v>
      </c>
      <c r="AP351" s="1031">
        <f>AO351*(списки!$C$56-AM351)</f>
        <v>1517.6000000000001</v>
      </c>
      <c r="AQ351" s="1026">
        <v>-21</v>
      </c>
      <c r="AR351" s="1026"/>
      <c r="AS351" s="1026">
        <f t="shared" si="60"/>
        <v>31</v>
      </c>
      <c r="AT351" s="1026">
        <f>AS351*(списки!$C$56-AQ351)</f>
        <v>1271</v>
      </c>
      <c r="AU351" s="1032">
        <v>-5.2</v>
      </c>
      <c r="AV351" s="1032"/>
      <c r="AW351" s="1032">
        <f t="shared" si="61"/>
        <v>30</v>
      </c>
      <c r="AX351" s="1032">
        <f>AW351*(списки!$C$56-AU351)</f>
        <v>756</v>
      </c>
      <c r="AY351" s="1033">
        <v>6.1</v>
      </c>
      <c r="AZ351" s="1033"/>
      <c r="BA351" s="1033">
        <f t="shared" si="62"/>
        <v>23.5</v>
      </c>
      <c r="BB351" s="1033">
        <f>BA351*(списки!$C$56-AY351)</f>
        <v>326.65000000000003</v>
      </c>
      <c r="BC351" s="1034">
        <v>13.9</v>
      </c>
      <c r="BD351" s="1034"/>
      <c r="BE351" s="1034">
        <f t="shared" si="63"/>
        <v>0</v>
      </c>
      <c r="BF351" s="1035">
        <f>BE351*(списки!$C$56-BC351)</f>
        <v>0</v>
      </c>
      <c r="BG351" s="1424">
        <v>9501.0285714285728</v>
      </c>
      <c r="BH351" s="1424">
        <v>9217.2999999999975</v>
      </c>
    </row>
    <row r="352" spans="2:60" ht="15.75" customHeight="1" x14ac:dyDescent="0.25">
      <c r="B352" s="1038" t="s">
        <v>336</v>
      </c>
      <c r="C352" s="1038" t="s">
        <v>373</v>
      </c>
      <c r="D352" s="1015" t="str">
        <f t="shared" si="65"/>
        <v>Республика Саха (Якутия)Усть-Мома</v>
      </c>
      <c r="E352" s="1016">
        <v>267</v>
      </c>
      <c r="F352" s="1017">
        <v>-24.1</v>
      </c>
      <c r="G352" s="1017">
        <v>-56</v>
      </c>
      <c r="H352" s="1019">
        <v>2.9</v>
      </c>
      <c r="I352" s="1020">
        <f>E352*(списки!$C$56-F352)</f>
        <v>11774.7</v>
      </c>
      <c r="J352" s="1021" t="str">
        <f t="shared" si="55"/>
        <v>11000-12000</v>
      </c>
      <c r="K352" s="1022">
        <v>15.7</v>
      </c>
      <c r="L352" s="1022"/>
      <c r="M352" s="1023">
        <f t="shared" si="56"/>
        <v>0</v>
      </c>
      <c r="N352" s="1024">
        <f>M352*(списки!$C$56-K352)</f>
        <v>0</v>
      </c>
      <c r="O352" s="1025">
        <v>11.4</v>
      </c>
      <c r="P352" s="1025"/>
      <c r="Q352" s="1025">
        <f t="shared" si="57"/>
        <v>0</v>
      </c>
      <c r="R352" s="1025">
        <f>Q352*(списки!$C$56-O352)</f>
        <v>0</v>
      </c>
      <c r="S352" s="1026">
        <v>3.1</v>
      </c>
      <c r="T352" s="1026"/>
      <c r="U352" s="1026">
        <f t="shared" si="64"/>
        <v>27.5</v>
      </c>
      <c r="V352" s="1026">
        <f>U352*(списки!$C$56-S352)</f>
        <v>464.74999999999994</v>
      </c>
      <c r="W352" s="1027">
        <v>-13.9</v>
      </c>
      <c r="X352" s="1027"/>
      <c r="Y352" s="1027">
        <f t="shared" si="58"/>
        <v>31</v>
      </c>
      <c r="Z352" s="1027">
        <f>Y352*(списки!$C$56-W352)</f>
        <v>1050.8999999999999</v>
      </c>
      <c r="AA352" s="1028">
        <v>-33.4</v>
      </c>
      <c r="AB352" s="1028"/>
      <c r="AC352" s="1028">
        <f t="shared" si="59"/>
        <v>30</v>
      </c>
      <c r="AD352" s="1028">
        <f>AC352*(списки!$C$56-AA352)</f>
        <v>1602</v>
      </c>
      <c r="AE352" s="1029">
        <v>-41.7</v>
      </c>
      <c r="AF352" s="1029"/>
      <c r="AG352" s="1029">
        <v>31</v>
      </c>
      <c r="AH352" s="1029">
        <f>AG352*(списки!$C$56-AE352)</f>
        <v>1912.7</v>
      </c>
      <c r="AI352" s="1030">
        <v>-43.4</v>
      </c>
      <c r="AJ352" s="1030"/>
      <c r="AK352" s="1030">
        <v>31</v>
      </c>
      <c r="AL352" s="1030">
        <f>AK352*(списки!$C$56-AI352)</f>
        <v>1965.3999999999999</v>
      </c>
      <c r="AM352" s="1031">
        <v>-39.4</v>
      </c>
      <c r="AN352" s="1031"/>
      <c r="AO352" s="1031">
        <v>28</v>
      </c>
      <c r="AP352" s="1031">
        <f>AO352*(списки!$C$56-AM352)</f>
        <v>1663.2</v>
      </c>
      <c r="AQ352" s="1026">
        <v>-28.1</v>
      </c>
      <c r="AR352" s="1026"/>
      <c r="AS352" s="1026">
        <f t="shared" si="60"/>
        <v>31</v>
      </c>
      <c r="AT352" s="1026">
        <f>AS352*(списки!$C$56-AQ352)</f>
        <v>1491.1000000000001</v>
      </c>
      <c r="AU352" s="1032">
        <v>-12.2</v>
      </c>
      <c r="AV352" s="1032"/>
      <c r="AW352" s="1032">
        <f t="shared" si="61"/>
        <v>30</v>
      </c>
      <c r="AX352" s="1032">
        <f>AW352*(списки!$C$56-AU352)</f>
        <v>966.00000000000011</v>
      </c>
      <c r="AY352" s="1033">
        <v>4</v>
      </c>
      <c r="AZ352" s="1033"/>
      <c r="BA352" s="1033">
        <f t="shared" si="62"/>
        <v>27.5</v>
      </c>
      <c r="BB352" s="1033">
        <f>BA352*(списки!$C$56-AY352)</f>
        <v>440</v>
      </c>
      <c r="BC352" s="1034">
        <v>13.5</v>
      </c>
      <c r="BD352" s="1034"/>
      <c r="BE352" s="1034">
        <f t="shared" si="63"/>
        <v>0</v>
      </c>
      <c r="BF352" s="1035">
        <f>BE352*(списки!$C$56-BC352)</f>
        <v>0</v>
      </c>
      <c r="BG352" s="1424">
        <v>10643.894642857142</v>
      </c>
      <c r="BH352" s="1424">
        <v>10774.191071428568</v>
      </c>
    </row>
    <row r="353" spans="2:60" ht="15.75" customHeight="1" x14ac:dyDescent="0.25">
      <c r="B353" s="1014" t="s">
        <v>336</v>
      </c>
      <c r="C353" s="1014" t="s">
        <v>343</v>
      </c>
      <c r="D353" s="1015" t="str">
        <f t="shared" si="65"/>
        <v>Республика Саха (Якутия)Чульман</v>
      </c>
      <c r="E353" s="1016">
        <v>266</v>
      </c>
      <c r="F353" s="1017">
        <v>-15.4</v>
      </c>
      <c r="G353" s="1017">
        <v>-44</v>
      </c>
      <c r="H353" s="1019">
        <v>3.6</v>
      </c>
      <c r="I353" s="1020">
        <f>E353*(списки!$C$56-F353)</f>
        <v>9416.4</v>
      </c>
      <c r="J353" s="1021" t="str">
        <f t="shared" si="55"/>
        <v>9000-10000</v>
      </c>
      <c r="K353" s="1022">
        <v>16</v>
      </c>
      <c r="L353" s="1022"/>
      <c r="M353" s="1023">
        <f t="shared" si="56"/>
        <v>0</v>
      </c>
      <c r="N353" s="1024">
        <f>M353*(списки!$C$56-K353)</f>
        <v>0</v>
      </c>
      <c r="O353" s="1025">
        <v>12.9</v>
      </c>
      <c r="P353" s="1025"/>
      <c r="Q353" s="1025">
        <f t="shared" si="57"/>
        <v>0</v>
      </c>
      <c r="R353" s="1025">
        <f>Q353*(списки!$C$56-O353)</f>
        <v>0</v>
      </c>
      <c r="S353" s="1026">
        <v>4.5</v>
      </c>
      <c r="T353" s="1026"/>
      <c r="U353" s="1026">
        <f t="shared" si="64"/>
        <v>27</v>
      </c>
      <c r="V353" s="1026">
        <f>U353*(списки!$C$56-S353)</f>
        <v>418.5</v>
      </c>
      <c r="W353" s="1027">
        <v>-7.3</v>
      </c>
      <c r="X353" s="1027"/>
      <c r="Y353" s="1027">
        <f t="shared" si="58"/>
        <v>31</v>
      </c>
      <c r="Z353" s="1027">
        <f>Y353*(списки!$C$56-W353)</f>
        <v>846.30000000000007</v>
      </c>
      <c r="AA353" s="1028">
        <v>-21.4</v>
      </c>
      <c r="AB353" s="1028"/>
      <c r="AC353" s="1028">
        <f t="shared" si="59"/>
        <v>30</v>
      </c>
      <c r="AD353" s="1028">
        <f>AC353*(списки!$C$56-AA353)</f>
        <v>1242</v>
      </c>
      <c r="AE353" s="1029">
        <v>-30</v>
      </c>
      <c r="AF353" s="1029"/>
      <c r="AG353" s="1029">
        <v>31</v>
      </c>
      <c r="AH353" s="1029">
        <f>AG353*(списки!$C$56-AE353)</f>
        <v>1550</v>
      </c>
      <c r="AI353" s="1030">
        <v>-31.1</v>
      </c>
      <c r="AJ353" s="1030"/>
      <c r="AK353" s="1030">
        <v>31</v>
      </c>
      <c r="AL353" s="1030">
        <f>AK353*(списки!$C$56-AI353)</f>
        <v>1584.1000000000001</v>
      </c>
      <c r="AM353" s="1031">
        <v>-26.3</v>
      </c>
      <c r="AN353" s="1031"/>
      <c r="AO353" s="1031">
        <v>28</v>
      </c>
      <c r="AP353" s="1031">
        <f>AO353*(списки!$C$56-AM353)</f>
        <v>1296.3999999999999</v>
      </c>
      <c r="AQ353" s="1026">
        <v>-16.2</v>
      </c>
      <c r="AR353" s="1026"/>
      <c r="AS353" s="1026">
        <f t="shared" si="60"/>
        <v>31</v>
      </c>
      <c r="AT353" s="1026">
        <f>AS353*(списки!$C$56-AQ353)</f>
        <v>1122.2</v>
      </c>
      <c r="AU353" s="1032">
        <v>-5.0999999999999996</v>
      </c>
      <c r="AV353" s="1032"/>
      <c r="AW353" s="1032">
        <f t="shared" si="61"/>
        <v>30</v>
      </c>
      <c r="AX353" s="1032">
        <f>AW353*(списки!$C$56-AU353)</f>
        <v>753</v>
      </c>
      <c r="AY353" s="1033">
        <v>4.5</v>
      </c>
      <c r="AZ353" s="1033"/>
      <c r="BA353" s="1033">
        <f t="shared" si="62"/>
        <v>27</v>
      </c>
      <c r="BB353" s="1033">
        <f>BA353*(списки!$C$56-AY353)</f>
        <v>418.5</v>
      </c>
      <c r="BC353" s="1034">
        <v>13.1</v>
      </c>
      <c r="BD353" s="1034"/>
      <c r="BE353" s="1034">
        <f t="shared" si="63"/>
        <v>0</v>
      </c>
      <c r="BF353" s="1035">
        <f>BE353*(списки!$C$56-BC353)</f>
        <v>0</v>
      </c>
      <c r="BG353" s="1424">
        <v>8940.9660714285692</v>
      </c>
      <c r="BH353" s="1424">
        <v>8748.6892857142866</v>
      </c>
    </row>
    <row r="354" spans="2:60" ht="15.75" customHeight="1" x14ac:dyDescent="0.25">
      <c r="B354" s="1038" t="s">
        <v>336</v>
      </c>
      <c r="C354" s="1038" t="s">
        <v>344</v>
      </c>
      <c r="D354" s="1015" t="str">
        <f t="shared" si="65"/>
        <v>Республика Саха (Якутия)Чурапча</v>
      </c>
      <c r="E354" s="1016">
        <v>239</v>
      </c>
      <c r="F354" s="1017">
        <v>-21.8</v>
      </c>
      <c r="G354" s="1017">
        <v>-56</v>
      </c>
      <c r="H354" s="1019">
        <f>H353</f>
        <v>3.6</v>
      </c>
      <c r="I354" s="1020">
        <f>E354*(списки!$C$56-F354)</f>
        <v>9990.1999999999989</v>
      </c>
      <c r="J354" s="1021" t="str">
        <f t="shared" si="55"/>
        <v>9000-10000</v>
      </c>
      <c r="K354" s="1022">
        <v>18.100000000000001</v>
      </c>
      <c r="L354" s="1022"/>
      <c r="M354" s="1023">
        <f t="shared" si="56"/>
        <v>0</v>
      </c>
      <c r="N354" s="1024">
        <f>M354*(списки!$C$56-K354)</f>
        <v>0</v>
      </c>
      <c r="O354" s="1025">
        <v>14.3</v>
      </c>
      <c r="P354" s="1025"/>
      <c r="Q354" s="1025">
        <f t="shared" si="57"/>
        <v>0</v>
      </c>
      <c r="R354" s="1025">
        <f>Q354*(списки!$C$56-O354)</f>
        <v>0</v>
      </c>
      <c r="S354" s="1026">
        <v>5.2</v>
      </c>
      <c r="T354" s="1026"/>
      <c r="U354" s="1026">
        <f t="shared" si="64"/>
        <v>13.5</v>
      </c>
      <c r="V354" s="1026">
        <f>U354*(списки!$C$56-S354)</f>
        <v>199.8</v>
      </c>
      <c r="W354" s="1027">
        <v>-9.4</v>
      </c>
      <c r="X354" s="1027"/>
      <c r="Y354" s="1027">
        <f t="shared" si="58"/>
        <v>31</v>
      </c>
      <c r="Z354" s="1027">
        <f>Y354*(списки!$C$56-W354)</f>
        <v>911.4</v>
      </c>
      <c r="AA354" s="1028">
        <v>-30.8</v>
      </c>
      <c r="AB354" s="1028"/>
      <c r="AC354" s="1028">
        <f t="shared" si="59"/>
        <v>30</v>
      </c>
      <c r="AD354" s="1028">
        <f>AC354*(списки!$C$56-AA354)</f>
        <v>1524</v>
      </c>
      <c r="AE354" s="1029">
        <v>-41.8</v>
      </c>
      <c r="AF354" s="1029"/>
      <c r="AG354" s="1029">
        <v>31</v>
      </c>
      <c r="AH354" s="1029">
        <f>AG354*(списки!$C$56-AE354)</f>
        <v>1915.8</v>
      </c>
      <c r="AI354" s="1030">
        <v>-44</v>
      </c>
      <c r="AJ354" s="1030"/>
      <c r="AK354" s="1030">
        <v>31</v>
      </c>
      <c r="AL354" s="1030">
        <f>AK354*(списки!$C$56-AI354)</f>
        <v>1984</v>
      </c>
      <c r="AM354" s="1031">
        <v>-38.4</v>
      </c>
      <c r="AN354" s="1031"/>
      <c r="AO354" s="1031">
        <v>28</v>
      </c>
      <c r="AP354" s="1031">
        <f>AO354*(списки!$C$56-AM354)</f>
        <v>1635.2</v>
      </c>
      <c r="AQ354" s="1026">
        <v>-24</v>
      </c>
      <c r="AR354" s="1026"/>
      <c r="AS354" s="1026">
        <f t="shared" si="60"/>
        <v>31</v>
      </c>
      <c r="AT354" s="1026">
        <f>AS354*(списки!$C$56-AQ354)</f>
        <v>1364</v>
      </c>
      <c r="AU354" s="1032">
        <v>-7.8</v>
      </c>
      <c r="AV354" s="1032"/>
      <c r="AW354" s="1032">
        <f t="shared" si="61"/>
        <v>30</v>
      </c>
      <c r="AX354" s="1032">
        <f>AW354*(списки!$C$56-AU354)</f>
        <v>834</v>
      </c>
      <c r="AY354" s="1033">
        <v>5.8</v>
      </c>
      <c r="AZ354" s="1033"/>
      <c r="BA354" s="1033">
        <f t="shared" si="62"/>
        <v>13.5</v>
      </c>
      <c r="BB354" s="1033">
        <f>BA354*(списки!$C$56-AY354)</f>
        <v>191.7</v>
      </c>
      <c r="BC354" s="1034">
        <v>14.7</v>
      </c>
      <c r="BD354" s="1034"/>
      <c r="BE354" s="1034">
        <f t="shared" si="63"/>
        <v>0</v>
      </c>
      <c r="BF354" s="1035">
        <f>BE354*(списки!$C$56-BC354)</f>
        <v>0</v>
      </c>
      <c r="BG354" s="1424">
        <v>10074.414285714283</v>
      </c>
      <c r="BH354" s="1424">
        <v>9965.3642857142895</v>
      </c>
    </row>
    <row r="355" spans="2:60" ht="15.75" customHeight="1" x14ac:dyDescent="0.25">
      <c r="B355" s="1014" t="s">
        <v>336</v>
      </c>
      <c r="C355" s="1014" t="s">
        <v>362</v>
      </c>
      <c r="D355" s="1015" t="str">
        <f t="shared" si="65"/>
        <v>Республика Саха (Якутия)Шелагонцы</v>
      </c>
      <c r="E355" s="1016">
        <v>282</v>
      </c>
      <c r="F355" s="1017">
        <v>-20.8</v>
      </c>
      <c r="G355" s="1017">
        <v>-57</v>
      </c>
      <c r="H355" s="1019">
        <v>1.7</v>
      </c>
      <c r="I355" s="1020">
        <f>E355*(списки!$C$56-F355)</f>
        <v>11505.599999999999</v>
      </c>
      <c r="J355" s="1021" t="str">
        <f t="shared" si="55"/>
        <v>11000-12000</v>
      </c>
      <c r="K355" s="1022">
        <v>14.9</v>
      </c>
      <c r="L355" s="1022"/>
      <c r="M355" s="1023">
        <f t="shared" si="56"/>
        <v>0</v>
      </c>
      <c r="N355" s="1024">
        <f>M355*(списки!$C$56-K355)</f>
        <v>0</v>
      </c>
      <c r="O355" s="1025">
        <v>10.5</v>
      </c>
      <c r="P355" s="1025"/>
      <c r="Q355" s="1025">
        <f t="shared" si="57"/>
        <v>4.5</v>
      </c>
      <c r="R355" s="1025">
        <f>Q355*(списки!$C$56-O355)</f>
        <v>42.75</v>
      </c>
      <c r="S355" s="1026">
        <v>2.2999999999999998</v>
      </c>
      <c r="T355" s="1026"/>
      <c r="U355" s="1026">
        <f t="shared" si="64"/>
        <v>30</v>
      </c>
      <c r="V355" s="1026">
        <f>U355*(списки!$C$56-S355)</f>
        <v>531</v>
      </c>
      <c r="W355" s="1027">
        <v>-11.4</v>
      </c>
      <c r="X355" s="1027"/>
      <c r="Y355" s="1027">
        <f t="shared" si="58"/>
        <v>31</v>
      </c>
      <c r="Z355" s="1027">
        <f>Y355*(списки!$C$56-W355)</f>
        <v>973.4</v>
      </c>
      <c r="AA355" s="1028">
        <v>-30.7</v>
      </c>
      <c r="AB355" s="1028"/>
      <c r="AC355" s="1028">
        <f t="shared" si="59"/>
        <v>30</v>
      </c>
      <c r="AD355" s="1028">
        <f>AC355*(списки!$C$56-AA355)</f>
        <v>1521</v>
      </c>
      <c r="AE355" s="1029">
        <v>-37.9</v>
      </c>
      <c r="AF355" s="1029"/>
      <c r="AG355" s="1029">
        <v>31</v>
      </c>
      <c r="AH355" s="1029">
        <f>AG355*(списки!$C$56-AE355)</f>
        <v>1794.8999999999999</v>
      </c>
      <c r="AI355" s="1030">
        <v>-41</v>
      </c>
      <c r="AJ355" s="1030"/>
      <c r="AK355" s="1030">
        <v>31</v>
      </c>
      <c r="AL355" s="1030">
        <f>AK355*(списки!$C$56-AI355)</f>
        <v>1891</v>
      </c>
      <c r="AM355" s="1031">
        <v>-37.1</v>
      </c>
      <c r="AN355" s="1031"/>
      <c r="AO355" s="1031">
        <v>28</v>
      </c>
      <c r="AP355" s="1031">
        <f>AO355*(списки!$C$56-AM355)</f>
        <v>1598.8</v>
      </c>
      <c r="AQ355" s="1026">
        <v>-25</v>
      </c>
      <c r="AR355" s="1026"/>
      <c r="AS355" s="1026">
        <f t="shared" si="60"/>
        <v>31</v>
      </c>
      <c r="AT355" s="1026">
        <f>AS355*(списки!$C$56-AQ355)</f>
        <v>1395</v>
      </c>
      <c r="AU355" s="1032">
        <v>-11.6</v>
      </c>
      <c r="AV355" s="1032"/>
      <c r="AW355" s="1032">
        <f t="shared" si="61"/>
        <v>30</v>
      </c>
      <c r="AX355" s="1032">
        <f>AW355*(списки!$C$56-AU355)</f>
        <v>948</v>
      </c>
      <c r="AY355" s="1033">
        <v>1</v>
      </c>
      <c r="AZ355" s="1033"/>
      <c r="BA355" s="1033">
        <f t="shared" si="62"/>
        <v>31</v>
      </c>
      <c r="BB355" s="1033">
        <f>BA355*(списки!$C$56-AY355)</f>
        <v>589</v>
      </c>
      <c r="BC355" s="1034">
        <v>11.3</v>
      </c>
      <c r="BD355" s="1034"/>
      <c r="BE355" s="1034">
        <f t="shared" si="63"/>
        <v>4.5</v>
      </c>
      <c r="BF355" s="1035">
        <f>BE355*(списки!$C$56-BC355)</f>
        <v>39.15</v>
      </c>
      <c r="BG355" s="1424">
        <v>10374.060238095242</v>
      </c>
      <c r="BH355" s="1424">
        <v>10536.174166666675</v>
      </c>
    </row>
    <row r="356" spans="2:60" ht="15.75" customHeight="1" x14ac:dyDescent="0.25">
      <c r="B356" s="1038" t="s">
        <v>336</v>
      </c>
      <c r="C356" s="1038" t="s">
        <v>689</v>
      </c>
      <c r="D356" s="1015" t="str">
        <f t="shared" si="65"/>
        <v>Республика Саха (Якутия)Эйик</v>
      </c>
      <c r="E356" s="1016">
        <v>284</v>
      </c>
      <c r="F356" s="1017">
        <v>-18.5</v>
      </c>
      <c r="G356" s="1017">
        <v>-52</v>
      </c>
      <c r="H356" s="1019">
        <f>H355</f>
        <v>1.7</v>
      </c>
      <c r="I356" s="1020">
        <f>E356*(списки!$C$56-F356)</f>
        <v>10934</v>
      </c>
      <c r="J356" s="1021" t="str">
        <f t="shared" si="55"/>
        <v>10000-11000</v>
      </c>
      <c r="K356" s="1022">
        <v>15.1</v>
      </c>
      <c r="L356" s="1022"/>
      <c r="M356" s="1023">
        <f t="shared" si="56"/>
        <v>0</v>
      </c>
      <c r="N356" s="1024">
        <f>M356*(списки!$C$56-K356)</f>
        <v>0</v>
      </c>
      <c r="O356" s="1025">
        <v>10.9</v>
      </c>
      <c r="P356" s="1025"/>
      <c r="Q356" s="1025">
        <f t="shared" si="57"/>
        <v>5.5</v>
      </c>
      <c r="R356" s="1025">
        <f>Q356*(списки!$C$56-O356)</f>
        <v>50.05</v>
      </c>
      <c r="S356" s="1026">
        <v>2.8</v>
      </c>
      <c r="T356" s="1026"/>
      <c r="U356" s="1026">
        <f t="shared" si="64"/>
        <v>30</v>
      </c>
      <c r="V356" s="1026">
        <f>U356*(списки!$C$56-S356)</f>
        <v>516</v>
      </c>
      <c r="W356" s="1027">
        <v>-10.5</v>
      </c>
      <c r="X356" s="1027"/>
      <c r="Y356" s="1027">
        <f t="shared" si="58"/>
        <v>31</v>
      </c>
      <c r="Z356" s="1027">
        <f>Y356*(списки!$C$56-W356)</f>
        <v>945.5</v>
      </c>
      <c r="AA356" s="1028">
        <v>-28.4</v>
      </c>
      <c r="AB356" s="1028"/>
      <c r="AC356" s="1028">
        <f t="shared" si="59"/>
        <v>30</v>
      </c>
      <c r="AD356" s="1028">
        <f>AC356*(списки!$C$56-AA356)</f>
        <v>1452</v>
      </c>
      <c r="AE356" s="1029">
        <v>-35.5</v>
      </c>
      <c r="AF356" s="1029"/>
      <c r="AG356" s="1029">
        <v>31</v>
      </c>
      <c r="AH356" s="1029">
        <f>AG356*(списки!$C$56-AE356)</f>
        <v>1720.5</v>
      </c>
      <c r="AI356" s="1030">
        <v>-37.700000000000003</v>
      </c>
      <c r="AJ356" s="1030"/>
      <c r="AK356" s="1030">
        <v>31</v>
      </c>
      <c r="AL356" s="1030">
        <f>AK356*(списки!$C$56-AI356)</f>
        <v>1788.7</v>
      </c>
      <c r="AM356" s="1031">
        <v>-34.200000000000003</v>
      </c>
      <c r="AN356" s="1031"/>
      <c r="AO356" s="1031">
        <v>28</v>
      </c>
      <c r="AP356" s="1031">
        <f>AO356*(списки!$C$56-AM356)</f>
        <v>1517.6000000000001</v>
      </c>
      <c r="AQ356" s="1026">
        <v>-23.8</v>
      </c>
      <c r="AR356" s="1026"/>
      <c r="AS356" s="1026">
        <f t="shared" si="60"/>
        <v>31</v>
      </c>
      <c r="AT356" s="1026">
        <f>AS356*(списки!$C$56-AQ356)</f>
        <v>1357.8</v>
      </c>
      <c r="AU356" s="1032">
        <v>-11.8</v>
      </c>
      <c r="AV356" s="1032"/>
      <c r="AW356" s="1032">
        <f t="shared" si="61"/>
        <v>30</v>
      </c>
      <c r="AX356" s="1032">
        <f>AW356*(списки!$C$56-AU356)</f>
        <v>954</v>
      </c>
      <c r="AY356" s="1033">
        <v>0</v>
      </c>
      <c r="AZ356" s="1033"/>
      <c r="BA356" s="1033">
        <f t="shared" si="62"/>
        <v>31</v>
      </c>
      <c r="BB356" s="1033">
        <f>BA356*(списки!$C$56-AY356)</f>
        <v>620</v>
      </c>
      <c r="BC356" s="1034">
        <v>10.9</v>
      </c>
      <c r="BD356" s="1034"/>
      <c r="BE356" s="1034">
        <f t="shared" si="63"/>
        <v>5.5</v>
      </c>
      <c r="BF356" s="1035">
        <f>BE356*(списки!$C$56-BC356)</f>
        <v>50.05</v>
      </c>
      <c r="BG356" s="1424">
        <v>10106.408928571422</v>
      </c>
      <c r="BH356" s="1424">
        <v>10253.912499999997</v>
      </c>
    </row>
    <row r="357" spans="2:60" ht="15.75" customHeight="1" x14ac:dyDescent="0.25">
      <c r="B357" s="1014" t="s">
        <v>336</v>
      </c>
      <c r="C357" s="1014" t="s">
        <v>378</v>
      </c>
      <c r="D357" s="1015" t="str">
        <f t="shared" si="65"/>
        <v>Республика Саха (Якутия)Якутск</v>
      </c>
      <c r="E357" s="1016">
        <v>252</v>
      </c>
      <c r="F357" s="1017">
        <v>-20.9</v>
      </c>
      <c r="G357" s="1017">
        <v>-52</v>
      </c>
      <c r="H357" s="1019">
        <v>1.8</v>
      </c>
      <c r="I357" s="1020">
        <f>E357*(списки!$C$56-F357)</f>
        <v>10306.799999999999</v>
      </c>
      <c r="J357" s="1021" t="str">
        <f t="shared" si="55"/>
        <v>10000-11000</v>
      </c>
      <c r="K357" s="1022">
        <v>19.100000000000001</v>
      </c>
      <c r="L357" s="1022"/>
      <c r="M357" s="1023">
        <f t="shared" si="56"/>
        <v>0</v>
      </c>
      <c r="N357" s="1024">
        <f>M357*(списки!$C$56-K357)</f>
        <v>0</v>
      </c>
      <c r="O357" s="1025">
        <v>15.1</v>
      </c>
      <c r="P357" s="1025"/>
      <c r="Q357" s="1025">
        <f t="shared" si="57"/>
        <v>0</v>
      </c>
      <c r="R357" s="1025">
        <f>Q357*(списки!$C$56-O357)</f>
        <v>0</v>
      </c>
      <c r="S357" s="1026">
        <v>5.9</v>
      </c>
      <c r="T357" s="1026"/>
      <c r="U357" s="1026">
        <f t="shared" si="64"/>
        <v>20</v>
      </c>
      <c r="V357" s="1026">
        <f>U357*(списки!$C$56-S357)</f>
        <v>282</v>
      </c>
      <c r="W357" s="1027">
        <v>-8</v>
      </c>
      <c r="X357" s="1027"/>
      <c r="Y357" s="1027">
        <f t="shared" si="58"/>
        <v>31</v>
      </c>
      <c r="Z357" s="1027">
        <f>Y357*(списки!$C$56-W357)</f>
        <v>868</v>
      </c>
      <c r="AA357" s="1028">
        <v>-28.2</v>
      </c>
      <c r="AB357" s="1028"/>
      <c r="AC357" s="1028">
        <f t="shared" si="59"/>
        <v>30</v>
      </c>
      <c r="AD357" s="1028">
        <f>AC357*(списки!$C$56-AA357)</f>
        <v>1446</v>
      </c>
      <c r="AE357" s="1029">
        <v>-38.1</v>
      </c>
      <c r="AF357" s="1029"/>
      <c r="AG357" s="1029">
        <v>31</v>
      </c>
      <c r="AH357" s="1029">
        <f>AG357*(списки!$C$56-AE357)</f>
        <v>1801.1000000000001</v>
      </c>
      <c r="AI357" s="1030">
        <v>-39.6</v>
      </c>
      <c r="AJ357" s="1030"/>
      <c r="AK357" s="1030">
        <v>31</v>
      </c>
      <c r="AL357" s="1030">
        <f>AK357*(списки!$C$56-AI357)</f>
        <v>1847.6000000000001</v>
      </c>
      <c r="AM357" s="1031">
        <v>-35</v>
      </c>
      <c r="AN357" s="1031"/>
      <c r="AO357" s="1031">
        <v>28</v>
      </c>
      <c r="AP357" s="1031">
        <f>AO357*(списки!$C$56-AM357)</f>
        <v>1540</v>
      </c>
      <c r="AQ357" s="1026">
        <v>-20.8</v>
      </c>
      <c r="AR357" s="1026"/>
      <c r="AS357" s="1026">
        <f t="shared" si="60"/>
        <v>31</v>
      </c>
      <c r="AT357" s="1026">
        <f>AS357*(списки!$C$56-AQ357)</f>
        <v>1264.8</v>
      </c>
      <c r="AU357" s="1032">
        <v>-5.2</v>
      </c>
      <c r="AV357" s="1032"/>
      <c r="AW357" s="1032">
        <f t="shared" si="61"/>
        <v>30</v>
      </c>
      <c r="AX357" s="1032">
        <f>AW357*(списки!$C$56-AU357)</f>
        <v>756</v>
      </c>
      <c r="AY357" s="1033">
        <v>7.3</v>
      </c>
      <c r="AZ357" s="1033"/>
      <c r="BA357" s="1033">
        <f t="shared" si="62"/>
        <v>20</v>
      </c>
      <c r="BB357" s="1033">
        <f>BA357*(списки!$C$56-AY357)</f>
        <v>254</v>
      </c>
      <c r="BC357" s="1034">
        <v>16.100000000000001</v>
      </c>
      <c r="BD357" s="1034"/>
      <c r="BE357" s="1034">
        <f t="shared" si="63"/>
        <v>0</v>
      </c>
      <c r="BF357" s="1035">
        <f>BE357*(списки!$C$56-BC357)</f>
        <v>0</v>
      </c>
      <c r="BG357" s="1424">
        <v>9492.3732142857098</v>
      </c>
      <c r="BH357" s="1424">
        <v>9365.9000000000015</v>
      </c>
    </row>
    <row r="358" spans="2:60" ht="15.75" customHeight="1" x14ac:dyDescent="0.25">
      <c r="B358" s="1038" t="s">
        <v>621</v>
      </c>
      <c r="C358" s="1038" t="s">
        <v>290</v>
      </c>
      <c r="D358" s="1015" t="str">
        <f t="shared" si="65"/>
        <v>Республика Северная ОсетияВладикавказ</v>
      </c>
      <c r="E358" s="1016">
        <v>169</v>
      </c>
      <c r="F358" s="1017">
        <v>0.7</v>
      </c>
      <c r="G358" s="1017">
        <v>-13</v>
      </c>
      <c r="H358" s="1019">
        <v>2</v>
      </c>
      <c r="I358" s="1020">
        <f>E358*(списки!$C$56-F358)</f>
        <v>3261.7000000000003</v>
      </c>
      <c r="J358" s="1021" t="str">
        <f t="shared" si="55"/>
        <v>3000-4000</v>
      </c>
      <c r="K358" s="1022">
        <v>20.3</v>
      </c>
      <c r="L358" s="1022"/>
      <c r="M358" s="1023">
        <f t="shared" si="56"/>
        <v>0</v>
      </c>
      <c r="N358" s="1024">
        <f>M358*(списки!$C$56-K358)</f>
        <v>0</v>
      </c>
      <c r="O358" s="1025">
        <v>19.8</v>
      </c>
      <c r="P358" s="1025"/>
      <c r="Q358" s="1025">
        <f t="shared" si="57"/>
        <v>0</v>
      </c>
      <c r="R358" s="1025">
        <f>Q358*(списки!$C$56-O358)</f>
        <v>0</v>
      </c>
      <c r="S358" s="1026">
        <v>15.2</v>
      </c>
      <c r="T358" s="1026"/>
      <c r="U358" s="1026">
        <f t="shared" si="64"/>
        <v>0</v>
      </c>
      <c r="V358" s="1026">
        <f>U358*(списки!$C$56-S358)</f>
        <v>0</v>
      </c>
      <c r="W358" s="1027">
        <v>9.5</v>
      </c>
      <c r="X358" s="1027"/>
      <c r="Y358" s="1027">
        <f t="shared" si="58"/>
        <v>9</v>
      </c>
      <c r="Z358" s="1027">
        <f>Y358*(списки!$C$56-W358)</f>
        <v>94.5</v>
      </c>
      <c r="AA358" s="1028">
        <v>3.7</v>
      </c>
      <c r="AB358" s="1028"/>
      <c r="AC358" s="1028">
        <f t="shared" si="59"/>
        <v>30</v>
      </c>
      <c r="AD358" s="1028">
        <f>AC358*(списки!$C$56-AA358)</f>
        <v>489</v>
      </c>
      <c r="AE358" s="1029">
        <v>-0.9</v>
      </c>
      <c r="AF358" s="1029"/>
      <c r="AG358" s="1029">
        <v>31</v>
      </c>
      <c r="AH358" s="1029">
        <f>AG358*(списки!$C$56-AE358)</f>
        <v>647.9</v>
      </c>
      <c r="AI358" s="1030">
        <v>-2.9</v>
      </c>
      <c r="AJ358" s="1030"/>
      <c r="AK358" s="1030">
        <v>31</v>
      </c>
      <c r="AL358" s="1030">
        <f>AK358*(списки!$C$56-AI358)</f>
        <v>709.9</v>
      </c>
      <c r="AM358" s="1031">
        <v>-2</v>
      </c>
      <c r="AN358" s="1031"/>
      <c r="AO358" s="1031">
        <v>28</v>
      </c>
      <c r="AP358" s="1031">
        <f>AO358*(списки!$C$56-AM358)</f>
        <v>616</v>
      </c>
      <c r="AQ358" s="1026">
        <v>2.7</v>
      </c>
      <c r="AR358" s="1026"/>
      <c r="AS358" s="1026">
        <f t="shared" si="60"/>
        <v>31</v>
      </c>
      <c r="AT358" s="1026">
        <f>AS358*(списки!$C$56-AQ358)</f>
        <v>536.30000000000007</v>
      </c>
      <c r="AU358" s="1032">
        <v>9.4</v>
      </c>
      <c r="AV358" s="1032"/>
      <c r="AW358" s="1032">
        <f t="shared" si="61"/>
        <v>9</v>
      </c>
      <c r="AX358" s="1032">
        <f>AW358*(списки!$C$56-AU358)</f>
        <v>95.399999999999991</v>
      </c>
      <c r="AY358" s="1033">
        <v>14.1</v>
      </c>
      <c r="AZ358" s="1033"/>
      <c r="BA358" s="1033">
        <f t="shared" si="62"/>
        <v>0</v>
      </c>
      <c r="BB358" s="1033">
        <f>BA358*(списки!$C$56-AY358)</f>
        <v>0</v>
      </c>
      <c r="BC358" s="1034">
        <v>17.7</v>
      </c>
      <c r="BD358" s="1034"/>
      <c r="BE358" s="1034">
        <f t="shared" si="63"/>
        <v>0</v>
      </c>
      <c r="BF358" s="1035">
        <f>BE358*(списки!$C$56-BC358)</f>
        <v>0</v>
      </c>
      <c r="BG358" s="1424">
        <v>3082.9249999999988</v>
      </c>
      <c r="BH358" s="1424">
        <v>2942.2125000000001</v>
      </c>
    </row>
    <row r="359" spans="2:60" ht="15.75" customHeight="1" x14ac:dyDescent="0.25">
      <c r="B359" s="1014" t="s">
        <v>381</v>
      </c>
      <c r="C359" s="1014" t="s">
        <v>382</v>
      </c>
      <c r="D359" s="1015" t="str">
        <f t="shared" si="65"/>
        <v>Республика ТатарстанБугульма</v>
      </c>
      <c r="E359" s="1016">
        <v>221</v>
      </c>
      <c r="F359" s="1017">
        <v>-5.8</v>
      </c>
      <c r="G359" s="1017">
        <v>-33</v>
      </c>
      <c r="H359" s="1019">
        <v>7.5</v>
      </c>
      <c r="I359" s="1020">
        <f>E359*(списки!$C$56-F359)</f>
        <v>5701.8</v>
      </c>
      <c r="J359" s="1021" t="str">
        <f t="shared" si="55"/>
        <v>5000-6000</v>
      </c>
      <c r="K359" s="1022">
        <v>18.100000000000001</v>
      </c>
      <c r="L359" s="1022"/>
      <c r="M359" s="1023">
        <f t="shared" si="56"/>
        <v>0</v>
      </c>
      <c r="N359" s="1024">
        <f>M359*(списки!$C$56-K359)</f>
        <v>0</v>
      </c>
      <c r="O359" s="1025">
        <v>16.399999999999999</v>
      </c>
      <c r="P359" s="1025"/>
      <c r="Q359" s="1025">
        <f t="shared" si="57"/>
        <v>0</v>
      </c>
      <c r="R359" s="1025">
        <f>Q359*(списки!$C$56-O359)</f>
        <v>0</v>
      </c>
      <c r="S359" s="1026">
        <v>10.199999999999999</v>
      </c>
      <c r="T359" s="1026"/>
      <c r="U359" s="1026">
        <f t="shared" si="64"/>
        <v>4.5</v>
      </c>
      <c r="V359" s="1026">
        <f>U359*(списки!$C$56-S359)</f>
        <v>44.1</v>
      </c>
      <c r="W359" s="1027">
        <v>2.1</v>
      </c>
      <c r="X359" s="1027"/>
      <c r="Y359" s="1027">
        <f t="shared" si="58"/>
        <v>31</v>
      </c>
      <c r="Z359" s="1027">
        <f>Y359*(списки!$C$56-W359)</f>
        <v>554.9</v>
      </c>
      <c r="AA359" s="1028">
        <v>-5.8</v>
      </c>
      <c r="AB359" s="1028"/>
      <c r="AC359" s="1028">
        <f t="shared" si="59"/>
        <v>30</v>
      </c>
      <c r="AD359" s="1028">
        <f>AC359*(списки!$C$56-AA359)</f>
        <v>774</v>
      </c>
      <c r="AE359" s="1029">
        <v>-11.6</v>
      </c>
      <c r="AF359" s="1029"/>
      <c r="AG359" s="1029">
        <v>31</v>
      </c>
      <c r="AH359" s="1029">
        <f>AG359*(списки!$C$56-AE359)</f>
        <v>979.6</v>
      </c>
      <c r="AI359" s="1030">
        <v>-14.3</v>
      </c>
      <c r="AJ359" s="1030"/>
      <c r="AK359" s="1030">
        <v>31</v>
      </c>
      <c r="AL359" s="1030">
        <f>AK359*(списки!$C$56-AI359)</f>
        <v>1063.3</v>
      </c>
      <c r="AM359" s="1031">
        <v>-13.7</v>
      </c>
      <c r="AN359" s="1031"/>
      <c r="AO359" s="1031">
        <v>28</v>
      </c>
      <c r="AP359" s="1031">
        <f>AO359*(списки!$C$56-AM359)</f>
        <v>943.60000000000014</v>
      </c>
      <c r="AQ359" s="1026">
        <v>-8</v>
      </c>
      <c r="AR359" s="1026"/>
      <c r="AS359" s="1026">
        <f t="shared" si="60"/>
        <v>31</v>
      </c>
      <c r="AT359" s="1026">
        <f>AS359*(списки!$C$56-AQ359)</f>
        <v>868</v>
      </c>
      <c r="AU359" s="1032">
        <v>2.4</v>
      </c>
      <c r="AV359" s="1032"/>
      <c r="AW359" s="1032">
        <f t="shared" si="61"/>
        <v>30</v>
      </c>
      <c r="AX359" s="1032">
        <f>AW359*(списки!$C$56-AU359)</f>
        <v>528</v>
      </c>
      <c r="AY359" s="1033">
        <v>11.4</v>
      </c>
      <c r="AZ359" s="1033"/>
      <c r="BA359" s="1033">
        <f t="shared" si="62"/>
        <v>4.5</v>
      </c>
      <c r="BB359" s="1033">
        <f>BA359*(списки!$C$56-AY359)</f>
        <v>38.699999999999996</v>
      </c>
      <c r="BC359" s="1034">
        <v>16.3</v>
      </c>
      <c r="BD359" s="1034"/>
      <c r="BE359" s="1034">
        <f t="shared" si="63"/>
        <v>0</v>
      </c>
      <c r="BF359" s="1035">
        <f>BE359*(списки!$C$56-BC359)</f>
        <v>0</v>
      </c>
      <c r="BG359" s="1424">
        <v>4976.8982142857103</v>
      </c>
      <c r="BH359" s="1424">
        <v>5213.7750000000033</v>
      </c>
    </row>
    <row r="360" spans="2:60" ht="15.75" customHeight="1" x14ac:dyDescent="0.25">
      <c r="B360" s="1038" t="s">
        <v>381</v>
      </c>
      <c r="C360" s="1038" t="s">
        <v>383</v>
      </c>
      <c r="D360" s="1015" t="str">
        <f t="shared" si="65"/>
        <v>Республика ТатарстанЕлабуга</v>
      </c>
      <c r="E360" s="1016">
        <v>209</v>
      </c>
      <c r="F360" s="1017">
        <v>-5.2</v>
      </c>
      <c r="G360" s="1017">
        <v>-32</v>
      </c>
      <c r="H360" s="1019">
        <v>4.0999999999999996</v>
      </c>
      <c r="I360" s="1020">
        <f>E360*(списки!$C$56-F360)</f>
        <v>5266.8</v>
      </c>
      <c r="J360" s="1021" t="str">
        <f t="shared" si="55"/>
        <v>5000-6000</v>
      </c>
      <c r="K360" s="1022">
        <v>19.8</v>
      </c>
      <c r="L360" s="1022"/>
      <c r="M360" s="1023">
        <f t="shared" si="56"/>
        <v>0</v>
      </c>
      <c r="N360" s="1024">
        <f>M360*(списки!$C$56-K360)</f>
        <v>0</v>
      </c>
      <c r="O360" s="1025">
        <v>17.2</v>
      </c>
      <c r="P360" s="1025"/>
      <c r="Q360" s="1025">
        <f t="shared" si="57"/>
        <v>0</v>
      </c>
      <c r="R360" s="1025">
        <f>Q360*(списки!$C$56-O360)</f>
        <v>0</v>
      </c>
      <c r="S360" s="1026">
        <v>11.4</v>
      </c>
      <c r="T360" s="1026"/>
      <c r="U360" s="1026">
        <f t="shared" si="64"/>
        <v>0</v>
      </c>
      <c r="V360" s="1026">
        <f>U360*(списки!$C$56-S360)</f>
        <v>0</v>
      </c>
      <c r="W360" s="1027">
        <v>3.9</v>
      </c>
      <c r="X360" s="1027"/>
      <c r="Y360" s="1027">
        <f t="shared" si="58"/>
        <v>29</v>
      </c>
      <c r="Z360" s="1027">
        <f>Y360*(списки!$C$56-W360)</f>
        <v>466.90000000000003</v>
      </c>
      <c r="AA360" s="1028">
        <v>-3.6</v>
      </c>
      <c r="AB360" s="1028"/>
      <c r="AC360" s="1028">
        <f t="shared" si="59"/>
        <v>30</v>
      </c>
      <c r="AD360" s="1028">
        <f>AC360*(списки!$C$56-AA360)</f>
        <v>708</v>
      </c>
      <c r="AE360" s="1029">
        <v>-10</v>
      </c>
      <c r="AF360" s="1029"/>
      <c r="AG360" s="1029">
        <v>31</v>
      </c>
      <c r="AH360" s="1029">
        <f>AG360*(списки!$C$56-AE360)</f>
        <v>930</v>
      </c>
      <c r="AI360" s="1030">
        <v>-12.4</v>
      </c>
      <c r="AJ360" s="1030"/>
      <c r="AK360" s="1030">
        <v>31</v>
      </c>
      <c r="AL360" s="1030">
        <f>AK360*(списки!$C$56-AI360)</f>
        <v>1004.4</v>
      </c>
      <c r="AM360" s="1031">
        <v>-11.7</v>
      </c>
      <c r="AN360" s="1031"/>
      <c r="AO360" s="1031">
        <v>28</v>
      </c>
      <c r="AP360" s="1031">
        <f>AO360*(списки!$C$56-AM360)</f>
        <v>887.6</v>
      </c>
      <c r="AQ360" s="1026">
        <v>-4.2</v>
      </c>
      <c r="AR360" s="1026"/>
      <c r="AS360" s="1026">
        <f t="shared" si="60"/>
        <v>31</v>
      </c>
      <c r="AT360" s="1026">
        <f>AS360*(списки!$C$56-AQ360)</f>
        <v>750.19999999999993</v>
      </c>
      <c r="AU360" s="1032">
        <v>5.2</v>
      </c>
      <c r="AV360" s="1032"/>
      <c r="AW360" s="1032">
        <f t="shared" si="61"/>
        <v>29</v>
      </c>
      <c r="AX360" s="1032">
        <f>AW360*(списки!$C$56-AU360)</f>
        <v>429.20000000000005</v>
      </c>
      <c r="AY360" s="1033">
        <v>13.2</v>
      </c>
      <c r="AZ360" s="1033"/>
      <c r="BA360" s="1033">
        <f t="shared" si="62"/>
        <v>0</v>
      </c>
      <c r="BB360" s="1033">
        <f>BA360*(списки!$C$56-AY360)</f>
        <v>0</v>
      </c>
      <c r="BC360" s="1034">
        <v>17.5</v>
      </c>
      <c r="BD360" s="1034"/>
      <c r="BE360" s="1034">
        <f t="shared" si="63"/>
        <v>0</v>
      </c>
      <c r="BF360" s="1035">
        <f>BE360*(списки!$C$56-BC360)</f>
        <v>0</v>
      </c>
      <c r="BG360" s="1424">
        <v>4716.9732142857156</v>
      </c>
      <c r="BH360" s="1424">
        <v>4886.3392857142853</v>
      </c>
    </row>
    <row r="361" spans="2:60" ht="15.75" customHeight="1" x14ac:dyDescent="0.25">
      <c r="B361" s="1014" t="s">
        <v>381</v>
      </c>
      <c r="C361" s="1014" t="s">
        <v>384</v>
      </c>
      <c r="D361" s="1015" t="str">
        <f t="shared" si="65"/>
        <v>Республика ТатарстанКазань</v>
      </c>
      <c r="E361" s="1016">
        <v>208</v>
      </c>
      <c r="F361" s="1017">
        <v>-4.8</v>
      </c>
      <c r="G361" s="1017">
        <v>-31</v>
      </c>
      <c r="H361" s="1019">
        <v>3.8</v>
      </c>
      <c r="I361" s="1020">
        <f>E361*(списки!$C$56-F361)</f>
        <v>5158.4000000000005</v>
      </c>
      <c r="J361" s="1021" t="str">
        <f t="shared" si="55"/>
        <v>5000-6000</v>
      </c>
      <c r="K361" s="1022">
        <v>19.7</v>
      </c>
      <c r="L361" s="1022"/>
      <c r="M361" s="1023">
        <f t="shared" si="56"/>
        <v>0</v>
      </c>
      <c r="N361" s="1024">
        <f>M361*(списки!$C$56-K361)</f>
        <v>0</v>
      </c>
      <c r="O361" s="1025">
        <v>17.399999999999999</v>
      </c>
      <c r="P361" s="1025"/>
      <c r="Q361" s="1025">
        <f t="shared" si="57"/>
        <v>0</v>
      </c>
      <c r="R361" s="1025">
        <f>Q361*(списки!$C$56-O361)</f>
        <v>0</v>
      </c>
      <c r="S361" s="1026">
        <v>11.5</v>
      </c>
      <c r="T361" s="1026"/>
      <c r="U361" s="1026">
        <f t="shared" si="64"/>
        <v>0</v>
      </c>
      <c r="V361" s="1026">
        <f>U361*(списки!$C$56-S361)</f>
        <v>0</v>
      </c>
      <c r="W361" s="1027">
        <v>4.2</v>
      </c>
      <c r="X361" s="1027"/>
      <c r="Y361" s="1027">
        <f t="shared" si="58"/>
        <v>28.5</v>
      </c>
      <c r="Z361" s="1027">
        <f>Y361*(списки!$C$56-W361)</f>
        <v>450.3</v>
      </c>
      <c r="AA361" s="1028">
        <v>-3.2</v>
      </c>
      <c r="AB361" s="1028"/>
      <c r="AC361" s="1028">
        <f t="shared" si="59"/>
        <v>30</v>
      </c>
      <c r="AD361" s="1028">
        <f>AC361*(списки!$C$56-AA361)</f>
        <v>696</v>
      </c>
      <c r="AE361" s="1029">
        <v>-8.9</v>
      </c>
      <c r="AF361" s="1029"/>
      <c r="AG361" s="1029">
        <v>31</v>
      </c>
      <c r="AH361" s="1029">
        <f>AG361*(списки!$C$56-AE361)</f>
        <v>895.9</v>
      </c>
      <c r="AI361" s="1030">
        <v>-11.6</v>
      </c>
      <c r="AJ361" s="1030"/>
      <c r="AK361" s="1030">
        <v>31</v>
      </c>
      <c r="AL361" s="1030">
        <f>AK361*(списки!$C$56-AI361)</f>
        <v>979.6</v>
      </c>
      <c r="AM361" s="1031">
        <v>-10.9</v>
      </c>
      <c r="AN361" s="1031"/>
      <c r="AO361" s="1031">
        <v>28</v>
      </c>
      <c r="AP361" s="1031">
        <f>AO361*(списки!$C$56-AM361)</f>
        <v>865.19999999999993</v>
      </c>
      <c r="AQ361" s="1026">
        <v>-4.3</v>
      </c>
      <c r="AR361" s="1026"/>
      <c r="AS361" s="1026">
        <f t="shared" si="60"/>
        <v>31</v>
      </c>
      <c r="AT361" s="1026">
        <f>AS361*(списки!$C$56-AQ361)</f>
        <v>753.30000000000007</v>
      </c>
      <c r="AU361" s="1032">
        <v>5.3</v>
      </c>
      <c r="AV361" s="1032"/>
      <c r="AW361" s="1032">
        <f t="shared" si="61"/>
        <v>28.5</v>
      </c>
      <c r="AX361" s="1032">
        <f>AW361*(списки!$C$56-AU361)</f>
        <v>418.95</v>
      </c>
      <c r="AY361" s="1033">
        <v>13.2</v>
      </c>
      <c r="AZ361" s="1033"/>
      <c r="BA361" s="1033">
        <f t="shared" si="62"/>
        <v>0</v>
      </c>
      <c r="BB361" s="1033">
        <f>BA361*(списки!$C$56-AY361)</f>
        <v>0</v>
      </c>
      <c r="BC361" s="1034">
        <v>17.600000000000001</v>
      </c>
      <c r="BD361" s="1034"/>
      <c r="BE361" s="1034">
        <f t="shared" si="63"/>
        <v>0</v>
      </c>
      <c r="BF361" s="1035">
        <f>BE361*(списки!$C$56-BC361)</f>
        <v>0</v>
      </c>
      <c r="BG361" s="1424">
        <v>4694.1874999999982</v>
      </c>
      <c r="BH361" s="1424">
        <v>4742.0500000000011</v>
      </c>
    </row>
    <row r="362" spans="2:60" ht="15.75" customHeight="1" x14ac:dyDescent="0.25">
      <c r="B362" s="1038" t="s">
        <v>622</v>
      </c>
      <c r="C362" s="1038" t="s">
        <v>391</v>
      </c>
      <c r="D362" s="1015" t="str">
        <f t="shared" si="65"/>
        <v>Республика ТываКызыл</v>
      </c>
      <c r="E362" s="1016">
        <v>225</v>
      </c>
      <c r="F362" s="1017">
        <v>-15</v>
      </c>
      <c r="G362" s="1017">
        <v>-47</v>
      </c>
      <c r="H362" s="1019">
        <v>1.7</v>
      </c>
      <c r="I362" s="1020">
        <f>E362*(списки!$C$56-F362)</f>
        <v>7875</v>
      </c>
      <c r="J362" s="1021" t="str">
        <f t="shared" si="55"/>
        <v>7000-8000</v>
      </c>
      <c r="K362" s="1022">
        <v>20.2</v>
      </c>
      <c r="L362" s="1022"/>
      <c r="M362" s="1023">
        <f t="shared" si="56"/>
        <v>0</v>
      </c>
      <c r="N362" s="1024">
        <f>M362*(списки!$C$56-K362)</f>
        <v>0</v>
      </c>
      <c r="O362" s="1025">
        <v>17.3</v>
      </c>
      <c r="P362" s="1025"/>
      <c r="Q362" s="1025">
        <f t="shared" si="57"/>
        <v>0</v>
      </c>
      <c r="R362" s="1025">
        <f>Q362*(списки!$C$56-O362)</f>
        <v>0</v>
      </c>
      <c r="S362" s="1026">
        <v>10.1</v>
      </c>
      <c r="T362" s="1026"/>
      <c r="U362" s="1026">
        <f t="shared" si="64"/>
        <v>6.5</v>
      </c>
      <c r="V362" s="1026">
        <f>U362*(списки!$C$56-S362)</f>
        <v>64.350000000000009</v>
      </c>
      <c r="W362" s="1027">
        <v>0.7</v>
      </c>
      <c r="X362" s="1027"/>
      <c r="Y362" s="1027">
        <f t="shared" si="58"/>
        <v>31</v>
      </c>
      <c r="Z362" s="1027">
        <f>Y362*(списки!$C$56-W362)</f>
        <v>598.30000000000007</v>
      </c>
      <c r="AA362" s="1028">
        <v>-13.6</v>
      </c>
      <c r="AB362" s="1028"/>
      <c r="AC362" s="1028">
        <f t="shared" si="59"/>
        <v>30</v>
      </c>
      <c r="AD362" s="1028">
        <f>AC362*(списки!$C$56-AA362)</f>
        <v>1008</v>
      </c>
      <c r="AE362" s="1029">
        <v>-26</v>
      </c>
      <c r="AF362" s="1029"/>
      <c r="AG362" s="1029">
        <v>31</v>
      </c>
      <c r="AH362" s="1029">
        <f>AG362*(списки!$C$56-AE362)</f>
        <v>1426</v>
      </c>
      <c r="AI362" s="1030">
        <v>-29.3</v>
      </c>
      <c r="AJ362" s="1030"/>
      <c r="AK362" s="1030">
        <v>31</v>
      </c>
      <c r="AL362" s="1030">
        <f>AK362*(списки!$C$56-AI362)</f>
        <v>1528.3</v>
      </c>
      <c r="AM362" s="1031">
        <v>-24.3</v>
      </c>
      <c r="AN362" s="1031"/>
      <c r="AO362" s="1031">
        <v>28</v>
      </c>
      <c r="AP362" s="1031">
        <f>AO362*(списки!$C$56-AM362)</f>
        <v>1240.3999999999999</v>
      </c>
      <c r="AQ362" s="1026">
        <v>-11</v>
      </c>
      <c r="AR362" s="1026"/>
      <c r="AS362" s="1026">
        <f t="shared" si="60"/>
        <v>31</v>
      </c>
      <c r="AT362" s="1026">
        <f>AS362*(списки!$C$56-AQ362)</f>
        <v>961</v>
      </c>
      <c r="AU362" s="1032">
        <v>4.4000000000000004</v>
      </c>
      <c r="AV362" s="1032"/>
      <c r="AW362" s="1032">
        <f t="shared" si="61"/>
        <v>30</v>
      </c>
      <c r="AX362" s="1032">
        <f>AW362*(списки!$C$56-AU362)</f>
        <v>468</v>
      </c>
      <c r="AY362" s="1033">
        <v>12.3</v>
      </c>
      <c r="AZ362" s="1033"/>
      <c r="BA362" s="1033">
        <f t="shared" si="62"/>
        <v>6.5</v>
      </c>
      <c r="BB362" s="1033">
        <f>BA362*(списки!$C$56-AY362)</f>
        <v>50.05</v>
      </c>
      <c r="BC362" s="1034">
        <v>18.2</v>
      </c>
      <c r="BD362" s="1034"/>
      <c r="BE362" s="1034">
        <f t="shared" si="63"/>
        <v>0</v>
      </c>
      <c r="BF362" s="1035">
        <f>BE362*(списки!$C$56-BC362)</f>
        <v>0</v>
      </c>
      <c r="BG362" s="1424">
        <v>6992.2214285714272</v>
      </c>
      <c r="BH362" s="1424">
        <v>6745.0839285714283</v>
      </c>
    </row>
    <row r="363" spans="2:60" ht="15.75" customHeight="1" x14ac:dyDescent="0.25">
      <c r="B363" s="1014" t="s">
        <v>623</v>
      </c>
      <c r="C363" s="1014" t="s">
        <v>286</v>
      </c>
      <c r="D363" s="1015" t="str">
        <f t="shared" si="65"/>
        <v>Республика ХакассияАбакан</v>
      </c>
      <c r="E363" s="1016">
        <v>223</v>
      </c>
      <c r="F363" s="1017">
        <v>-7.9</v>
      </c>
      <c r="G363" s="1017">
        <v>-37</v>
      </c>
      <c r="H363" s="1019">
        <v>4.8</v>
      </c>
      <c r="I363" s="1020">
        <f>E363*(списки!$C$56-F363)</f>
        <v>6221.7</v>
      </c>
      <c r="J363" s="1021" t="str">
        <f t="shared" si="55"/>
        <v>6000-7000</v>
      </c>
      <c r="K363" s="1022">
        <v>19.5</v>
      </c>
      <c r="L363" s="1022"/>
      <c r="M363" s="1023">
        <f t="shared" si="56"/>
        <v>0</v>
      </c>
      <c r="N363" s="1024">
        <f>M363*(списки!$C$56-K363)</f>
        <v>0</v>
      </c>
      <c r="O363" s="1025">
        <v>16.399999999999999</v>
      </c>
      <c r="P363" s="1025"/>
      <c r="Q363" s="1025">
        <f t="shared" si="57"/>
        <v>0</v>
      </c>
      <c r="R363" s="1025">
        <f>Q363*(списки!$C$56-O363)</f>
        <v>0</v>
      </c>
      <c r="S363" s="1026">
        <v>9.9</v>
      </c>
      <c r="T363" s="1026"/>
      <c r="U363" s="1026">
        <f t="shared" si="64"/>
        <v>5.5</v>
      </c>
      <c r="V363" s="1026">
        <f>U363*(списки!$C$56-S363)</f>
        <v>55.55</v>
      </c>
      <c r="W363" s="1027">
        <v>1.6</v>
      </c>
      <c r="X363" s="1027"/>
      <c r="Y363" s="1027">
        <f t="shared" si="58"/>
        <v>31</v>
      </c>
      <c r="Z363" s="1027">
        <f>Y363*(списки!$C$56-W363)</f>
        <v>570.4</v>
      </c>
      <c r="AA363" s="1028">
        <v>-9.5</v>
      </c>
      <c r="AB363" s="1028"/>
      <c r="AC363" s="1028">
        <f t="shared" si="59"/>
        <v>30</v>
      </c>
      <c r="AD363" s="1028">
        <f>AC363*(списки!$C$56-AA363)</f>
        <v>885</v>
      </c>
      <c r="AE363" s="1029">
        <v>-17.899999999999999</v>
      </c>
      <c r="AF363" s="1029"/>
      <c r="AG363" s="1029">
        <v>31</v>
      </c>
      <c r="AH363" s="1029">
        <f>AG363*(списки!$C$56-AE363)</f>
        <v>1174.8999999999999</v>
      </c>
      <c r="AI363" s="1030">
        <v>-25.5</v>
      </c>
      <c r="AJ363" s="1030"/>
      <c r="AK363" s="1030">
        <v>31</v>
      </c>
      <c r="AL363" s="1030">
        <f>AK363*(списки!$C$56-AI363)</f>
        <v>1410.5</v>
      </c>
      <c r="AM363" s="1031">
        <v>-18.5</v>
      </c>
      <c r="AN363" s="1031"/>
      <c r="AO363" s="1031">
        <v>28</v>
      </c>
      <c r="AP363" s="1031">
        <f>AO363*(списки!$C$56-AM363)</f>
        <v>1078</v>
      </c>
      <c r="AQ363" s="1026">
        <v>-8.5</v>
      </c>
      <c r="AR363" s="1026"/>
      <c r="AS363" s="1026">
        <f t="shared" si="60"/>
        <v>31</v>
      </c>
      <c r="AT363" s="1026">
        <f>AS363*(списки!$C$56-AQ363)</f>
        <v>883.5</v>
      </c>
      <c r="AU363" s="1032">
        <v>2.9</v>
      </c>
      <c r="AV363" s="1032"/>
      <c r="AW363" s="1032">
        <f t="shared" si="61"/>
        <v>30</v>
      </c>
      <c r="AX363" s="1032">
        <f>AW363*(списки!$C$56-AU363)</f>
        <v>513</v>
      </c>
      <c r="AY363" s="1033">
        <v>10.5</v>
      </c>
      <c r="AZ363" s="1033"/>
      <c r="BA363" s="1033">
        <f t="shared" si="62"/>
        <v>5.5</v>
      </c>
      <c r="BB363" s="1033">
        <f>BA363*(списки!$C$56-AY363)</f>
        <v>52.25</v>
      </c>
      <c r="BC363" s="1034">
        <v>17.3</v>
      </c>
      <c r="BD363" s="1034"/>
      <c r="BE363" s="1034">
        <f t="shared" si="63"/>
        <v>0</v>
      </c>
      <c r="BF363" s="1035">
        <f>BE363*(списки!$C$56-BC363)</f>
        <v>0</v>
      </c>
      <c r="BG363" s="1424">
        <v>5852.7408187863757</v>
      </c>
      <c r="BH363" s="1424">
        <v>5288.8242586596789</v>
      </c>
    </row>
    <row r="364" spans="2:60" ht="15.75" customHeight="1" x14ac:dyDescent="0.25">
      <c r="B364" s="1038" t="s">
        <v>623</v>
      </c>
      <c r="C364" s="1038" t="s">
        <v>287</v>
      </c>
      <c r="D364" s="1015" t="str">
        <f t="shared" si="65"/>
        <v>Республика ХакассияШира</v>
      </c>
      <c r="E364" s="1016">
        <v>236</v>
      </c>
      <c r="F364" s="1017">
        <v>-7.7</v>
      </c>
      <c r="G364" s="1017">
        <v>-38</v>
      </c>
      <c r="H364" s="1019">
        <v>4.0999999999999996</v>
      </c>
      <c r="I364" s="1020">
        <f>E364*(списки!$C$56-F364)</f>
        <v>6537.2</v>
      </c>
      <c r="J364" s="1021" t="str">
        <f t="shared" si="55"/>
        <v>6000-7000</v>
      </c>
      <c r="K364" s="1022">
        <v>17.7</v>
      </c>
      <c r="L364" s="1022"/>
      <c r="M364" s="1023">
        <f t="shared" si="56"/>
        <v>0</v>
      </c>
      <c r="N364" s="1024">
        <f>M364*(списки!$C$56-K364)</f>
        <v>0</v>
      </c>
      <c r="O364" s="1025">
        <v>14.9</v>
      </c>
      <c r="P364" s="1025"/>
      <c r="Q364" s="1025">
        <f t="shared" si="57"/>
        <v>0</v>
      </c>
      <c r="R364" s="1025">
        <f>Q364*(списки!$C$56-O364)</f>
        <v>0</v>
      </c>
      <c r="S364" s="1026">
        <v>8.8000000000000007</v>
      </c>
      <c r="T364" s="1026"/>
      <c r="U364" s="1026">
        <f t="shared" si="64"/>
        <v>12</v>
      </c>
      <c r="V364" s="1026">
        <f>U364*(списки!$C$56-S364)</f>
        <v>134.39999999999998</v>
      </c>
      <c r="W364" s="1027">
        <v>1.2</v>
      </c>
      <c r="X364" s="1027"/>
      <c r="Y364" s="1027">
        <f t="shared" si="58"/>
        <v>31</v>
      </c>
      <c r="Z364" s="1027">
        <f>Y364*(списки!$C$56-W364)</f>
        <v>582.80000000000007</v>
      </c>
      <c r="AA364" s="1028">
        <v>-9.1</v>
      </c>
      <c r="AB364" s="1028"/>
      <c r="AC364" s="1028">
        <f t="shared" si="59"/>
        <v>30</v>
      </c>
      <c r="AD364" s="1028">
        <f>AC364*(списки!$C$56-AA364)</f>
        <v>873</v>
      </c>
      <c r="AE364" s="1029">
        <v>-16.399999999999999</v>
      </c>
      <c r="AF364" s="1029"/>
      <c r="AG364" s="1029">
        <v>31</v>
      </c>
      <c r="AH364" s="1029">
        <f>AG364*(списки!$C$56-AE364)</f>
        <v>1128.3999999999999</v>
      </c>
      <c r="AI364" s="1030">
        <v>-18.5</v>
      </c>
      <c r="AJ364" s="1030"/>
      <c r="AK364" s="1030">
        <v>31</v>
      </c>
      <c r="AL364" s="1030">
        <f>AK364*(списки!$C$56-AI364)</f>
        <v>1193.5</v>
      </c>
      <c r="AM364" s="1031">
        <v>-17.2</v>
      </c>
      <c r="AN364" s="1031"/>
      <c r="AO364" s="1031">
        <v>28</v>
      </c>
      <c r="AP364" s="1031">
        <f>AO364*(списки!$C$56-AM364)</f>
        <v>1041.6000000000001</v>
      </c>
      <c r="AQ364" s="1026">
        <v>-8.9</v>
      </c>
      <c r="AR364" s="1026"/>
      <c r="AS364" s="1026">
        <f t="shared" si="60"/>
        <v>31</v>
      </c>
      <c r="AT364" s="1026">
        <f>AS364*(списки!$C$56-AQ364)</f>
        <v>895.9</v>
      </c>
      <c r="AU364" s="1032">
        <v>1.3</v>
      </c>
      <c r="AV364" s="1032"/>
      <c r="AW364" s="1032">
        <f t="shared" si="61"/>
        <v>30</v>
      </c>
      <c r="AX364" s="1032">
        <f>AW364*(списки!$C$56-AU364)</f>
        <v>561</v>
      </c>
      <c r="AY364" s="1033">
        <v>8.9</v>
      </c>
      <c r="AZ364" s="1033"/>
      <c r="BA364" s="1033">
        <f t="shared" si="62"/>
        <v>12</v>
      </c>
      <c r="BB364" s="1033">
        <f>BA364*(списки!$C$56-AY364)</f>
        <v>133.19999999999999</v>
      </c>
      <c r="BC364" s="1034">
        <v>15.6</v>
      </c>
      <c r="BD364" s="1034"/>
      <c r="BE364" s="1034">
        <f t="shared" si="63"/>
        <v>0</v>
      </c>
      <c r="BF364" s="1035">
        <f>BE364*(списки!$C$56-BC364)</f>
        <v>0</v>
      </c>
      <c r="BG364" s="1424" t="e">
        <v>#N/A</v>
      </c>
      <c r="BH364" s="1424" t="e">
        <v>#N/A</v>
      </c>
    </row>
    <row r="365" spans="2:60" ht="15.75" customHeight="1" x14ac:dyDescent="0.25">
      <c r="B365" s="1014" t="s">
        <v>291</v>
      </c>
      <c r="C365" s="1014" t="s">
        <v>292</v>
      </c>
      <c r="D365" s="1015" t="str">
        <f t="shared" si="65"/>
        <v>Ростовская областьМиллерово</v>
      </c>
      <c r="E365" s="1016">
        <v>179</v>
      </c>
      <c r="F365" s="1017">
        <v>-1.7</v>
      </c>
      <c r="G365" s="1017">
        <v>-21</v>
      </c>
      <c r="H365" s="1019">
        <v>6.1</v>
      </c>
      <c r="I365" s="1020">
        <f>E365*(списки!$C$56-F365)</f>
        <v>3884.2999999999997</v>
      </c>
      <c r="J365" s="1021" t="str">
        <f t="shared" si="55"/>
        <v>3000-4000</v>
      </c>
      <c r="K365" s="1022">
        <v>21.8</v>
      </c>
      <c r="L365" s="1022"/>
      <c r="M365" s="1023">
        <f t="shared" si="56"/>
        <v>0</v>
      </c>
      <c r="N365" s="1024">
        <f>M365*(списки!$C$56-K365)</f>
        <v>0</v>
      </c>
      <c r="O365" s="1025">
        <v>20.9</v>
      </c>
      <c r="P365" s="1025"/>
      <c r="Q365" s="1025">
        <f t="shared" si="57"/>
        <v>0</v>
      </c>
      <c r="R365" s="1025">
        <f>Q365*(списки!$C$56-O365)</f>
        <v>0</v>
      </c>
      <c r="S365" s="1026">
        <v>15</v>
      </c>
      <c r="T365" s="1026"/>
      <c r="U365" s="1026">
        <f t="shared" si="64"/>
        <v>0</v>
      </c>
      <c r="V365" s="1026">
        <f>U365*(списки!$C$56-S365)</f>
        <v>0</v>
      </c>
      <c r="W365" s="1027">
        <v>7.8</v>
      </c>
      <c r="X365" s="1027"/>
      <c r="Y365" s="1027">
        <f t="shared" si="58"/>
        <v>14</v>
      </c>
      <c r="Z365" s="1027">
        <f>Y365*(списки!$C$56-W365)</f>
        <v>170.79999999999998</v>
      </c>
      <c r="AA365" s="1028">
        <v>1.3</v>
      </c>
      <c r="AB365" s="1028"/>
      <c r="AC365" s="1028">
        <f t="shared" si="59"/>
        <v>30</v>
      </c>
      <c r="AD365" s="1028">
        <f>AC365*(списки!$C$56-AA365)</f>
        <v>561</v>
      </c>
      <c r="AE365" s="1029">
        <v>-3.8</v>
      </c>
      <c r="AF365" s="1029"/>
      <c r="AG365" s="1029">
        <v>31</v>
      </c>
      <c r="AH365" s="1029">
        <f>AG365*(списки!$C$56-AE365)</f>
        <v>737.80000000000007</v>
      </c>
      <c r="AI365" s="1030">
        <v>-6.3</v>
      </c>
      <c r="AJ365" s="1030"/>
      <c r="AK365" s="1030">
        <v>31</v>
      </c>
      <c r="AL365" s="1030">
        <f>AK365*(списки!$C$56-AI365)</f>
        <v>815.30000000000007</v>
      </c>
      <c r="AM365" s="1031">
        <v>-5.7</v>
      </c>
      <c r="AN365" s="1031"/>
      <c r="AO365" s="1031">
        <v>28</v>
      </c>
      <c r="AP365" s="1031">
        <f>AO365*(списки!$C$56-AM365)</f>
        <v>719.6</v>
      </c>
      <c r="AQ365" s="1026">
        <v>0</v>
      </c>
      <c r="AR365" s="1026"/>
      <c r="AS365" s="1026">
        <f t="shared" si="60"/>
        <v>31</v>
      </c>
      <c r="AT365" s="1026">
        <f>AS365*(списки!$C$56-AQ365)</f>
        <v>620</v>
      </c>
      <c r="AU365" s="1032">
        <v>9.3000000000000007</v>
      </c>
      <c r="AV365" s="1032"/>
      <c r="AW365" s="1032">
        <f t="shared" si="61"/>
        <v>14</v>
      </c>
      <c r="AX365" s="1032">
        <f>AW365*(списки!$C$56-AU365)</f>
        <v>149.79999999999998</v>
      </c>
      <c r="AY365" s="1033">
        <v>15.7</v>
      </c>
      <c r="AZ365" s="1033"/>
      <c r="BA365" s="1033">
        <f t="shared" si="62"/>
        <v>0</v>
      </c>
      <c r="BB365" s="1033">
        <f>BA365*(списки!$C$56-AY365)</f>
        <v>0</v>
      </c>
      <c r="BC365" s="1034">
        <v>19.7</v>
      </c>
      <c r="BD365" s="1034"/>
      <c r="BE365" s="1034">
        <f t="shared" si="63"/>
        <v>0</v>
      </c>
      <c r="BF365" s="1035">
        <f>BE365*(списки!$C$56-BC365)</f>
        <v>0</v>
      </c>
      <c r="BG365" s="1424">
        <v>3606.6749999999997</v>
      </c>
      <c r="BH365" s="1424">
        <v>3344.7499999999995</v>
      </c>
    </row>
    <row r="366" spans="2:60" ht="15.75" customHeight="1" x14ac:dyDescent="0.25">
      <c r="B366" s="1038" t="s">
        <v>291</v>
      </c>
      <c r="C366" s="1038" t="s">
        <v>690</v>
      </c>
      <c r="D366" s="1015" t="str">
        <f t="shared" si="65"/>
        <v>Ростовская областьРостов-на- Дону</v>
      </c>
      <c r="E366" s="1016">
        <v>166</v>
      </c>
      <c r="F366" s="1017">
        <v>-0.1</v>
      </c>
      <c r="G366" s="1017">
        <v>-19</v>
      </c>
      <c r="H366" s="1019">
        <v>4.8</v>
      </c>
      <c r="I366" s="1020">
        <f>E366*(списки!$C$56-F366)</f>
        <v>3336.6000000000004</v>
      </c>
      <c r="J366" s="1021" t="str">
        <f t="shared" si="55"/>
        <v>3000-4000</v>
      </c>
      <c r="K366" s="1022">
        <v>23.2</v>
      </c>
      <c r="L366" s="1022"/>
      <c r="M366" s="1023">
        <f t="shared" si="56"/>
        <v>0</v>
      </c>
      <c r="N366" s="1024">
        <f>M366*(списки!$C$56-K366)</f>
        <v>0</v>
      </c>
      <c r="O366" s="1025">
        <v>22.3</v>
      </c>
      <c r="P366" s="1025"/>
      <c r="Q366" s="1025">
        <f t="shared" si="57"/>
        <v>0</v>
      </c>
      <c r="R366" s="1025">
        <f>Q366*(списки!$C$56-O366)</f>
        <v>0</v>
      </c>
      <c r="S366" s="1026">
        <v>16.600000000000001</v>
      </c>
      <c r="T366" s="1026"/>
      <c r="U366" s="1026">
        <f t="shared" si="64"/>
        <v>0</v>
      </c>
      <c r="V366" s="1026">
        <f>U366*(списки!$C$56-S366)</f>
        <v>0</v>
      </c>
      <c r="W366" s="1027">
        <v>9.6</v>
      </c>
      <c r="X366" s="1027"/>
      <c r="Y366" s="1027">
        <f t="shared" si="58"/>
        <v>7.5</v>
      </c>
      <c r="Z366" s="1027">
        <f>Y366*(списки!$C$56-W366)</f>
        <v>78</v>
      </c>
      <c r="AA366" s="1028">
        <v>3.3</v>
      </c>
      <c r="AB366" s="1028"/>
      <c r="AC366" s="1028">
        <f t="shared" si="59"/>
        <v>30</v>
      </c>
      <c r="AD366" s="1028">
        <f>AC366*(списки!$C$56-AA366)</f>
        <v>501</v>
      </c>
      <c r="AE366" s="1029">
        <v>-1.5</v>
      </c>
      <c r="AF366" s="1029"/>
      <c r="AG366" s="1029">
        <v>31</v>
      </c>
      <c r="AH366" s="1029">
        <f>AG366*(списки!$C$56-AE366)</f>
        <v>666.5</v>
      </c>
      <c r="AI366" s="1030">
        <v>-3.8</v>
      </c>
      <c r="AJ366" s="1030"/>
      <c r="AK366" s="1030">
        <v>31</v>
      </c>
      <c r="AL366" s="1030">
        <f>AK366*(списки!$C$56-AI366)</f>
        <v>737.80000000000007</v>
      </c>
      <c r="AM366" s="1031">
        <v>-2.9</v>
      </c>
      <c r="AN366" s="1031"/>
      <c r="AO366" s="1031">
        <v>28</v>
      </c>
      <c r="AP366" s="1031">
        <f>AO366*(списки!$C$56-AM366)</f>
        <v>641.19999999999993</v>
      </c>
      <c r="AQ366" s="1026">
        <v>2.2000000000000002</v>
      </c>
      <c r="AR366" s="1026"/>
      <c r="AS366" s="1026">
        <f t="shared" si="60"/>
        <v>31</v>
      </c>
      <c r="AT366" s="1026">
        <f>AS366*(списки!$C$56-AQ366)</f>
        <v>551.80000000000007</v>
      </c>
      <c r="AU366" s="1032">
        <v>10.8</v>
      </c>
      <c r="AV366" s="1032"/>
      <c r="AW366" s="1032">
        <f t="shared" si="61"/>
        <v>7.5</v>
      </c>
      <c r="AX366" s="1032">
        <f>AW366*(списки!$C$56-AU366)</f>
        <v>69</v>
      </c>
      <c r="AY366" s="1033">
        <v>16.8</v>
      </c>
      <c r="AZ366" s="1033"/>
      <c r="BA366" s="1033">
        <f t="shared" si="62"/>
        <v>0</v>
      </c>
      <c r="BB366" s="1033">
        <f>BA366*(списки!$C$56-AY366)</f>
        <v>0</v>
      </c>
      <c r="BC366" s="1034">
        <v>20.8</v>
      </c>
      <c r="BD366" s="1034"/>
      <c r="BE366" s="1034">
        <f t="shared" si="63"/>
        <v>0</v>
      </c>
      <c r="BF366" s="1035">
        <f>BE366*(списки!$C$56-BC366)</f>
        <v>0</v>
      </c>
      <c r="BG366" s="1424" t="e">
        <v>#N/A</v>
      </c>
      <c r="BH366" s="1424" t="e">
        <v>#N/A</v>
      </c>
    </row>
    <row r="367" spans="2:60" ht="15.75" customHeight="1" x14ac:dyDescent="0.25">
      <c r="B367" s="1014" t="s">
        <v>291</v>
      </c>
      <c r="C367" s="1014" t="s">
        <v>1519</v>
      </c>
      <c r="D367" s="1015" t="str">
        <f t="shared" si="65"/>
        <v>Ростовская областьТаганрог</v>
      </c>
      <c r="E367" s="1016">
        <v>165</v>
      </c>
      <c r="F367" s="1017">
        <v>0</v>
      </c>
      <c r="G367" s="1017">
        <v>-18</v>
      </c>
      <c r="H367" s="1019">
        <v>4</v>
      </c>
      <c r="I367" s="1020">
        <f>E367*(списки!$C$56-F367)</f>
        <v>3300</v>
      </c>
      <c r="J367" s="1021" t="str">
        <f t="shared" si="55"/>
        <v>3000-4000</v>
      </c>
      <c r="K367" s="1022">
        <v>23.6</v>
      </c>
      <c r="L367" s="1022"/>
      <c r="M367" s="1023">
        <f t="shared" si="56"/>
        <v>0</v>
      </c>
      <c r="N367" s="1024">
        <f>M367*(списки!$C$56-K367)</f>
        <v>0</v>
      </c>
      <c r="O367" s="1025">
        <v>22.8</v>
      </c>
      <c r="P367" s="1025"/>
      <c r="Q367" s="1025">
        <f t="shared" si="57"/>
        <v>0</v>
      </c>
      <c r="R367" s="1025">
        <f>Q367*(списки!$C$56-O367)</f>
        <v>0</v>
      </c>
      <c r="S367" s="1026">
        <v>17.2</v>
      </c>
      <c r="T367" s="1026"/>
      <c r="U367" s="1026">
        <f t="shared" si="64"/>
        <v>0</v>
      </c>
      <c r="V367" s="1026">
        <f>U367*(списки!$C$56-S367)</f>
        <v>0</v>
      </c>
      <c r="W367" s="1027">
        <v>10.199999999999999</v>
      </c>
      <c r="X367" s="1027"/>
      <c r="Y367" s="1027">
        <f t="shared" si="58"/>
        <v>7</v>
      </c>
      <c r="Z367" s="1027">
        <f>Y367*(списки!$C$56-W367)</f>
        <v>68.600000000000009</v>
      </c>
      <c r="AA367" s="1028">
        <v>3.5</v>
      </c>
      <c r="AB367" s="1028"/>
      <c r="AC367" s="1028">
        <f t="shared" si="59"/>
        <v>30</v>
      </c>
      <c r="AD367" s="1028">
        <f>AC367*(списки!$C$56-AA367)</f>
        <v>495</v>
      </c>
      <c r="AE367" s="1029">
        <v>-1.2</v>
      </c>
      <c r="AF367" s="1029"/>
      <c r="AG367" s="1029">
        <v>31</v>
      </c>
      <c r="AH367" s="1029">
        <f>AG367*(списки!$C$56-AE367)</f>
        <v>657.19999999999993</v>
      </c>
      <c r="AI367" s="1030">
        <v>-3.5</v>
      </c>
      <c r="AJ367" s="1030"/>
      <c r="AK367" s="1030">
        <v>31</v>
      </c>
      <c r="AL367" s="1030">
        <f>AK367*(списки!$C$56-AI367)</f>
        <v>728.5</v>
      </c>
      <c r="AM367" s="1031">
        <v>-3</v>
      </c>
      <c r="AN367" s="1031"/>
      <c r="AO367" s="1031">
        <v>28</v>
      </c>
      <c r="AP367" s="1031">
        <f>AO367*(списки!$C$56-AM367)</f>
        <v>644</v>
      </c>
      <c r="AQ367" s="1026">
        <v>2.1</v>
      </c>
      <c r="AR367" s="1026"/>
      <c r="AS367" s="1026">
        <f t="shared" si="60"/>
        <v>31</v>
      </c>
      <c r="AT367" s="1026">
        <f>AS367*(списки!$C$56-AQ367)</f>
        <v>554.9</v>
      </c>
      <c r="AU367" s="1032">
        <v>10.7</v>
      </c>
      <c r="AV367" s="1032"/>
      <c r="AW367" s="1032">
        <f t="shared" si="61"/>
        <v>7</v>
      </c>
      <c r="AX367" s="1032">
        <f>AW367*(списки!$C$56-AU367)</f>
        <v>65.100000000000009</v>
      </c>
      <c r="AY367" s="1033">
        <v>17.100000000000001</v>
      </c>
      <c r="AZ367" s="1033"/>
      <c r="BA367" s="1033">
        <f t="shared" si="62"/>
        <v>0</v>
      </c>
      <c r="BB367" s="1033">
        <f>BA367*(списки!$C$56-AY367)</f>
        <v>0</v>
      </c>
      <c r="BC367" s="1034">
        <v>21.2</v>
      </c>
      <c r="BD367" s="1034"/>
      <c r="BE367" s="1034">
        <f t="shared" si="63"/>
        <v>0</v>
      </c>
      <c r="BF367" s="1035">
        <f>BE367*(списки!$C$56-BC367)</f>
        <v>0</v>
      </c>
      <c r="BG367" s="1424">
        <v>3221.5857142857153</v>
      </c>
      <c r="BH367" s="1424">
        <v>2893.0999999999995</v>
      </c>
    </row>
    <row r="368" spans="2:60" ht="15.75" customHeight="1" x14ac:dyDescent="0.25">
      <c r="B368" s="1038" t="s">
        <v>294</v>
      </c>
      <c r="C368" s="1038" t="s">
        <v>295</v>
      </c>
      <c r="D368" s="1015" t="str">
        <f t="shared" si="65"/>
        <v>Рязанская областьРязань</v>
      </c>
      <c r="E368" s="1016">
        <v>208</v>
      </c>
      <c r="F368" s="1017">
        <v>-3.5</v>
      </c>
      <c r="G368" s="1017">
        <v>-27</v>
      </c>
      <c r="H368" s="1019">
        <v>7.3</v>
      </c>
      <c r="I368" s="1020">
        <f>E368*(списки!$C$56-F368)</f>
        <v>4888</v>
      </c>
      <c r="J368" s="1021" t="str">
        <f t="shared" si="55"/>
        <v>4000-5000</v>
      </c>
      <c r="K368" s="1022">
        <v>18.5</v>
      </c>
      <c r="L368" s="1022"/>
      <c r="M368" s="1023">
        <f t="shared" si="56"/>
        <v>0</v>
      </c>
      <c r="N368" s="1024">
        <f>M368*(списки!$C$56-K368)</f>
        <v>0</v>
      </c>
      <c r="O368" s="1025">
        <v>17.2</v>
      </c>
      <c r="P368" s="1025"/>
      <c r="Q368" s="1025">
        <f t="shared" si="57"/>
        <v>0</v>
      </c>
      <c r="R368" s="1025">
        <f>Q368*(списки!$C$56-O368)</f>
        <v>0</v>
      </c>
      <c r="S368" s="1026">
        <v>11.6</v>
      </c>
      <c r="T368" s="1026"/>
      <c r="U368" s="1026">
        <f t="shared" si="64"/>
        <v>0</v>
      </c>
      <c r="V368" s="1026">
        <f>U368*(списки!$C$56-S368)</f>
        <v>0</v>
      </c>
      <c r="W368" s="1027">
        <v>4.4000000000000004</v>
      </c>
      <c r="X368" s="1027"/>
      <c r="Y368" s="1027">
        <f t="shared" si="58"/>
        <v>28.5</v>
      </c>
      <c r="Z368" s="1027">
        <f>Y368*(списки!$C$56-W368)</f>
        <v>444.59999999999997</v>
      </c>
      <c r="AA368" s="1028">
        <v>-2.2000000000000002</v>
      </c>
      <c r="AB368" s="1028"/>
      <c r="AC368" s="1028">
        <f t="shared" si="59"/>
        <v>30</v>
      </c>
      <c r="AD368" s="1028">
        <f>AC368*(списки!$C$56-AA368)</f>
        <v>666</v>
      </c>
      <c r="AE368" s="1029">
        <v>-7</v>
      </c>
      <c r="AF368" s="1029"/>
      <c r="AG368" s="1029">
        <v>31</v>
      </c>
      <c r="AH368" s="1029">
        <f>AG368*(списки!$C$56-AE368)</f>
        <v>837</v>
      </c>
      <c r="AI368" s="1030">
        <v>-11</v>
      </c>
      <c r="AJ368" s="1030"/>
      <c r="AK368" s="1030">
        <v>31</v>
      </c>
      <c r="AL368" s="1030">
        <f>AK368*(списки!$C$56-AI368)</f>
        <v>961</v>
      </c>
      <c r="AM368" s="1031">
        <v>-10</v>
      </c>
      <c r="AN368" s="1031"/>
      <c r="AO368" s="1031">
        <v>28</v>
      </c>
      <c r="AP368" s="1031">
        <f>AO368*(списки!$C$56-AM368)</f>
        <v>840</v>
      </c>
      <c r="AQ368" s="1026">
        <v>-4.7</v>
      </c>
      <c r="AR368" s="1026"/>
      <c r="AS368" s="1026">
        <f t="shared" si="60"/>
        <v>31</v>
      </c>
      <c r="AT368" s="1026">
        <f>AS368*(списки!$C$56-AQ368)</f>
        <v>765.69999999999993</v>
      </c>
      <c r="AU368" s="1032">
        <v>5.2</v>
      </c>
      <c r="AV368" s="1032"/>
      <c r="AW368" s="1032">
        <f t="shared" si="61"/>
        <v>28.5</v>
      </c>
      <c r="AX368" s="1032">
        <f>AW368*(списки!$C$56-AU368)</f>
        <v>421.8</v>
      </c>
      <c r="AY368" s="1033">
        <v>12.9</v>
      </c>
      <c r="AZ368" s="1033"/>
      <c r="BA368" s="1033">
        <f t="shared" si="62"/>
        <v>0</v>
      </c>
      <c r="BB368" s="1033">
        <f>BA368*(списки!$C$56-AY368)</f>
        <v>0</v>
      </c>
      <c r="BC368" s="1034">
        <v>17.3</v>
      </c>
      <c r="BD368" s="1034"/>
      <c r="BE368" s="1034">
        <f t="shared" si="63"/>
        <v>0</v>
      </c>
      <c r="BF368" s="1035">
        <f>BE368*(списки!$C$56-BC368)</f>
        <v>0</v>
      </c>
      <c r="BG368" s="1424">
        <v>4342.6553571428549</v>
      </c>
      <c r="BH368" s="1424">
        <v>4370.550000000002</v>
      </c>
    </row>
    <row r="369" spans="1:60" ht="15.75" customHeight="1" x14ac:dyDescent="0.25">
      <c r="B369" s="1014" t="s">
        <v>307</v>
      </c>
      <c r="C369" s="1014" t="s">
        <v>308</v>
      </c>
      <c r="D369" s="1015" t="str">
        <f t="shared" si="65"/>
        <v>Самарская областьСамара</v>
      </c>
      <c r="E369" s="1016">
        <v>203</v>
      </c>
      <c r="F369" s="1017">
        <v>-5.2</v>
      </c>
      <c r="G369" s="1017">
        <v>-30</v>
      </c>
      <c r="H369" s="1019">
        <v>5.4</v>
      </c>
      <c r="I369" s="1020">
        <f>E369*(списки!$C$56-F369)</f>
        <v>5115.5999999999995</v>
      </c>
      <c r="J369" s="1021" t="str">
        <f t="shared" si="55"/>
        <v>5000-6000</v>
      </c>
      <c r="K369" s="1022">
        <v>20.399999999999999</v>
      </c>
      <c r="L369" s="1022"/>
      <c r="M369" s="1023">
        <f t="shared" si="56"/>
        <v>0</v>
      </c>
      <c r="N369" s="1024">
        <f>M369*(списки!$C$56-K369)</f>
        <v>0</v>
      </c>
      <c r="O369" s="1025">
        <v>19</v>
      </c>
      <c r="P369" s="1025"/>
      <c r="Q369" s="1025">
        <f t="shared" si="57"/>
        <v>0</v>
      </c>
      <c r="R369" s="1025">
        <f>Q369*(списки!$C$56-O369)</f>
        <v>0</v>
      </c>
      <c r="S369" s="1026">
        <v>12.8</v>
      </c>
      <c r="T369" s="1026"/>
      <c r="U369" s="1026">
        <f t="shared" si="64"/>
        <v>0</v>
      </c>
      <c r="V369" s="1026">
        <f>U369*(списки!$C$56-S369)</f>
        <v>0</v>
      </c>
      <c r="W369" s="1027">
        <v>4.2</v>
      </c>
      <c r="X369" s="1027"/>
      <c r="Y369" s="1027">
        <f t="shared" si="58"/>
        <v>26</v>
      </c>
      <c r="Z369" s="1027">
        <f>Y369*(списки!$C$56-W369)</f>
        <v>410.8</v>
      </c>
      <c r="AA369" s="1028">
        <v>-3.4</v>
      </c>
      <c r="AB369" s="1028"/>
      <c r="AC369" s="1028">
        <f t="shared" si="59"/>
        <v>30</v>
      </c>
      <c r="AD369" s="1028">
        <f>AC369*(списки!$C$56-AA369)</f>
        <v>702</v>
      </c>
      <c r="AE369" s="1029">
        <v>-9.6</v>
      </c>
      <c r="AF369" s="1029"/>
      <c r="AG369" s="1029">
        <v>31</v>
      </c>
      <c r="AH369" s="1029">
        <f>AG369*(списки!$C$56-AE369)</f>
        <v>917.6</v>
      </c>
      <c r="AI369" s="1030">
        <v>-13.5</v>
      </c>
      <c r="AJ369" s="1030"/>
      <c r="AK369" s="1030">
        <v>31</v>
      </c>
      <c r="AL369" s="1030">
        <f>AK369*(списки!$C$56-AI369)</f>
        <v>1038.5</v>
      </c>
      <c r="AM369" s="1031">
        <v>-12.6</v>
      </c>
      <c r="AN369" s="1031"/>
      <c r="AO369" s="1031">
        <v>28</v>
      </c>
      <c r="AP369" s="1031">
        <f>AO369*(списки!$C$56-AM369)</f>
        <v>912.80000000000007</v>
      </c>
      <c r="AQ369" s="1026">
        <v>-5.8</v>
      </c>
      <c r="AR369" s="1026"/>
      <c r="AS369" s="1026">
        <f t="shared" si="60"/>
        <v>31</v>
      </c>
      <c r="AT369" s="1026">
        <f>AS369*(списки!$C$56-AQ369)</f>
        <v>799.80000000000007</v>
      </c>
      <c r="AU369" s="1032">
        <v>5.8</v>
      </c>
      <c r="AV369" s="1032"/>
      <c r="AW369" s="1032">
        <f t="shared" si="61"/>
        <v>26</v>
      </c>
      <c r="AX369" s="1032">
        <f>AW369*(списки!$C$56-AU369)</f>
        <v>369.2</v>
      </c>
      <c r="AY369" s="1033">
        <v>14.3</v>
      </c>
      <c r="AZ369" s="1033"/>
      <c r="BA369" s="1033">
        <f t="shared" si="62"/>
        <v>0</v>
      </c>
      <c r="BB369" s="1033">
        <f>BA369*(списки!$C$56-AY369)</f>
        <v>0</v>
      </c>
      <c r="BC369" s="1034">
        <v>18.600000000000001</v>
      </c>
      <c r="BD369" s="1034"/>
      <c r="BE369" s="1034">
        <f t="shared" si="63"/>
        <v>0</v>
      </c>
      <c r="BF369" s="1035">
        <f>BE369*(списки!$C$56-BC369)</f>
        <v>0</v>
      </c>
      <c r="BG369" s="1424">
        <v>4415.8535714285726</v>
      </c>
      <c r="BH369" s="1424">
        <v>4661.3625000000002</v>
      </c>
    </row>
    <row r="370" spans="1:60" ht="15.75" customHeight="1" x14ac:dyDescent="0.25">
      <c r="B370" s="1038" t="s">
        <v>910</v>
      </c>
      <c r="C370" s="1038" t="s">
        <v>691</v>
      </c>
      <c r="D370" s="1015" t="str">
        <f t="shared" si="65"/>
        <v>Санкт-Петербург г,Санкт- Петербург</v>
      </c>
      <c r="E370" s="1016">
        <v>213</v>
      </c>
      <c r="F370" s="1017">
        <v>-1.3</v>
      </c>
      <c r="G370" s="1017">
        <v>-24</v>
      </c>
      <c r="H370" s="1019">
        <v>3.3</v>
      </c>
      <c r="I370" s="1020">
        <f>E370*(списки!$C$56-F370)</f>
        <v>4536.9000000000005</v>
      </c>
      <c r="J370" s="1021" t="str">
        <f t="shared" si="55"/>
        <v>4000-5000</v>
      </c>
      <c r="K370" s="1022">
        <v>18.3</v>
      </c>
      <c r="L370" s="1022"/>
      <c r="M370" s="1023">
        <f t="shared" si="56"/>
        <v>0</v>
      </c>
      <c r="N370" s="1024">
        <f>M370*(списки!$C$56-K370)</f>
        <v>0</v>
      </c>
      <c r="O370" s="1025">
        <v>16.7</v>
      </c>
      <c r="P370" s="1025"/>
      <c r="Q370" s="1025">
        <f t="shared" si="57"/>
        <v>0</v>
      </c>
      <c r="R370" s="1025">
        <f>Q370*(списки!$C$56-O370)</f>
        <v>0</v>
      </c>
      <c r="S370" s="1026">
        <v>11.4</v>
      </c>
      <c r="T370" s="1026"/>
      <c r="U370" s="1026">
        <f t="shared" si="64"/>
        <v>0.5</v>
      </c>
      <c r="V370" s="1026">
        <f>U370*(списки!$C$56-S370)</f>
        <v>4.3</v>
      </c>
      <c r="W370" s="1027">
        <v>5.7</v>
      </c>
      <c r="X370" s="1027"/>
      <c r="Y370" s="1027">
        <f t="shared" si="58"/>
        <v>31</v>
      </c>
      <c r="Z370" s="1027">
        <f>Y370*(списки!$C$56-W370)</f>
        <v>443.3</v>
      </c>
      <c r="AA370" s="1028">
        <v>0.2</v>
      </c>
      <c r="AB370" s="1028"/>
      <c r="AC370" s="1028">
        <f t="shared" si="59"/>
        <v>30</v>
      </c>
      <c r="AD370" s="1028">
        <f>AC370*(списки!$C$56-AA370)</f>
        <v>594</v>
      </c>
      <c r="AE370" s="1029">
        <v>-3.9</v>
      </c>
      <c r="AF370" s="1029"/>
      <c r="AG370" s="1029">
        <v>31</v>
      </c>
      <c r="AH370" s="1029">
        <f>AG370*(списки!$C$56-AE370)</f>
        <v>740.9</v>
      </c>
      <c r="AI370" s="1030">
        <v>-6.6</v>
      </c>
      <c r="AJ370" s="1030"/>
      <c r="AK370" s="1030">
        <v>31</v>
      </c>
      <c r="AL370" s="1030">
        <f>AK370*(списки!$C$56-AI370)</f>
        <v>824.6</v>
      </c>
      <c r="AM370" s="1031">
        <v>-6.3</v>
      </c>
      <c r="AN370" s="1031"/>
      <c r="AO370" s="1031">
        <v>28</v>
      </c>
      <c r="AP370" s="1031">
        <f>AO370*(списки!$C$56-AM370)</f>
        <v>736.4</v>
      </c>
      <c r="AQ370" s="1026">
        <v>-1.5</v>
      </c>
      <c r="AR370" s="1026"/>
      <c r="AS370" s="1026">
        <f t="shared" si="60"/>
        <v>31</v>
      </c>
      <c r="AT370" s="1026">
        <f>AS370*(списки!$C$56-AQ370)</f>
        <v>666.5</v>
      </c>
      <c r="AU370" s="1032">
        <v>4.5</v>
      </c>
      <c r="AV370" s="1032"/>
      <c r="AW370" s="1032">
        <f t="shared" si="61"/>
        <v>30</v>
      </c>
      <c r="AX370" s="1032">
        <f>AW370*(списки!$C$56-AU370)</f>
        <v>465</v>
      </c>
      <c r="AY370" s="1033">
        <v>10.9</v>
      </c>
      <c r="AZ370" s="1033"/>
      <c r="BA370" s="1033">
        <f t="shared" si="62"/>
        <v>0.5</v>
      </c>
      <c r="BB370" s="1033">
        <f>BA370*(списки!$C$56-AY370)</f>
        <v>4.55</v>
      </c>
      <c r="BC370" s="1034">
        <v>15.7</v>
      </c>
      <c r="BD370" s="1034"/>
      <c r="BE370" s="1034">
        <f t="shared" si="63"/>
        <v>0</v>
      </c>
      <c r="BF370" s="1035">
        <f>BE370*(списки!$C$56-BC370)</f>
        <v>0</v>
      </c>
      <c r="BG370" s="1424">
        <v>4202.7553571428562</v>
      </c>
      <c r="BH370" s="1424">
        <v>4153.5124999999989</v>
      </c>
    </row>
    <row r="371" spans="1:60" ht="15.75" customHeight="1" x14ac:dyDescent="0.25">
      <c r="B371" s="1014" t="s">
        <v>249</v>
      </c>
      <c r="C371" s="1014" t="s">
        <v>309</v>
      </c>
      <c r="D371" s="1015" t="str">
        <f t="shared" si="65"/>
        <v>Саратовская областьАлександров Гай</v>
      </c>
      <c r="E371" s="1016">
        <v>191</v>
      </c>
      <c r="F371" s="1017">
        <v>-5.2</v>
      </c>
      <c r="G371" s="1017">
        <v>-28</v>
      </c>
      <c r="H371" s="1019">
        <f>H372</f>
        <v>7.3</v>
      </c>
      <c r="I371" s="1020">
        <f>E371*(списки!$C$56-F371)</f>
        <v>4813.2</v>
      </c>
      <c r="J371" s="1021" t="str">
        <f t="shared" si="55"/>
        <v>4000-5000</v>
      </c>
      <c r="K371" s="1022">
        <v>23.6</v>
      </c>
      <c r="L371" s="1022"/>
      <c r="M371" s="1023">
        <f t="shared" si="56"/>
        <v>0</v>
      </c>
      <c r="N371" s="1024">
        <f>M371*(списки!$C$56-K371)</f>
        <v>0</v>
      </c>
      <c r="O371" s="1025">
        <v>22</v>
      </c>
      <c r="P371" s="1025"/>
      <c r="Q371" s="1025">
        <f t="shared" si="57"/>
        <v>0</v>
      </c>
      <c r="R371" s="1025">
        <f>Q371*(списки!$C$56-O371)</f>
        <v>0</v>
      </c>
      <c r="S371" s="1026">
        <v>14.9</v>
      </c>
      <c r="T371" s="1026"/>
      <c r="U371" s="1026">
        <f t="shared" si="64"/>
        <v>0</v>
      </c>
      <c r="V371" s="1026">
        <f>U371*(списки!$C$56-S371)</f>
        <v>0</v>
      </c>
      <c r="W371" s="1027">
        <v>6.1</v>
      </c>
      <c r="X371" s="1027"/>
      <c r="Y371" s="1027">
        <f t="shared" si="58"/>
        <v>20</v>
      </c>
      <c r="Z371" s="1027">
        <f>Y371*(списки!$C$56-W371)</f>
        <v>278</v>
      </c>
      <c r="AA371" s="1028">
        <v>-1.7</v>
      </c>
      <c r="AB371" s="1028"/>
      <c r="AC371" s="1028">
        <f t="shared" si="59"/>
        <v>30</v>
      </c>
      <c r="AD371" s="1028">
        <f>AC371*(списки!$C$56-AA371)</f>
        <v>651</v>
      </c>
      <c r="AE371" s="1029">
        <v>-8.3000000000000007</v>
      </c>
      <c r="AF371" s="1029"/>
      <c r="AG371" s="1029">
        <v>31</v>
      </c>
      <c r="AH371" s="1029">
        <f>AG371*(списки!$C$56-AE371)</f>
        <v>877.30000000000007</v>
      </c>
      <c r="AI371" s="1030">
        <v>-12.7</v>
      </c>
      <c r="AJ371" s="1030"/>
      <c r="AK371" s="1030">
        <v>31</v>
      </c>
      <c r="AL371" s="1030">
        <f>AK371*(списки!$C$56-AI371)</f>
        <v>1013.7</v>
      </c>
      <c r="AM371" s="1031">
        <v>-12.1</v>
      </c>
      <c r="AN371" s="1031"/>
      <c r="AO371" s="1031">
        <v>28</v>
      </c>
      <c r="AP371" s="1031">
        <f>AO371*(списки!$C$56-AM371)</f>
        <v>898.80000000000007</v>
      </c>
      <c r="AQ371" s="1026">
        <v>-4.9000000000000004</v>
      </c>
      <c r="AR371" s="1026"/>
      <c r="AS371" s="1026">
        <f t="shared" si="60"/>
        <v>31</v>
      </c>
      <c r="AT371" s="1026">
        <f>AS371*(списки!$C$56-AQ371)</f>
        <v>771.9</v>
      </c>
      <c r="AU371" s="1032">
        <v>7.9</v>
      </c>
      <c r="AV371" s="1032"/>
      <c r="AW371" s="1032">
        <f t="shared" si="61"/>
        <v>20</v>
      </c>
      <c r="AX371" s="1032">
        <f>AW371*(списки!$C$56-AU371)</f>
        <v>242</v>
      </c>
      <c r="AY371" s="1033">
        <v>16.3</v>
      </c>
      <c r="AZ371" s="1033"/>
      <c r="BA371" s="1033">
        <f t="shared" si="62"/>
        <v>0</v>
      </c>
      <c r="BB371" s="1033">
        <f>BA371*(списки!$C$56-AY371)</f>
        <v>0</v>
      </c>
      <c r="BC371" s="1034">
        <v>21</v>
      </c>
      <c r="BD371" s="1034"/>
      <c r="BE371" s="1034">
        <f t="shared" si="63"/>
        <v>0</v>
      </c>
      <c r="BF371" s="1035">
        <f>BE371*(списки!$C$56-BC371)</f>
        <v>0</v>
      </c>
      <c r="BG371" s="1424">
        <v>4163.9071428571406</v>
      </c>
      <c r="BH371" s="1424">
        <v>4400.3750000000009</v>
      </c>
    </row>
    <row r="372" spans="1:60" ht="15.75" customHeight="1" x14ac:dyDescent="0.25">
      <c r="B372" s="1038" t="s">
        <v>249</v>
      </c>
      <c r="C372" s="1050" t="s">
        <v>310</v>
      </c>
      <c r="D372" s="1015" t="str">
        <f>CONCATENATE(B372,C372)</f>
        <v>Саратовская областьБалашов</v>
      </c>
      <c r="E372" s="1016">
        <v>199</v>
      </c>
      <c r="F372" s="1017">
        <v>-4.2</v>
      </c>
      <c r="G372" s="1017">
        <v>-29</v>
      </c>
      <c r="H372" s="1019">
        <v>7.3</v>
      </c>
      <c r="I372" s="1020">
        <f>E372*(списки!$C$56-F372)</f>
        <v>4815.8</v>
      </c>
      <c r="J372" s="1021" t="str">
        <f t="shared" si="55"/>
        <v>4000-5000</v>
      </c>
      <c r="K372" s="1022">
        <v>20.6</v>
      </c>
      <c r="L372" s="1022"/>
      <c r="M372" s="1023">
        <f t="shared" si="56"/>
        <v>0</v>
      </c>
      <c r="N372" s="1024">
        <f>M372*(списки!$C$56-K372)</f>
        <v>0</v>
      </c>
      <c r="O372" s="1025">
        <v>19.2</v>
      </c>
      <c r="P372" s="1025"/>
      <c r="Q372" s="1025">
        <f t="shared" si="57"/>
        <v>0</v>
      </c>
      <c r="R372" s="1025">
        <f>Q372*(списки!$C$56-O372)</f>
        <v>0</v>
      </c>
      <c r="S372" s="1026">
        <v>12.9</v>
      </c>
      <c r="T372" s="1026"/>
      <c r="U372" s="1026">
        <f t="shared" si="64"/>
        <v>0</v>
      </c>
      <c r="V372" s="1026">
        <f>U372*(списки!$C$56-S372)</f>
        <v>0</v>
      </c>
      <c r="W372" s="1027">
        <v>5.2</v>
      </c>
      <c r="X372" s="1027"/>
      <c r="Y372" s="1027">
        <f t="shared" si="58"/>
        <v>24</v>
      </c>
      <c r="Z372" s="1027">
        <f>Y372*(списки!$C$56-W372)</f>
        <v>355.20000000000005</v>
      </c>
      <c r="AA372" s="1028">
        <v>-1.5</v>
      </c>
      <c r="AB372" s="1028"/>
      <c r="AC372" s="1028">
        <f t="shared" si="59"/>
        <v>30</v>
      </c>
      <c r="AD372" s="1028">
        <f>AC372*(списки!$C$56-AA372)</f>
        <v>645</v>
      </c>
      <c r="AE372" s="1029">
        <v>-7.6</v>
      </c>
      <c r="AF372" s="1029"/>
      <c r="AG372" s="1029">
        <v>31</v>
      </c>
      <c r="AH372" s="1029">
        <f>AG372*(списки!$C$56-AE372)</f>
        <v>855.6</v>
      </c>
      <c r="AI372" s="1030">
        <v>-10.6</v>
      </c>
      <c r="AJ372" s="1030"/>
      <c r="AK372" s="1030">
        <v>31</v>
      </c>
      <c r="AL372" s="1030">
        <f>AK372*(списки!$C$56-AI372)</f>
        <v>948.6</v>
      </c>
      <c r="AM372" s="1031">
        <v>-10.4</v>
      </c>
      <c r="AN372" s="1031"/>
      <c r="AO372" s="1031">
        <v>28</v>
      </c>
      <c r="AP372" s="1031">
        <f>AO372*(списки!$C$56-AM372)</f>
        <v>851.19999999999993</v>
      </c>
      <c r="AQ372" s="1026">
        <v>-4.5999999999999996</v>
      </c>
      <c r="AR372" s="1026"/>
      <c r="AS372" s="1026">
        <f t="shared" si="60"/>
        <v>31</v>
      </c>
      <c r="AT372" s="1026">
        <f>AS372*(списки!$C$56-AQ372)</f>
        <v>762.6</v>
      </c>
      <c r="AU372" s="1032">
        <v>6.3</v>
      </c>
      <c r="AV372" s="1032"/>
      <c r="AW372" s="1032">
        <f t="shared" si="61"/>
        <v>24</v>
      </c>
      <c r="AX372" s="1032">
        <f>AW372*(списки!$C$56-AU372)</f>
        <v>328.79999999999995</v>
      </c>
      <c r="AY372" s="1033">
        <v>14.5</v>
      </c>
      <c r="AZ372" s="1033"/>
      <c r="BA372" s="1033">
        <f t="shared" si="62"/>
        <v>0</v>
      </c>
      <c r="BB372" s="1033">
        <f>BA372*(списки!$C$56-AY372)</f>
        <v>0</v>
      </c>
      <c r="BC372" s="1034">
        <v>18.600000000000001</v>
      </c>
      <c r="BD372" s="1034"/>
      <c r="BE372" s="1034">
        <f t="shared" si="63"/>
        <v>0</v>
      </c>
      <c r="BF372" s="1035">
        <f>BE372*(списки!$C$56-BC372)</f>
        <v>0</v>
      </c>
      <c r="BG372" s="1424">
        <v>4019.3196428571441</v>
      </c>
      <c r="BH372" s="1424">
        <v>4252.4125000000004</v>
      </c>
    </row>
    <row r="373" spans="1:60" ht="15.75" customHeight="1" x14ac:dyDescent="0.25">
      <c r="B373" s="1014" t="s">
        <v>249</v>
      </c>
      <c r="C373" s="1014" t="s">
        <v>311</v>
      </c>
      <c r="D373" s="1015" t="str">
        <f t="shared" si="65"/>
        <v>Саратовская областьСаратов</v>
      </c>
      <c r="E373" s="1016">
        <v>188</v>
      </c>
      <c r="F373" s="1017">
        <v>-3.5</v>
      </c>
      <c r="G373" s="1017">
        <v>-25</v>
      </c>
      <c r="H373" s="1019">
        <v>4.4000000000000004</v>
      </c>
      <c r="I373" s="1020">
        <f>E373*(списки!$C$56-F373)</f>
        <v>4418</v>
      </c>
      <c r="J373" s="1021" t="str">
        <f t="shared" si="55"/>
        <v>4000-5000</v>
      </c>
      <c r="K373" s="1022">
        <v>22.3</v>
      </c>
      <c r="L373" s="1022"/>
      <c r="M373" s="1023">
        <f t="shared" si="56"/>
        <v>0</v>
      </c>
      <c r="N373" s="1024">
        <f>M373*(списки!$C$56-K373)</f>
        <v>0</v>
      </c>
      <c r="O373" s="1025">
        <v>20.6</v>
      </c>
      <c r="P373" s="1025"/>
      <c r="Q373" s="1025">
        <f t="shared" si="57"/>
        <v>0</v>
      </c>
      <c r="R373" s="1025">
        <f>Q373*(списки!$C$56-O373)</f>
        <v>0</v>
      </c>
      <c r="S373" s="1026">
        <v>14.3</v>
      </c>
      <c r="T373" s="1026"/>
      <c r="U373" s="1026">
        <f t="shared" si="64"/>
        <v>0</v>
      </c>
      <c r="V373" s="1026">
        <f>U373*(списки!$C$56-S373)</f>
        <v>0</v>
      </c>
      <c r="W373" s="1027">
        <v>6.7</v>
      </c>
      <c r="X373" s="1027"/>
      <c r="Y373" s="1027">
        <f t="shared" si="58"/>
        <v>18.5</v>
      </c>
      <c r="Z373" s="1027">
        <f>Y373*(списки!$C$56-W373)</f>
        <v>246.05</v>
      </c>
      <c r="AA373" s="1028">
        <v>-0.6</v>
      </c>
      <c r="AB373" s="1028"/>
      <c r="AC373" s="1028">
        <f t="shared" si="59"/>
        <v>30</v>
      </c>
      <c r="AD373" s="1028">
        <f>AC373*(списки!$C$56-AA373)</f>
        <v>618</v>
      </c>
      <c r="AE373" s="1029">
        <v>-6.4</v>
      </c>
      <c r="AF373" s="1029"/>
      <c r="AG373" s="1029">
        <v>31</v>
      </c>
      <c r="AH373" s="1029">
        <f>AG373*(списки!$C$56-AE373)</f>
        <v>818.4</v>
      </c>
      <c r="AI373" s="1030">
        <v>-8.6999999999999993</v>
      </c>
      <c r="AJ373" s="1030"/>
      <c r="AK373" s="1030">
        <v>31</v>
      </c>
      <c r="AL373" s="1030">
        <f>AK373*(списки!$C$56-AI373)</f>
        <v>889.69999999999993</v>
      </c>
      <c r="AM373" s="1031">
        <v>-8.4</v>
      </c>
      <c r="AN373" s="1031"/>
      <c r="AO373" s="1031">
        <v>28</v>
      </c>
      <c r="AP373" s="1031">
        <f>AO373*(списки!$C$56-AM373)</f>
        <v>795.19999999999993</v>
      </c>
      <c r="AQ373" s="1026">
        <v>-2.5</v>
      </c>
      <c r="AR373" s="1026"/>
      <c r="AS373" s="1026">
        <f t="shared" si="60"/>
        <v>31</v>
      </c>
      <c r="AT373" s="1026">
        <f>AS373*(списки!$C$56-AQ373)</f>
        <v>697.5</v>
      </c>
      <c r="AU373" s="1032">
        <v>8.4</v>
      </c>
      <c r="AV373" s="1032"/>
      <c r="AW373" s="1032">
        <f t="shared" si="61"/>
        <v>18.5</v>
      </c>
      <c r="AX373" s="1032">
        <f>AW373*(списки!$C$56-AU373)</f>
        <v>214.6</v>
      </c>
      <c r="AY373" s="1033">
        <v>15.9</v>
      </c>
      <c r="AZ373" s="1033"/>
      <c r="BA373" s="1033">
        <f t="shared" si="62"/>
        <v>0</v>
      </c>
      <c r="BB373" s="1033">
        <f>BA373*(списки!$C$56-AY373)</f>
        <v>0</v>
      </c>
      <c r="BC373" s="1034">
        <v>20.2</v>
      </c>
      <c r="BD373" s="1034"/>
      <c r="BE373" s="1034">
        <f t="shared" si="63"/>
        <v>0</v>
      </c>
      <c r="BF373" s="1035">
        <f>BE373*(списки!$C$56-BC373)</f>
        <v>0</v>
      </c>
      <c r="BG373" s="1424" t="e">
        <v>#N/A</v>
      </c>
      <c r="BH373" s="1424" t="e">
        <v>#N/A</v>
      </c>
    </row>
    <row r="374" spans="1:60" ht="15.75" customHeight="1" x14ac:dyDescent="0.25">
      <c r="B374" s="1038" t="s">
        <v>296</v>
      </c>
      <c r="C374" s="1038" t="s">
        <v>692</v>
      </c>
      <c r="D374" s="1015" t="str">
        <f t="shared" si="65"/>
        <v>Сахалинская областьАлександровск- Сахалинский</v>
      </c>
      <c r="E374" s="1016">
        <v>237</v>
      </c>
      <c r="F374" s="1017">
        <v>-6.4</v>
      </c>
      <c r="G374" s="1017">
        <v>-27</v>
      </c>
      <c r="H374" s="1019">
        <v>5.9</v>
      </c>
      <c r="I374" s="1020">
        <f>E374*(списки!$C$56-F374)</f>
        <v>6256.7999999999993</v>
      </c>
      <c r="J374" s="1021" t="str">
        <f t="shared" si="55"/>
        <v>6000-7000</v>
      </c>
      <c r="K374" s="1022">
        <v>15.2</v>
      </c>
      <c r="L374" s="1022"/>
      <c r="M374" s="1023">
        <f t="shared" si="56"/>
        <v>0</v>
      </c>
      <c r="N374" s="1024">
        <f>M374*(списки!$C$56-K374)</f>
        <v>0</v>
      </c>
      <c r="O374" s="1025">
        <v>16.3</v>
      </c>
      <c r="P374" s="1025"/>
      <c r="Q374" s="1025">
        <f t="shared" si="57"/>
        <v>0</v>
      </c>
      <c r="R374" s="1025">
        <f>Q374*(списки!$C$56-O374)</f>
        <v>0</v>
      </c>
      <c r="S374" s="1026">
        <v>12.1</v>
      </c>
      <c r="T374" s="1026"/>
      <c r="U374" s="1026">
        <f t="shared" si="64"/>
        <v>12.5</v>
      </c>
      <c r="V374" s="1026">
        <f>U374*(списки!$C$56-S374)</f>
        <v>98.75</v>
      </c>
      <c r="W374" s="1027">
        <v>4.8</v>
      </c>
      <c r="X374" s="1027"/>
      <c r="Y374" s="1027">
        <f t="shared" si="58"/>
        <v>31</v>
      </c>
      <c r="Z374" s="1027">
        <f>Y374*(списки!$C$56-W374)</f>
        <v>471.2</v>
      </c>
      <c r="AA374" s="1028">
        <v>-4.5999999999999996</v>
      </c>
      <c r="AB374" s="1028"/>
      <c r="AC374" s="1028">
        <f t="shared" si="59"/>
        <v>30</v>
      </c>
      <c r="AD374" s="1028">
        <f>AC374*(списки!$C$56-AA374)</f>
        <v>738</v>
      </c>
      <c r="AE374" s="1029">
        <v>-12.6</v>
      </c>
      <c r="AF374" s="1029"/>
      <c r="AG374" s="1029">
        <v>31</v>
      </c>
      <c r="AH374" s="1029">
        <f>AG374*(списки!$C$56-AE374)</f>
        <v>1010.6</v>
      </c>
      <c r="AI374" s="1030">
        <v>-16.899999999999999</v>
      </c>
      <c r="AJ374" s="1030"/>
      <c r="AK374" s="1030">
        <v>31</v>
      </c>
      <c r="AL374" s="1030">
        <f>AK374*(списки!$C$56-AI374)</f>
        <v>1143.8999999999999</v>
      </c>
      <c r="AM374" s="1031">
        <v>-15</v>
      </c>
      <c r="AN374" s="1031"/>
      <c r="AO374" s="1031">
        <v>28</v>
      </c>
      <c r="AP374" s="1031">
        <f>AO374*(списки!$C$56-AM374)</f>
        <v>980</v>
      </c>
      <c r="AQ374" s="1026">
        <v>-8.1</v>
      </c>
      <c r="AR374" s="1026"/>
      <c r="AS374" s="1026">
        <f t="shared" si="60"/>
        <v>31</v>
      </c>
      <c r="AT374" s="1026">
        <f>AS374*(списки!$C$56-AQ374)</f>
        <v>871.1</v>
      </c>
      <c r="AU374" s="1032">
        <v>0.1</v>
      </c>
      <c r="AV374" s="1032"/>
      <c r="AW374" s="1032">
        <f t="shared" si="61"/>
        <v>30</v>
      </c>
      <c r="AX374" s="1032">
        <f>AW374*(списки!$C$56-AU374)</f>
        <v>597</v>
      </c>
      <c r="AY374" s="1033">
        <v>5.9</v>
      </c>
      <c r="AZ374" s="1033"/>
      <c r="BA374" s="1033">
        <f t="shared" si="62"/>
        <v>12.5</v>
      </c>
      <c r="BB374" s="1033">
        <f>BA374*(списки!$C$56-AY374)</f>
        <v>176.25</v>
      </c>
      <c r="BC374" s="1034">
        <v>11.1</v>
      </c>
      <c r="BD374" s="1034"/>
      <c r="BE374" s="1034">
        <f t="shared" si="63"/>
        <v>0</v>
      </c>
      <c r="BF374" s="1035">
        <f>BE374*(списки!$C$56-BC374)</f>
        <v>0</v>
      </c>
      <c r="BG374" s="1424">
        <v>6208.1339285714275</v>
      </c>
      <c r="BH374" s="1424">
        <v>5784.4892857142868</v>
      </c>
    </row>
    <row r="375" spans="1:60" ht="15.75" customHeight="1" x14ac:dyDescent="0.25">
      <c r="B375" s="1014" t="s">
        <v>296</v>
      </c>
      <c r="C375" s="1014" t="s">
        <v>297</v>
      </c>
      <c r="D375" s="1015" t="str">
        <f t="shared" si="65"/>
        <v>Сахалинская областьДолинск</v>
      </c>
      <c r="E375" s="1016">
        <v>231</v>
      </c>
      <c r="F375" s="1017">
        <v>-4</v>
      </c>
      <c r="G375" s="1017">
        <v>-24</v>
      </c>
      <c r="H375" s="1019">
        <v>5.6</v>
      </c>
      <c r="I375" s="1020">
        <f>E375*(списки!$C$56-F375)</f>
        <v>5544</v>
      </c>
      <c r="J375" s="1021" t="str">
        <f t="shared" si="55"/>
        <v>5000-6000</v>
      </c>
      <c r="K375" s="1022">
        <v>15.3</v>
      </c>
      <c r="L375" s="1022"/>
      <c r="M375" s="1023">
        <f t="shared" si="56"/>
        <v>0</v>
      </c>
      <c r="N375" s="1024">
        <f>M375*(списки!$C$56-K375)</f>
        <v>0</v>
      </c>
      <c r="O375" s="1025">
        <v>16.899999999999999</v>
      </c>
      <c r="P375" s="1025"/>
      <c r="Q375" s="1025">
        <f t="shared" si="57"/>
        <v>0</v>
      </c>
      <c r="R375" s="1025">
        <f>Q375*(списки!$C$56-O375)</f>
        <v>0</v>
      </c>
      <c r="S375" s="1026">
        <v>13.1</v>
      </c>
      <c r="T375" s="1026"/>
      <c r="U375" s="1026">
        <f t="shared" si="64"/>
        <v>9.5</v>
      </c>
      <c r="V375" s="1026">
        <f>U375*(списки!$C$56-S375)</f>
        <v>65.55</v>
      </c>
      <c r="W375" s="1027">
        <v>6.4</v>
      </c>
      <c r="X375" s="1027"/>
      <c r="Y375" s="1027">
        <f t="shared" si="58"/>
        <v>31</v>
      </c>
      <c r="Z375" s="1027">
        <f>Y375*(списки!$C$56-W375)</f>
        <v>421.59999999999997</v>
      </c>
      <c r="AA375" s="1028">
        <v>-1.9</v>
      </c>
      <c r="AB375" s="1028"/>
      <c r="AC375" s="1028">
        <f t="shared" si="59"/>
        <v>30</v>
      </c>
      <c r="AD375" s="1028">
        <f>AC375*(списки!$C$56-AA375)</f>
        <v>657</v>
      </c>
      <c r="AE375" s="1029">
        <v>-8.6</v>
      </c>
      <c r="AF375" s="1029"/>
      <c r="AG375" s="1029">
        <v>31</v>
      </c>
      <c r="AH375" s="1029">
        <f>AG375*(списки!$C$56-AE375)</f>
        <v>886.6</v>
      </c>
      <c r="AI375" s="1030">
        <v>-13.5</v>
      </c>
      <c r="AJ375" s="1030"/>
      <c r="AK375" s="1030">
        <v>31</v>
      </c>
      <c r="AL375" s="1030">
        <f>AK375*(списки!$C$56-AI375)</f>
        <v>1038.5</v>
      </c>
      <c r="AM375" s="1031">
        <v>-12.4</v>
      </c>
      <c r="AN375" s="1031"/>
      <c r="AO375" s="1031">
        <v>28</v>
      </c>
      <c r="AP375" s="1031">
        <f>AO375*(списки!$C$56-AM375)</f>
        <v>907.19999999999993</v>
      </c>
      <c r="AQ375" s="1026">
        <v>-6.5</v>
      </c>
      <c r="AR375" s="1026"/>
      <c r="AS375" s="1026">
        <f t="shared" si="60"/>
        <v>31</v>
      </c>
      <c r="AT375" s="1026">
        <f>AS375*(списки!$C$56-AQ375)</f>
        <v>821.5</v>
      </c>
      <c r="AU375" s="1032">
        <v>0.9</v>
      </c>
      <c r="AV375" s="1032"/>
      <c r="AW375" s="1032">
        <f t="shared" si="61"/>
        <v>30</v>
      </c>
      <c r="AX375" s="1032">
        <f>AW375*(списки!$C$56-AU375)</f>
        <v>573</v>
      </c>
      <c r="AY375" s="1033">
        <v>6.2</v>
      </c>
      <c r="AZ375" s="1033"/>
      <c r="BA375" s="1033">
        <f t="shared" si="62"/>
        <v>9.5</v>
      </c>
      <c r="BB375" s="1033">
        <f>BA375*(списки!$C$56-AY375)</f>
        <v>131.1</v>
      </c>
      <c r="BC375" s="1034">
        <v>10.9</v>
      </c>
      <c r="BD375" s="1034"/>
      <c r="BE375" s="1034">
        <f t="shared" si="63"/>
        <v>0</v>
      </c>
      <c r="BF375" s="1035">
        <f>BE375*(списки!$C$56-BC375)</f>
        <v>0</v>
      </c>
      <c r="BG375" s="1424" t="e">
        <v>#N/A</v>
      </c>
      <c r="BH375" s="1424" t="e">
        <v>#N/A</v>
      </c>
    </row>
    <row r="376" spans="1:60" ht="15.75" customHeight="1" x14ac:dyDescent="0.25">
      <c r="B376" s="1038" t="s">
        <v>296</v>
      </c>
      <c r="C376" s="1038" t="s">
        <v>298</v>
      </c>
      <c r="D376" s="1015" t="str">
        <f t="shared" si="65"/>
        <v>Сахалинская областьКировское</v>
      </c>
      <c r="E376" s="1016">
        <v>246</v>
      </c>
      <c r="F376" s="1017">
        <v>-9.1999999999999993</v>
      </c>
      <c r="G376" s="1017">
        <v>-36</v>
      </c>
      <c r="H376" s="1019">
        <v>5.7</v>
      </c>
      <c r="I376" s="1020">
        <f>E376*(списки!$C$56-F376)</f>
        <v>7183.2</v>
      </c>
      <c r="J376" s="1021" t="str">
        <f t="shared" si="55"/>
        <v>7000-8000</v>
      </c>
      <c r="K376" s="1022">
        <v>15.6</v>
      </c>
      <c r="L376" s="1022"/>
      <c r="M376" s="1023">
        <f t="shared" si="56"/>
        <v>0</v>
      </c>
      <c r="N376" s="1024">
        <f>M376*(списки!$C$56-K376)</f>
        <v>0</v>
      </c>
      <c r="O376" s="1025">
        <v>15.5</v>
      </c>
      <c r="P376" s="1025"/>
      <c r="Q376" s="1025">
        <f t="shared" si="57"/>
        <v>0</v>
      </c>
      <c r="R376" s="1025">
        <f>Q376*(списки!$C$56-O376)</f>
        <v>0</v>
      </c>
      <c r="S376" s="1026">
        <v>10.4</v>
      </c>
      <c r="T376" s="1026"/>
      <c r="U376" s="1026">
        <f t="shared" si="64"/>
        <v>17</v>
      </c>
      <c r="V376" s="1026">
        <f>U376*(списки!$C$56-S376)</f>
        <v>163.19999999999999</v>
      </c>
      <c r="W376" s="1027">
        <v>2.1</v>
      </c>
      <c r="X376" s="1027"/>
      <c r="Y376" s="1027">
        <f t="shared" si="58"/>
        <v>31</v>
      </c>
      <c r="Z376" s="1027">
        <f>Y376*(списки!$C$56-W376)</f>
        <v>554.9</v>
      </c>
      <c r="AA376" s="1028">
        <v>-9.1</v>
      </c>
      <c r="AB376" s="1028"/>
      <c r="AC376" s="1028">
        <f t="shared" si="59"/>
        <v>30</v>
      </c>
      <c r="AD376" s="1028">
        <f>AC376*(списки!$C$56-AA376)</f>
        <v>873</v>
      </c>
      <c r="AE376" s="1029">
        <v>-19.3</v>
      </c>
      <c r="AF376" s="1029"/>
      <c r="AG376" s="1029">
        <v>31</v>
      </c>
      <c r="AH376" s="1029">
        <f>AG376*(списки!$C$56-AE376)</f>
        <v>1218.3</v>
      </c>
      <c r="AI376" s="1030">
        <v>-23.6</v>
      </c>
      <c r="AJ376" s="1030"/>
      <c r="AK376" s="1030">
        <v>31</v>
      </c>
      <c r="AL376" s="1030">
        <f>AK376*(списки!$C$56-AI376)</f>
        <v>1351.6000000000001</v>
      </c>
      <c r="AM376" s="1031">
        <v>-19.7</v>
      </c>
      <c r="AN376" s="1031"/>
      <c r="AO376" s="1031">
        <v>28</v>
      </c>
      <c r="AP376" s="1031">
        <f>AO376*(списки!$C$56-AM376)</f>
        <v>1111.6000000000001</v>
      </c>
      <c r="AQ376" s="1026">
        <v>-12</v>
      </c>
      <c r="AR376" s="1026"/>
      <c r="AS376" s="1026">
        <f t="shared" si="60"/>
        <v>31</v>
      </c>
      <c r="AT376" s="1026">
        <f>AS376*(списки!$C$56-AQ376)</f>
        <v>992</v>
      </c>
      <c r="AU376" s="1032">
        <v>-1.7</v>
      </c>
      <c r="AV376" s="1032"/>
      <c r="AW376" s="1032">
        <f t="shared" si="61"/>
        <v>30</v>
      </c>
      <c r="AX376" s="1032">
        <f>AW376*(списки!$C$56-AU376)</f>
        <v>651</v>
      </c>
      <c r="AY376" s="1033">
        <v>5.6</v>
      </c>
      <c r="AZ376" s="1033"/>
      <c r="BA376" s="1033">
        <f t="shared" si="62"/>
        <v>17</v>
      </c>
      <c r="BB376" s="1033">
        <f>BA376*(списки!$C$56-AY376)</f>
        <v>244.8</v>
      </c>
      <c r="BC376" s="1034">
        <v>11.7</v>
      </c>
      <c r="BD376" s="1034"/>
      <c r="BE376" s="1034">
        <f t="shared" si="63"/>
        <v>0</v>
      </c>
      <c r="BF376" s="1035">
        <f>BE376*(списки!$C$56-BC376)</f>
        <v>0</v>
      </c>
      <c r="BG376" s="1424" t="e">
        <v>#N/A</v>
      </c>
      <c r="BH376" s="1424" t="e">
        <v>#N/A</v>
      </c>
    </row>
    <row r="377" spans="1:60" ht="15.75" customHeight="1" x14ac:dyDescent="0.25">
      <c r="B377" s="1014" t="s">
        <v>296</v>
      </c>
      <c r="C377" s="1014" t="s">
        <v>299</v>
      </c>
      <c r="D377" s="1015" t="str">
        <f t="shared" si="65"/>
        <v>Сахалинская областьКорсаков</v>
      </c>
      <c r="E377" s="1016">
        <v>232</v>
      </c>
      <c r="F377" s="1017">
        <v>-2.7</v>
      </c>
      <c r="G377" s="1017">
        <v>-20</v>
      </c>
      <c r="H377" s="1019">
        <v>5.6</v>
      </c>
      <c r="I377" s="1020">
        <f>E377*(списки!$C$56-F377)</f>
        <v>5266.4</v>
      </c>
      <c r="J377" s="1021" t="str">
        <f t="shared" si="55"/>
        <v>5000-6000</v>
      </c>
      <c r="K377" s="1022">
        <v>14.5</v>
      </c>
      <c r="L377" s="1022"/>
      <c r="M377" s="1023">
        <f t="shared" si="56"/>
        <v>0</v>
      </c>
      <c r="N377" s="1024">
        <f>M377*(списки!$C$56-K377)</f>
        <v>0</v>
      </c>
      <c r="O377" s="1025">
        <v>16.899999999999999</v>
      </c>
      <c r="P377" s="1025"/>
      <c r="Q377" s="1025">
        <f t="shared" si="57"/>
        <v>0</v>
      </c>
      <c r="R377" s="1025">
        <f>Q377*(списки!$C$56-O377)</f>
        <v>0</v>
      </c>
      <c r="S377" s="1026">
        <v>13.7</v>
      </c>
      <c r="T377" s="1026"/>
      <c r="U377" s="1026">
        <f t="shared" si="64"/>
        <v>10</v>
      </c>
      <c r="V377" s="1026">
        <f>U377*(списки!$C$56-S377)</f>
        <v>63.000000000000007</v>
      </c>
      <c r="W377" s="1027">
        <v>7.4</v>
      </c>
      <c r="X377" s="1027"/>
      <c r="Y377" s="1027">
        <f t="shared" si="58"/>
        <v>31</v>
      </c>
      <c r="Z377" s="1027">
        <f>Y377*(списки!$C$56-W377)</f>
        <v>390.59999999999997</v>
      </c>
      <c r="AA377" s="1028">
        <v>-0.4</v>
      </c>
      <c r="AB377" s="1028"/>
      <c r="AC377" s="1028">
        <f t="shared" si="59"/>
        <v>30</v>
      </c>
      <c r="AD377" s="1028">
        <f>AC377*(списки!$C$56-AA377)</f>
        <v>612</v>
      </c>
      <c r="AE377" s="1029">
        <v>-6.8</v>
      </c>
      <c r="AF377" s="1029"/>
      <c r="AG377" s="1029">
        <v>31</v>
      </c>
      <c r="AH377" s="1029">
        <f>AG377*(списки!$C$56-AE377)</f>
        <v>830.80000000000007</v>
      </c>
      <c r="AI377" s="1030">
        <v>-10.7</v>
      </c>
      <c r="AJ377" s="1030"/>
      <c r="AK377" s="1030">
        <v>31</v>
      </c>
      <c r="AL377" s="1030">
        <f>AK377*(списки!$C$56-AI377)</f>
        <v>951.69999999999993</v>
      </c>
      <c r="AM377" s="1031">
        <v>-10.1</v>
      </c>
      <c r="AN377" s="1031"/>
      <c r="AO377" s="1031">
        <v>28</v>
      </c>
      <c r="AP377" s="1031">
        <f>AO377*(списки!$C$56-AM377)</f>
        <v>842.80000000000007</v>
      </c>
      <c r="AQ377" s="1026">
        <v>-5.3</v>
      </c>
      <c r="AR377" s="1026"/>
      <c r="AS377" s="1026">
        <f t="shared" si="60"/>
        <v>31</v>
      </c>
      <c r="AT377" s="1026">
        <f>AS377*(списки!$C$56-AQ377)</f>
        <v>784.30000000000007</v>
      </c>
      <c r="AU377" s="1032">
        <v>1.2</v>
      </c>
      <c r="AV377" s="1032"/>
      <c r="AW377" s="1032">
        <f t="shared" si="61"/>
        <v>30</v>
      </c>
      <c r="AX377" s="1032">
        <f>AW377*(списки!$C$56-AU377)</f>
        <v>564</v>
      </c>
      <c r="AY377" s="1033">
        <v>5.6</v>
      </c>
      <c r="AZ377" s="1033"/>
      <c r="BA377" s="1033">
        <f t="shared" si="62"/>
        <v>10</v>
      </c>
      <c r="BB377" s="1033">
        <f>BA377*(списки!$C$56-AY377)</f>
        <v>144</v>
      </c>
      <c r="BC377" s="1034">
        <v>10</v>
      </c>
      <c r="BD377" s="1034"/>
      <c r="BE377" s="1034">
        <f t="shared" si="63"/>
        <v>0</v>
      </c>
      <c r="BF377" s="1035">
        <f>BE377*(списки!$C$56-BC377)</f>
        <v>0</v>
      </c>
      <c r="BG377" s="1424" t="e">
        <v>#N/A</v>
      </c>
      <c r="BH377" s="1424" t="e">
        <v>#N/A</v>
      </c>
    </row>
    <row r="378" spans="1:60" ht="15.75" customHeight="1" x14ac:dyDescent="0.25">
      <c r="B378" s="1038" t="s">
        <v>296</v>
      </c>
      <c r="C378" s="1038" t="s">
        <v>300</v>
      </c>
      <c r="D378" s="1015" t="str">
        <f t="shared" si="65"/>
        <v>Сахалинская областьКурильск</v>
      </c>
      <c r="E378" s="1016">
        <v>223</v>
      </c>
      <c r="F378" s="1017">
        <v>-0.4</v>
      </c>
      <c r="G378" s="1017">
        <v>-15</v>
      </c>
      <c r="H378" s="1019">
        <v>9.5</v>
      </c>
      <c r="I378" s="1020">
        <f>E378*(списки!$C$56-F378)</f>
        <v>4549.2</v>
      </c>
      <c r="J378" s="1021" t="str">
        <f t="shared" si="55"/>
        <v>4000-5000</v>
      </c>
      <c r="K378" s="1022">
        <v>13.3</v>
      </c>
      <c r="L378" s="1022"/>
      <c r="M378" s="1023">
        <f t="shared" si="56"/>
        <v>0</v>
      </c>
      <c r="N378" s="1024">
        <f>M378*(списки!$C$56-K378)</f>
        <v>0</v>
      </c>
      <c r="O378" s="1025">
        <v>15.7</v>
      </c>
      <c r="P378" s="1025"/>
      <c r="Q378" s="1025">
        <f t="shared" si="57"/>
        <v>0</v>
      </c>
      <c r="R378" s="1025">
        <f>Q378*(списки!$C$56-O378)</f>
        <v>0</v>
      </c>
      <c r="S378" s="1026">
        <v>13.5</v>
      </c>
      <c r="T378" s="1026"/>
      <c r="U378" s="1026">
        <f t="shared" si="64"/>
        <v>5.5</v>
      </c>
      <c r="V378" s="1026">
        <f>U378*(списки!$C$56-S378)</f>
        <v>35.75</v>
      </c>
      <c r="W378" s="1027">
        <v>9.1999999999999993</v>
      </c>
      <c r="X378" s="1027"/>
      <c r="Y378" s="1027">
        <f t="shared" si="58"/>
        <v>31</v>
      </c>
      <c r="Z378" s="1027">
        <f>Y378*(списки!$C$56-W378)</f>
        <v>334.8</v>
      </c>
      <c r="AA378" s="1028">
        <v>3.6</v>
      </c>
      <c r="AB378" s="1028"/>
      <c r="AC378" s="1028">
        <f t="shared" si="59"/>
        <v>30</v>
      </c>
      <c r="AD378" s="1028">
        <f>AC378*(списки!$C$56-AA378)</f>
        <v>491.99999999999994</v>
      </c>
      <c r="AE378" s="1029">
        <v>-1.4</v>
      </c>
      <c r="AF378" s="1029"/>
      <c r="AG378" s="1029">
        <v>31</v>
      </c>
      <c r="AH378" s="1029">
        <f>AG378*(списки!$C$56-AE378)</f>
        <v>663.4</v>
      </c>
      <c r="AI378" s="1030">
        <v>-4.5999999999999996</v>
      </c>
      <c r="AJ378" s="1030"/>
      <c r="AK378" s="1030">
        <v>31</v>
      </c>
      <c r="AL378" s="1030">
        <f>AK378*(списки!$C$56-AI378)</f>
        <v>762.6</v>
      </c>
      <c r="AM378" s="1031">
        <v>-6.1</v>
      </c>
      <c r="AN378" s="1031"/>
      <c r="AO378" s="1031">
        <v>28</v>
      </c>
      <c r="AP378" s="1031">
        <f>AO378*(списки!$C$56-AM378)</f>
        <v>730.80000000000007</v>
      </c>
      <c r="AQ378" s="1026">
        <v>-3.6</v>
      </c>
      <c r="AR378" s="1026"/>
      <c r="AS378" s="1026">
        <f t="shared" si="60"/>
        <v>31</v>
      </c>
      <c r="AT378" s="1026">
        <f>AS378*(списки!$C$56-AQ378)</f>
        <v>731.6</v>
      </c>
      <c r="AU378" s="1032">
        <v>1.5</v>
      </c>
      <c r="AV378" s="1032"/>
      <c r="AW378" s="1032">
        <f t="shared" si="61"/>
        <v>30</v>
      </c>
      <c r="AX378" s="1032">
        <f>AW378*(списки!$C$56-AU378)</f>
        <v>555</v>
      </c>
      <c r="AY378" s="1033">
        <v>6</v>
      </c>
      <c r="AZ378" s="1033"/>
      <c r="BA378" s="1033">
        <f t="shared" si="62"/>
        <v>5.5</v>
      </c>
      <c r="BB378" s="1033">
        <f>BA378*(списки!$C$56-AY378)</f>
        <v>77</v>
      </c>
      <c r="BC378" s="1034">
        <v>9.5</v>
      </c>
      <c r="BD378" s="1034"/>
      <c r="BE378" s="1034">
        <f t="shared" si="63"/>
        <v>0</v>
      </c>
      <c r="BF378" s="1035">
        <f>BE378*(списки!$C$56-BC378)</f>
        <v>0</v>
      </c>
      <c r="BG378" s="1424" t="e">
        <v>#N/A</v>
      </c>
      <c r="BH378" s="1424" t="e">
        <v>#N/A</v>
      </c>
    </row>
    <row r="379" spans="1:60" ht="15.75" customHeight="1" x14ac:dyDescent="0.25">
      <c r="B379" s="1014" t="s">
        <v>296</v>
      </c>
      <c r="C379" s="1014" t="s">
        <v>301</v>
      </c>
      <c r="D379" s="1015" t="str">
        <f t="shared" si="65"/>
        <v>Сахалинская областьМакаров</v>
      </c>
      <c r="E379" s="1016">
        <v>241</v>
      </c>
      <c r="F379" s="1017">
        <v>-4.2</v>
      </c>
      <c r="G379" s="1017">
        <v>-23</v>
      </c>
      <c r="H379" s="1019">
        <f>H378</f>
        <v>9.5</v>
      </c>
      <c r="I379" s="1020">
        <f>E379*(списки!$C$56-F379)</f>
        <v>5832.2</v>
      </c>
      <c r="J379" s="1021" t="str">
        <f t="shared" si="55"/>
        <v>5000-6000</v>
      </c>
      <c r="K379" s="1022">
        <v>13.8</v>
      </c>
      <c r="L379" s="1022"/>
      <c r="M379" s="1023">
        <f t="shared" si="56"/>
        <v>0</v>
      </c>
      <c r="N379" s="1024">
        <f>M379*(списки!$C$56-K379)</f>
        <v>0</v>
      </c>
      <c r="O379" s="1025">
        <v>15.7</v>
      </c>
      <c r="P379" s="1025"/>
      <c r="Q379" s="1025">
        <f t="shared" si="57"/>
        <v>0</v>
      </c>
      <c r="R379" s="1025">
        <f>Q379*(списки!$C$56-O379)</f>
        <v>0</v>
      </c>
      <c r="S379" s="1026">
        <v>12.8</v>
      </c>
      <c r="T379" s="1026"/>
      <c r="U379" s="1026">
        <f t="shared" si="64"/>
        <v>14.5</v>
      </c>
      <c r="V379" s="1026">
        <f>U379*(списки!$C$56-S379)</f>
        <v>104.39999999999999</v>
      </c>
      <c r="W379" s="1027">
        <v>6</v>
      </c>
      <c r="X379" s="1027"/>
      <c r="Y379" s="1027">
        <f t="shared" si="58"/>
        <v>31</v>
      </c>
      <c r="Z379" s="1027">
        <f>Y379*(списки!$C$56-W379)</f>
        <v>434</v>
      </c>
      <c r="AA379" s="1028">
        <v>-3</v>
      </c>
      <c r="AB379" s="1028"/>
      <c r="AC379" s="1028">
        <f t="shared" si="59"/>
        <v>30</v>
      </c>
      <c r="AD379" s="1028">
        <f>AC379*(списки!$C$56-AA379)</f>
        <v>690</v>
      </c>
      <c r="AE379" s="1029">
        <v>-10.199999999999999</v>
      </c>
      <c r="AF379" s="1029"/>
      <c r="AG379" s="1029">
        <v>31</v>
      </c>
      <c r="AH379" s="1029">
        <f>AG379*(списки!$C$56-AE379)</f>
        <v>936.19999999999993</v>
      </c>
      <c r="AI379" s="1030">
        <v>-14.3</v>
      </c>
      <c r="AJ379" s="1030"/>
      <c r="AK379" s="1030">
        <v>31</v>
      </c>
      <c r="AL379" s="1030">
        <f>AK379*(списки!$C$56-AI379)</f>
        <v>1063.3</v>
      </c>
      <c r="AM379" s="1031">
        <v>-12.3</v>
      </c>
      <c r="AN379" s="1031"/>
      <c r="AO379" s="1031">
        <v>28</v>
      </c>
      <c r="AP379" s="1031">
        <f>AO379*(списки!$C$56-AM379)</f>
        <v>904.39999999999986</v>
      </c>
      <c r="AQ379" s="1026">
        <v>-6.7</v>
      </c>
      <c r="AR379" s="1026"/>
      <c r="AS379" s="1026">
        <f t="shared" si="60"/>
        <v>31</v>
      </c>
      <c r="AT379" s="1026">
        <f>AS379*(списки!$C$56-AQ379)</f>
        <v>827.69999999999993</v>
      </c>
      <c r="AU379" s="1032">
        <v>0.9</v>
      </c>
      <c r="AV379" s="1032"/>
      <c r="AW379" s="1032">
        <f t="shared" si="61"/>
        <v>30</v>
      </c>
      <c r="AX379" s="1032">
        <f>AW379*(списки!$C$56-AU379)</f>
        <v>573</v>
      </c>
      <c r="AY379" s="1033">
        <v>5.3</v>
      </c>
      <c r="AZ379" s="1033"/>
      <c r="BA379" s="1033">
        <f t="shared" si="62"/>
        <v>14.5</v>
      </c>
      <c r="BB379" s="1033">
        <f>BA379*(списки!$C$56-AY379)</f>
        <v>213.14999999999998</v>
      </c>
      <c r="BC379" s="1034">
        <v>9.5</v>
      </c>
      <c r="BD379" s="1034"/>
      <c r="BE379" s="1034">
        <f t="shared" si="63"/>
        <v>0</v>
      </c>
      <c r="BF379" s="1035">
        <f>BE379*(списки!$C$56-BC379)</f>
        <v>0</v>
      </c>
      <c r="BG379" s="1424" t="e">
        <v>#N/A</v>
      </c>
      <c r="BH379" s="1424" t="e">
        <v>#N/A</v>
      </c>
    </row>
    <row r="380" spans="1:60" ht="15.75" customHeight="1" x14ac:dyDescent="0.25">
      <c r="B380" s="1038" t="s">
        <v>296</v>
      </c>
      <c r="C380" s="1038" t="s">
        <v>302</v>
      </c>
      <c r="D380" s="1015" t="str">
        <f t="shared" si="65"/>
        <v>Сахалинская областьНевельск</v>
      </c>
      <c r="E380" s="1016">
        <v>219</v>
      </c>
      <c r="F380" s="1017">
        <v>-2.1</v>
      </c>
      <c r="G380" s="1017">
        <v>-16</v>
      </c>
      <c r="H380" s="1019">
        <v>7.4</v>
      </c>
      <c r="I380" s="1020">
        <f>E380*(списки!$C$56-F380)</f>
        <v>4839.9000000000005</v>
      </c>
      <c r="J380" s="1021" t="str">
        <f t="shared" si="55"/>
        <v>4000-5000</v>
      </c>
      <c r="K380" s="1022">
        <v>15.5</v>
      </c>
      <c r="L380" s="1022"/>
      <c r="M380" s="1023">
        <f t="shared" si="56"/>
        <v>0</v>
      </c>
      <c r="N380" s="1024">
        <f>M380*(списки!$C$56-K380)</f>
        <v>0</v>
      </c>
      <c r="O380" s="1025">
        <v>17.399999999999999</v>
      </c>
      <c r="P380" s="1025"/>
      <c r="Q380" s="1025">
        <f t="shared" si="57"/>
        <v>0</v>
      </c>
      <c r="R380" s="1025">
        <f>Q380*(списки!$C$56-O380)</f>
        <v>0</v>
      </c>
      <c r="S380" s="1026">
        <v>14.4</v>
      </c>
      <c r="T380" s="1026"/>
      <c r="U380" s="1026">
        <f t="shared" si="64"/>
        <v>3.5</v>
      </c>
      <c r="V380" s="1026">
        <f>U380*(списки!$C$56-S380)</f>
        <v>19.599999999999998</v>
      </c>
      <c r="W380" s="1027">
        <v>8.3000000000000007</v>
      </c>
      <c r="X380" s="1027"/>
      <c r="Y380" s="1027">
        <f t="shared" si="58"/>
        <v>31</v>
      </c>
      <c r="Z380" s="1027">
        <f>Y380*(списки!$C$56-W380)</f>
        <v>362.7</v>
      </c>
      <c r="AA380" s="1028">
        <v>0.6</v>
      </c>
      <c r="AB380" s="1028"/>
      <c r="AC380" s="1028">
        <f t="shared" si="59"/>
        <v>30</v>
      </c>
      <c r="AD380" s="1028">
        <f>AC380*(списки!$C$56-AA380)</f>
        <v>582</v>
      </c>
      <c r="AE380" s="1029">
        <v>-5.2</v>
      </c>
      <c r="AF380" s="1029"/>
      <c r="AG380" s="1029">
        <v>31</v>
      </c>
      <c r="AH380" s="1029">
        <f>AG380*(списки!$C$56-AE380)</f>
        <v>781.19999999999993</v>
      </c>
      <c r="AI380" s="1030">
        <v>-8.1999999999999993</v>
      </c>
      <c r="AJ380" s="1030"/>
      <c r="AK380" s="1030">
        <v>31</v>
      </c>
      <c r="AL380" s="1030">
        <f>AK380*(списки!$C$56-AI380)</f>
        <v>874.19999999999993</v>
      </c>
      <c r="AM380" s="1031">
        <v>-7.7</v>
      </c>
      <c r="AN380" s="1031"/>
      <c r="AO380" s="1031">
        <v>28</v>
      </c>
      <c r="AP380" s="1031">
        <f>AO380*(списки!$C$56-AM380)</f>
        <v>775.6</v>
      </c>
      <c r="AQ380" s="1026">
        <v>-3.4</v>
      </c>
      <c r="AR380" s="1026"/>
      <c r="AS380" s="1026">
        <f t="shared" si="60"/>
        <v>31</v>
      </c>
      <c r="AT380" s="1026">
        <f>AS380*(списки!$C$56-AQ380)</f>
        <v>725.4</v>
      </c>
      <c r="AU380" s="1032">
        <v>2.4</v>
      </c>
      <c r="AV380" s="1032"/>
      <c r="AW380" s="1032">
        <f t="shared" si="61"/>
        <v>30</v>
      </c>
      <c r="AX380" s="1032">
        <f>AW380*(списки!$C$56-AU380)</f>
        <v>528</v>
      </c>
      <c r="AY380" s="1033">
        <v>7.1</v>
      </c>
      <c r="AZ380" s="1033"/>
      <c r="BA380" s="1033">
        <f t="shared" si="62"/>
        <v>3.5</v>
      </c>
      <c r="BB380" s="1033">
        <f>BA380*(списки!$C$56-AY380)</f>
        <v>45.15</v>
      </c>
      <c r="BC380" s="1034">
        <v>11.3</v>
      </c>
      <c r="BD380" s="1034"/>
      <c r="BE380" s="1034">
        <f t="shared" si="63"/>
        <v>0</v>
      </c>
      <c r="BF380" s="1035">
        <f>BE380*(списки!$C$56-BC380)</f>
        <v>0</v>
      </c>
      <c r="BG380" s="1424" t="e">
        <v>#N/A</v>
      </c>
      <c r="BH380" s="1424" t="e">
        <v>#N/A</v>
      </c>
    </row>
    <row r="381" spans="1:60" ht="15.75" customHeight="1" x14ac:dyDescent="0.25">
      <c r="B381" s="1014" t="s">
        <v>296</v>
      </c>
      <c r="C381" s="1014" t="s">
        <v>303</v>
      </c>
      <c r="D381" s="1015" t="str">
        <f t="shared" si="65"/>
        <v>Сахалинская областьНоглики</v>
      </c>
      <c r="E381" s="1016">
        <v>254</v>
      </c>
      <c r="F381" s="1017">
        <v>-7.2</v>
      </c>
      <c r="G381" s="1017">
        <v>-30</v>
      </c>
      <c r="H381" s="1019">
        <v>5.3</v>
      </c>
      <c r="I381" s="1020">
        <f>E381*(списки!$C$56-F381)</f>
        <v>6908.8</v>
      </c>
      <c r="J381" s="1021" t="str">
        <f t="shared" si="55"/>
        <v>6000-7000</v>
      </c>
      <c r="K381" s="1022">
        <v>13.1</v>
      </c>
      <c r="L381" s="1022"/>
      <c r="M381" s="1023">
        <f t="shared" si="56"/>
        <v>0</v>
      </c>
      <c r="N381" s="1024">
        <f>M381*(списки!$C$56-K381)</f>
        <v>0</v>
      </c>
      <c r="O381" s="1025">
        <v>14.5</v>
      </c>
      <c r="P381" s="1025"/>
      <c r="Q381" s="1025">
        <f t="shared" si="57"/>
        <v>0</v>
      </c>
      <c r="R381" s="1025">
        <f>Q381*(списки!$C$56-O381)</f>
        <v>0</v>
      </c>
      <c r="S381" s="1026">
        <v>10.7</v>
      </c>
      <c r="T381" s="1026"/>
      <c r="U381" s="1026">
        <f t="shared" si="64"/>
        <v>21</v>
      </c>
      <c r="V381" s="1026">
        <f>U381*(списки!$C$56-S381)</f>
        <v>195.3</v>
      </c>
      <c r="W381" s="1027">
        <v>3.2</v>
      </c>
      <c r="X381" s="1027"/>
      <c r="Y381" s="1027">
        <f t="shared" si="58"/>
        <v>31</v>
      </c>
      <c r="Z381" s="1027">
        <f>Y381*(списки!$C$56-W381)</f>
        <v>520.80000000000007</v>
      </c>
      <c r="AA381" s="1028">
        <v>-7.2</v>
      </c>
      <c r="AB381" s="1028"/>
      <c r="AC381" s="1028">
        <f t="shared" si="59"/>
        <v>30</v>
      </c>
      <c r="AD381" s="1028">
        <f>AC381*(списки!$C$56-AA381)</f>
        <v>816</v>
      </c>
      <c r="AE381" s="1029">
        <v>-15.3</v>
      </c>
      <c r="AF381" s="1029"/>
      <c r="AG381" s="1029">
        <v>31</v>
      </c>
      <c r="AH381" s="1029">
        <f>AG381*(списки!$C$56-AE381)</f>
        <v>1094.3</v>
      </c>
      <c r="AI381" s="1030">
        <v>-18</v>
      </c>
      <c r="AJ381" s="1030"/>
      <c r="AK381" s="1030">
        <v>31</v>
      </c>
      <c r="AL381" s="1030">
        <f>AK381*(списки!$C$56-AI381)</f>
        <v>1178</v>
      </c>
      <c r="AM381" s="1031">
        <v>-15.9</v>
      </c>
      <c r="AN381" s="1031"/>
      <c r="AO381" s="1031">
        <v>28</v>
      </c>
      <c r="AP381" s="1031">
        <f>AO381*(списки!$C$56-AM381)</f>
        <v>1005.1999999999999</v>
      </c>
      <c r="AQ381" s="1026">
        <v>-9.6</v>
      </c>
      <c r="AR381" s="1026"/>
      <c r="AS381" s="1026">
        <f t="shared" si="60"/>
        <v>31</v>
      </c>
      <c r="AT381" s="1026">
        <f>AS381*(списки!$C$56-AQ381)</f>
        <v>917.6</v>
      </c>
      <c r="AU381" s="1032">
        <v>-1.7</v>
      </c>
      <c r="AV381" s="1032"/>
      <c r="AW381" s="1032">
        <f t="shared" si="61"/>
        <v>30</v>
      </c>
      <c r="AX381" s="1032">
        <f>AW381*(списки!$C$56-AU381)</f>
        <v>651</v>
      </c>
      <c r="AY381" s="1033">
        <v>3.6</v>
      </c>
      <c r="AZ381" s="1033"/>
      <c r="BA381" s="1033">
        <f t="shared" si="62"/>
        <v>21</v>
      </c>
      <c r="BB381" s="1033">
        <f>BA381*(списки!$C$56-AY381)</f>
        <v>344.4</v>
      </c>
      <c r="BC381" s="1034">
        <v>9.3000000000000007</v>
      </c>
      <c r="BD381" s="1034"/>
      <c r="BE381" s="1034">
        <f t="shared" si="63"/>
        <v>0</v>
      </c>
      <c r="BF381" s="1035">
        <f>BE381*(списки!$C$56-BC381)</f>
        <v>0</v>
      </c>
      <c r="BG381" s="1424">
        <v>6969.2785714285692</v>
      </c>
      <c r="BH381" s="1424">
        <v>6545.1928571428562</v>
      </c>
    </row>
    <row r="382" spans="1:60" ht="15.75" customHeight="1" x14ac:dyDescent="0.25">
      <c r="B382" s="1038" t="s">
        <v>296</v>
      </c>
      <c r="C382" s="1038" t="s">
        <v>304</v>
      </c>
      <c r="D382" s="1015" t="str">
        <f t="shared" si="65"/>
        <v>Сахалинская областьОха</v>
      </c>
      <c r="E382" s="1016">
        <v>266</v>
      </c>
      <c r="F382" s="1017">
        <v>-7.3</v>
      </c>
      <c r="G382" s="1017">
        <v>-29</v>
      </c>
      <c r="H382" s="1019">
        <v>11.2</v>
      </c>
      <c r="I382" s="1020">
        <f>E382*(списки!$C$56-F382)</f>
        <v>7261.8</v>
      </c>
      <c r="J382" s="1021" t="str">
        <f t="shared" si="55"/>
        <v>7000-8000</v>
      </c>
      <c r="K382" s="1022">
        <v>12.7</v>
      </c>
      <c r="L382" s="1022"/>
      <c r="M382" s="1023">
        <f t="shared" si="56"/>
        <v>0</v>
      </c>
      <c r="N382" s="1024">
        <f>M382*(списки!$C$56-K382)</f>
        <v>0</v>
      </c>
      <c r="O382" s="1025">
        <v>13.9</v>
      </c>
      <c r="P382" s="1025"/>
      <c r="Q382" s="1025">
        <f t="shared" si="57"/>
        <v>0</v>
      </c>
      <c r="R382" s="1025">
        <f>Q382*(списки!$C$56-O382)</f>
        <v>0</v>
      </c>
      <c r="S382" s="1026">
        <v>10.199999999999999</v>
      </c>
      <c r="T382" s="1026"/>
      <c r="U382" s="1026">
        <f t="shared" si="64"/>
        <v>27</v>
      </c>
      <c r="V382" s="1026">
        <f>U382*(списки!$C$56-S382)</f>
        <v>264.60000000000002</v>
      </c>
      <c r="W382" s="1027">
        <v>2.7</v>
      </c>
      <c r="X382" s="1027"/>
      <c r="Y382" s="1027">
        <f t="shared" si="58"/>
        <v>31</v>
      </c>
      <c r="Z382" s="1027">
        <f>Y382*(списки!$C$56-W382)</f>
        <v>536.30000000000007</v>
      </c>
      <c r="AA382" s="1028">
        <v>-6.3</v>
      </c>
      <c r="AB382" s="1028"/>
      <c r="AC382" s="1028">
        <f t="shared" si="59"/>
        <v>30</v>
      </c>
      <c r="AD382" s="1028">
        <f>AC382*(списки!$C$56-AA382)</f>
        <v>789</v>
      </c>
      <c r="AE382" s="1029">
        <v>-15.1</v>
      </c>
      <c r="AF382" s="1029"/>
      <c r="AG382" s="1029">
        <v>31</v>
      </c>
      <c r="AH382" s="1029">
        <f>AG382*(списки!$C$56-AE382)</f>
        <v>1088.1000000000001</v>
      </c>
      <c r="AI382" s="1030">
        <v>-19.7</v>
      </c>
      <c r="AJ382" s="1030"/>
      <c r="AK382" s="1030">
        <v>31</v>
      </c>
      <c r="AL382" s="1030">
        <f>AK382*(списки!$C$56-AI382)</f>
        <v>1230.7</v>
      </c>
      <c r="AM382" s="1031">
        <v>-17.7</v>
      </c>
      <c r="AN382" s="1031"/>
      <c r="AO382" s="1031">
        <v>28</v>
      </c>
      <c r="AP382" s="1031">
        <f>AO382*(списки!$C$56-AM382)</f>
        <v>1055.6000000000001</v>
      </c>
      <c r="AQ382" s="1026">
        <v>-12.5</v>
      </c>
      <c r="AR382" s="1026"/>
      <c r="AS382" s="1026">
        <f t="shared" si="60"/>
        <v>31</v>
      </c>
      <c r="AT382" s="1026">
        <f>AS382*(списки!$C$56-AQ382)</f>
        <v>1007.5</v>
      </c>
      <c r="AU382" s="1032">
        <v>-4</v>
      </c>
      <c r="AV382" s="1032"/>
      <c r="AW382" s="1032">
        <f t="shared" si="61"/>
        <v>30</v>
      </c>
      <c r="AX382" s="1032">
        <f>AW382*(списки!$C$56-AU382)</f>
        <v>720</v>
      </c>
      <c r="AY382" s="1033">
        <v>1.5</v>
      </c>
      <c r="AZ382" s="1033"/>
      <c r="BA382" s="1033">
        <f t="shared" si="62"/>
        <v>27</v>
      </c>
      <c r="BB382" s="1033">
        <f>BA382*(списки!$C$56-AY382)</f>
        <v>499.5</v>
      </c>
      <c r="BC382" s="1034">
        <v>7.7</v>
      </c>
      <c r="BD382" s="1034"/>
      <c r="BE382" s="1034">
        <f t="shared" si="63"/>
        <v>0</v>
      </c>
      <c r="BF382" s="1035">
        <f>BE382*(списки!$C$56-BC382)</f>
        <v>0</v>
      </c>
      <c r="BG382" s="1424">
        <v>7335.910714285711</v>
      </c>
      <c r="BH382" s="1424">
        <v>6815.3905952380928</v>
      </c>
    </row>
    <row r="383" spans="1:60" ht="15.75" customHeight="1" x14ac:dyDescent="0.25">
      <c r="A383" s="1049">
        <f>AVERAGE(E373:E388)</f>
        <v>234.875</v>
      </c>
      <c r="B383" s="1014" t="s">
        <v>296</v>
      </c>
      <c r="C383" s="1014" t="s">
        <v>305</v>
      </c>
      <c r="D383" s="1015" t="str">
        <f t="shared" si="65"/>
        <v>Сахалинская областьПогиби</v>
      </c>
      <c r="E383" s="1016">
        <v>249</v>
      </c>
      <c r="F383" s="1017">
        <v>-8.6999999999999993</v>
      </c>
      <c r="G383" s="1017">
        <v>-30</v>
      </c>
      <c r="H383" s="1019">
        <v>6.1</v>
      </c>
      <c r="I383" s="1020">
        <f>E383*(списки!$C$56-F383)</f>
        <v>7146.3</v>
      </c>
      <c r="J383" s="1021" t="str">
        <f t="shared" si="55"/>
        <v>7000-8000</v>
      </c>
      <c r="K383" s="1022">
        <v>14.1</v>
      </c>
      <c r="L383" s="1022"/>
      <c r="M383" s="1023">
        <f t="shared" si="56"/>
        <v>0</v>
      </c>
      <c r="N383" s="1024">
        <f>M383*(списки!$C$56-K383)</f>
        <v>0</v>
      </c>
      <c r="O383" s="1025">
        <v>15.5</v>
      </c>
      <c r="P383" s="1025"/>
      <c r="Q383" s="1025">
        <f t="shared" si="57"/>
        <v>0</v>
      </c>
      <c r="R383" s="1025">
        <f>Q383*(списки!$C$56-O383)</f>
        <v>0</v>
      </c>
      <c r="S383" s="1026">
        <v>11.8</v>
      </c>
      <c r="T383" s="1026"/>
      <c r="U383" s="1026">
        <f t="shared" si="64"/>
        <v>18.5</v>
      </c>
      <c r="V383" s="1026">
        <f>U383*(списки!$C$56-S383)</f>
        <v>151.69999999999999</v>
      </c>
      <c r="W383" s="1027">
        <v>3.9</v>
      </c>
      <c r="X383" s="1027"/>
      <c r="Y383" s="1027">
        <f t="shared" si="58"/>
        <v>31</v>
      </c>
      <c r="Z383" s="1027">
        <f>Y383*(списки!$C$56-W383)</f>
        <v>499.1</v>
      </c>
      <c r="AA383" s="1028">
        <v>-7.3</v>
      </c>
      <c r="AB383" s="1028"/>
      <c r="AC383" s="1028">
        <f t="shared" si="59"/>
        <v>30</v>
      </c>
      <c r="AD383" s="1028">
        <f>AC383*(списки!$C$56-AA383)</f>
        <v>819</v>
      </c>
      <c r="AE383" s="1029">
        <v>-16</v>
      </c>
      <c r="AF383" s="1029"/>
      <c r="AG383" s="1029">
        <v>31</v>
      </c>
      <c r="AH383" s="1029">
        <f>AG383*(списки!$C$56-AE383)</f>
        <v>1116</v>
      </c>
      <c r="AI383" s="1030">
        <v>-19.600000000000001</v>
      </c>
      <c r="AJ383" s="1030"/>
      <c r="AK383" s="1030">
        <v>31</v>
      </c>
      <c r="AL383" s="1030">
        <f>AK383*(списки!$C$56-AI383)</f>
        <v>1227.6000000000001</v>
      </c>
      <c r="AM383" s="1031">
        <v>-18.3</v>
      </c>
      <c r="AN383" s="1031"/>
      <c r="AO383" s="1031">
        <v>28</v>
      </c>
      <c r="AP383" s="1031">
        <f>AO383*(списки!$C$56-AM383)</f>
        <v>1072.3999999999999</v>
      </c>
      <c r="AQ383" s="1026">
        <v>-11.9</v>
      </c>
      <c r="AR383" s="1026"/>
      <c r="AS383" s="1026">
        <f t="shared" si="60"/>
        <v>31</v>
      </c>
      <c r="AT383" s="1026">
        <f>AS383*(списки!$C$56-AQ383)</f>
        <v>988.9</v>
      </c>
      <c r="AU383" s="1032">
        <v>-3.2</v>
      </c>
      <c r="AV383" s="1032"/>
      <c r="AW383" s="1032">
        <f t="shared" si="61"/>
        <v>30</v>
      </c>
      <c r="AX383" s="1032">
        <f>AW383*(списки!$C$56-AU383)</f>
        <v>696</v>
      </c>
      <c r="AY383" s="1033">
        <v>2.4</v>
      </c>
      <c r="AZ383" s="1033"/>
      <c r="BA383" s="1033">
        <f t="shared" si="62"/>
        <v>18.5</v>
      </c>
      <c r="BB383" s="1033">
        <f>BA383*(списки!$C$56-AY383)</f>
        <v>325.60000000000002</v>
      </c>
      <c r="BC383" s="1034">
        <v>9.8000000000000007</v>
      </c>
      <c r="BD383" s="1034"/>
      <c r="BE383" s="1034">
        <f t="shared" si="63"/>
        <v>0</v>
      </c>
      <c r="BF383" s="1035">
        <f>BE383*(списки!$C$56-BC383)</f>
        <v>0</v>
      </c>
      <c r="BG383" s="1424">
        <v>6999.7749999999978</v>
      </c>
      <c r="BH383" s="1424">
        <v>6715.3333333333348</v>
      </c>
    </row>
    <row r="384" spans="1:60" ht="15.75" customHeight="1" x14ac:dyDescent="0.25">
      <c r="B384" s="1038" t="s">
        <v>296</v>
      </c>
      <c r="C384" s="1038" t="s">
        <v>306</v>
      </c>
      <c r="D384" s="1015" t="str">
        <f t="shared" si="65"/>
        <v>Сахалинская областьПоронайск</v>
      </c>
      <c r="E384" s="1016">
        <v>245</v>
      </c>
      <c r="F384" s="1017">
        <v>-5.8</v>
      </c>
      <c r="G384" s="1017">
        <v>-26</v>
      </c>
      <c r="H384" s="1019">
        <f>H386</f>
        <v>10.7</v>
      </c>
      <c r="I384" s="1020">
        <f>E384*(списки!$C$56-F384)</f>
        <v>6321</v>
      </c>
      <c r="J384" s="1021" t="str">
        <f t="shared" si="55"/>
        <v>6000-7000</v>
      </c>
      <c r="K384" s="1022">
        <v>13.6</v>
      </c>
      <c r="L384" s="1022"/>
      <c r="M384" s="1023">
        <f t="shared" si="56"/>
        <v>0</v>
      </c>
      <c r="N384" s="1024">
        <f>M384*(списки!$C$56-K384)</f>
        <v>0</v>
      </c>
      <c r="O384" s="1025">
        <v>15.6</v>
      </c>
      <c r="P384" s="1025"/>
      <c r="Q384" s="1025">
        <f t="shared" si="57"/>
        <v>0</v>
      </c>
      <c r="R384" s="1025">
        <f>Q384*(списки!$C$56-O384)</f>
        <v>0</v>
      </c>
      <c r="S384" s="1026">
        <v>12.1</v>
      </c>
      <c r="T384" s="1026"/>
      <c r="U384" s="1026">
        <f t="shared" si="64"/>
        <v>16.5</v>
      </c>
      <c r="V384" s="1026">
        <f>U384*(списки!$C$56-S384)</f>
        <v>130.35</v>
      </c>
      <c r="W384" s="1027">
        <v>5.0999999999999996</v>
      </c>
      <c r="X384" s="1027"/>
      <c r="Y384" s="1027">
        <f t="shared" si="58"/>
        <v>31</v>
      </c>
      <c r="Z384" s="1027">
        <f>Y384*(списки!$C$56-W384)</f>
        <v>461.90000000000003</v>
      </c>
      <c r="AA384" s="1028">
        <v>-4.5999999999999996</v>
      </c>
      <c r="AB384" s="1028"/>
      <c r="AC384" s="1028">
        <f t="shared" si="59"/>
        <v>30</v>
      </c>
      <c r="AD384" s="1028">
        <f>AC384*(списки!$C$56-AA384)</f>
        <v>738</v>
      </c>
      <c r="AE384" s="1029">
        <v>-13</v>
      </c>
      <c r="AF384" s="1029"/>
      <c r="AG384" s="1029">
        <v>31</v>
      </c>
      <c r="AH384" s="1029">
        <f>AG384*(списки!$C$56-AE384)</f>
        <v>1023</v>
      </c>
      <c r="AI384" s="1030">
        <v>-16.100000000000001</v>
      </c>
      <c r="AJ384" s="1030"/>
      <c r="AK384" s="1030">
        <v>31</v>
      </c>
      <c r="AL384" s="1030">
        <f>AK384*(списки!$C$56-AI384)</f>
        <v>1119.1000000000001</v>
      </c>
      <c r="AM384" s="1031">
        <v>-13.9</v>
      </c>
      <c r="AN384" s="1031"/>
      <c r="AO384" s="1031">
        <v>28</v>
      </c>
      <c r="AP384" s="1031">
        <f>AO384*(списки!$C$56-AM384)</f>
        <v>949.19999999999993</v>
      </c>
      <c r="AQ384" s="1026">
        <v>-7.1</v>
      </c>
      <c r="AR384" s="1026"/>
      <c r="AS384" s="1026">
        <f t="shared" si="60"/>
        <v>31</v>
      </c>
      <c r="AT384" s="1026">
        <f>AS384*(списки!$C$56-AQ384)</f>
        <v>840.1</v>
      </c>
      <c r="AU384" s="1032">
        <v>0.1</v>
      </c>
      <c r="AV384" s="1032"/>
      <c r="AW384" s="1032">
        <f t="shared" si="61"/>
        <v>30</v>
      </c>
      <c r="AX384" s="1032">
        <f>AW384*(списки!$C$56-AU384)</f>
        <v>597</v>
      </c>
      <c r="AY384" s="1033">
        <v>4.8</v>
      </c>
      <c r="AZ384" s="1033"/>
      <c r="BA384" s="1033">
        <f t="shared" si="62"/>
        <v>16.5</v>
      </c>
      <c r="BB384" s="1033">
        <f>BA384*(списки!$C$56-AY384)</f>
        <v>250.79999999999998</v>
      </c>
      <c r="BC384" s="1034">
        <v>9.4</v>
      </c>
      <c r="BD384" s="1034"/>
      <c r="BE384" s="1034">
        <f t="shared" si="63"/>
        <v>0</v>
      </c>
      <c r="BF384" s="1035">
        <f>BE384*(списки!$C$56-BC384)</f>
        <v>0</v>
      </c>
      <c r="BG384" s="1424">
        <v>6538.4571428571435</v>
      </c>
      <c r="BH384" s="1424">
        <v>5927.1500000000005</v>
      </c>
    </row>
    <row r="385" spans="2:60" ht="15.75" customHeight="1" x14ac:dyDescent="0.25">
      <c r="B385" s="1014" t="s">
        <v>296</v>
      </c>
      <c r="C385" s="1014" t="s">
        <v>693</v>
      </c>
      <c r="D385" s="1015" t="str">
        <f t="shared" si="65"/>
        <v>Сахалинская областьРыбновск</v>
      </c>
      <c r="E385" s="1016">
        <v>255</v>
      </c>
      <c r="F385" s="1017">
        <v>-8.9</v>
      </c>
      <c r="G385" s="1017">
        <v>-33</v>
      </c>
      <c r="H385" s="1019">
        <v>3.9</v>
      </c>
      <c r="I385" s="1020">
        <f>E385*(списки!$C$56-F385)</f>
        <v>7369.5</v>
      </c>
      <c r="J385" s="1021" t="str">
        <f t="shared" si="55"/>
        <v>7000-8000</v>
      </c>
      <c r="K385" s="1022">
        <v>14.4</v>
      </c>
      <c r="L385" s="1022"/>
      <c r="M385" s="1023">
        <f t="shared" si="56"/>
        <v>0</v>
      </c>
      <c r="N385" s="1024">
        <f>M385*(списки!$C$56-K385)</f>
        <v>0</v>
      </c>
      <c r="O385" s="1025">
        <v>15.1</v>
      </c>
      <c r="P385" s="1025"/>
      <c r="Q385" s="1025">
        <f t="shared" si="57"/>
        <v>0</v>
      </c>
      <c r="R385" s="1025">
        <f>Q385*(списки!$C$56-O385)</f>
        <v>0</v>
      </c>
      <c r="S385" s="1026">
        <v>11.1</v>
      </c>
      <c r="T385" s="1026"/>
      <c r="U385" s="1026">
        <f t="shared" si="64"/>
        <v>21.5</v>
      </c>
      <c r="V385" s="1026">
        <f>U385*(списки!$C$56-S385)</f>
        <v>191.35</v>
      </c>
      <c r="W385" s="1027">
        <v>3.4</v>
      </c>
      <c r="X385" s="1027"/>
      <c r="Y385" s="1027">
        <f t="shared" si="58"/>
        <v>31</v>
      </c>
      <c r="Z385" s="1027">
        <f>Y385*(списки!$C$56-W385)</f>
        <v>514.6</v>
      </c>
      <c r="AA385" s="1028">
        <v>-6.9</v>
      </c>
      <c r="AB385" s="1028"/>
      <c r="AC385" s="1028">
        <f t="shared" si="59"/>
        <v>30</v>
      </c>
      <c r="AD385" s="1028">
        <f>AC385*(списки!$C$56-AA385)</f>
        <v>807</v>
      </c>
      <c r="AE385" s="1029">
        <v>-17.399999999999999</v>
      </c>
      <c r="AF385" s="1029"/>
      <c r="AG385" s="1029">
        <v>31</v>
      </c>
      <c r="AH385" s="1029">
        <f>AG385*(списки!$C$56-AE385)</f>
        <v>1159.3999999999999</v>
      </c>
      <c r="AI385" s="1030">
        <v>-22.3</v>
      </c>
      <c r="AJ385" s="1030"/>
      <c r="AK385" s="1030">
        <v>31</v>
      </c>
      <c r="AL385" s="1030">
        <f>AK385*(списки!$C$56-AI385)</f>
        <v>1311.3</v>
      </c>
      <c r="AM385" s="1031">
        <v>-20.100000000000001</v>
      </c>
      <c r="AN385" s="1031"/>
      <c r="AO385" s="1031">
        <v>28</v>
      </c>
      <c r="AP385" s="1031">
        <f>AO385*(списки!$C$56-AM385)</f>
        <v>1122.8</v>
      </c>
      <c r="AQ385" s="1026">
        <v>-14.3</v>
      </c>
      <c r="AR385" s="1026"/>
      <c r="AS385" s="1026">
        <f t="shared" si="60"/>
        <v>31</v>
      </c>
      <c r="AT385" s="1026">
        <f>AS385*(списки!$C$56-AQ385)</f>
        <v>1063.3</v>
      </c>
      <c r="AU385" s="1032">
        <v>-4.5999999999999996</v>
      </c>
      <c r="AV385" s="1032"/>
      <c r="AW385" s="1032">
        <f t="shared" si="61"/>
        <v>30</v>
      </c>
      <c r="AX385" s="1032">
        <f>AW385*(списки!$C$56-AU385)</f>
        <v>738</v>
      </c>
      <c r="AY385" s="1033">
        <v>1.8</v>
      </c>
      <c r="AZ385" s="1033"/>
      <c r="BA385" s="1033">
        <f t="shared" si="62"/>
        <v>21.5</v>
      </c>
      <c r="BB385" s="1033">
        <f>BA385*(списки!$C$56-AY385)</f>
        <v>391.3</v>
      </c>
      <c r="BC385" s="1034">
        <v>9.4</v>
      </c>
      <c r="BD385" s="1034"/>
      <c r="BE385" s="1034">
        <f t="shared" si="63"/>
        <v>0</v>
      </c>
      <c r="BF385" s="1035">
        <f>BE385*(списки!$C$56-BC385)</f>
        <v>0</v>
      </c>
      <c r="BG385" s="1424" t="e">
        <v>#N/A</v>
      </c>
      <c r="BH385" s="1424" t="e">
        <v>#N/A</v>
      </c>
    </row>
    <row r="386" spans="2:60" ht="15.75" customHeight="1" x14ac:dyDescent="0.25">
      <c r="B386" s="1038" t="s">
        <v>296</v>
      </c>
      <c r="C386" s="1038" t="s">
        <v>694</v>
      </c>
      <c r="D386" s="1015" t="str">
        <f t="shared" si="65"/>
        <v>Сахалинская областьХолмск</v>
      </c>
      <c r="E386" s="1016">
        <v>220</v>
      </c>
      <c r="F386" s="1017">
        <v>-2.2999999999999998</v>
      </c>
      <c r="G386" s="1017">
        <v>-18</v>
      </c>
      <c r="H386" s="1019">
        <v>10.7</v>
      </c>
      <c r="I386" s="1020">
        <f>E386*(списки!$C$56-F386)</f>
        <v>4906</v>
      </c>
      <c r="J386" s="1021" t="str">
        <f t="shared" si="55"/>
        <v>4000-5000</v>
      </c>
      <c r="K386" s="1022">
        <v>15.7</v>
      </c>
      <c r="L386" s="1022"/>
      <c r="M386" s="1023">
        <f t="shared" si="56"/>
        <v>0</v>
      </c>
      <c r="N386" s="1024">
        <f>M386*(списки!$C$56-K386)</f>
        <v>0</v>
      </c>
      <c r="O386" s="1025">
        <v>17.7</v>
      </c>
      <c r="P386" s="1025"/>
      <c r="Q386" s="1025">
        <f t="shared" si="57"/>
        <v>0</v>
      </c>
      <c r="R386" s="1025">
        <f>Q386*(списки!$C$56-O386)</f>
        <v>0</v>
      </c>
      <c r="S386" s="1026">
        <v>14.2</v>
      </c>
      <c r="T386" s="1026"/>
      <c r="U386" s="1026">
        <f t="shared" si="64"/>
        <v>4</v>
      </c>
      <c r="V386" s="1026">
        <f>U386*(списки!$C$56-S386)</f>
        <v>23.200000000000003</v>
      </c>
      <c r="W386" s="1027">
        <v>7.8</v>
      </c>
      <c r="X386" s="1027"/>
      <c r="Y386" s="1027">
        <f t="shared" si="58"/>
        <v>31</v>
      </c>
      <c r="Z386" s="1027">
        <f>Y386*(списки!$C$56-W386)</f>
        <v>378.2</v>
      </c>
      <c r="AA386" s="1028">
        <v>0</v>
      </c>
      <c r="AB386" s="1028"/>
      <c r="AC386" s="1028">
        <f t="shared" si="59"/>
        <v>30</v>
      </c>
      <c r="AD386" s="1028">
        <f>AC386*(списки!$C$56-AA386)</f>
        <v>600</v>
      </c>
      <c r="AE386" s="1029">
        <v>-6.1</v>
      </c>
      <c r="AF386" s="1029"/>
      <c r="AG386" s="1029">
        <v>31</v>
      </c>
      <c r="AH386" s="1029">
        <f>AG386*(списки!$C$56-AE386)</f>
        <v>809.1</v>
      </c>
      <c r="AI386" s="1030">
        <v>-9.6999999999999993</v>
      </c>
      <c r="AJ386" s="1030"/>
      <c r="AK386" s="1030">
        <v>31</v>
      </c>
      <c r="AL386" s="1030">
        <f>AK386*(списки!$C$56-AI386)</f>
        <v>920.69999999999993</v>
      </c>
      <c r="AM386" s="1031">
        <v>-8.6999999999999993</v>
      </c>
      <c r="AN386" s="1031"/>
      <c r="AO386" s="1031">
        <v>28</v>
      </c>
      <c r="AP386" s="1031">
        <f>AO386*(списки!$C$56-AM386)</f>
        <v>803.6</v>
      </c>
      <c r="AQ386" s="1026">
        <v>-4.2</v>
      </c>
      <c r="AR386" s="1026"/>
      <c r="AS386" s="1026">
        <f t="shared" si="60"/>
        <v>31</v>
      </c>
      <c r="AT386" s="1026">
        <f>AS386*(списки!$C$56-AQ386)</f>
        <v>750.19999999999993</v>
      </c>
      <c r="AU386" s="1032">
        <v>2.2999999999999998</v>
      </c>
      <c r="AV386" s="1032"/>
      <c r="AW386" s="1032">
        <f t="shared" si="61"/>
        <v>30</v>
      </c>
      <c r="AX386" s="1032">
        <f>AW386*(списки!$C$56-AU386)</f>
        <v>531</v>
      </c>
      <c r="AY386" s="1033">
        <v>6.9</v>
      </c>
      <c r="AZ386" s="1033"/>
      <c r="BA386" s="1033">
        <f t="shared" si="62"/>
        <v>4</v>
      </c>
      <c r="BB386" s="1033">
        <f>BA386*(списки!$C$56-AY386)</f>
        <v>52.4</v>
      </c>
      <c r="BC386" s="1034">
        <v>11.4</v>
      </c>
      <c r="BD386" s="1034"/>
      <c r="BE386" s="1034">
        <f t="shared" si="63"/>
        <v>0</v>
      </c>
      <c r="BF386" s="1035">
        <f>BE386*(списки!$C$56-BC386)</f>
        <v>0</v>
      </c>
      <c r="BG386" s="1424">
        <v>4941.1000000000004</v>
      </c>
      <c r="BH386" s="1424">
        <v>4638.0749999999989</v>
      </c>
    </row>
    <row r="387" spans="2:60" ht="15.75" customHeight="1" x14ac:dyDescent="0.25">
      <c r="B387" s="1014" t="s">
        <v>296</v>
      </c>
      <c r="C387" s="1014" t="s">
        <v>695</v>
      </c>
      <c r="D387" s="1015" t="str">
        <f t="shared" si="65"/>
        <v>Сахалинская областьЮжно- Курильск</v>
      </c>
      <c r="E387" s="1016">
        <v>225</v>
      </c>
      <c r="F387" s="1017">
        <v>0</v>
      </c>
      <c r="G387" s="1017">
        <v>-13</v>
      </c>
      <c r="H387" s="1019">
        <v>6.8</v>
      </c>
      <c r="I387" s="1020">
        <f>E387*(списки!$C$56-F387)</f>
        <v>4500</v>
      </c>
      <c r="J387" s="1021" t="str">
        <f t="shared" si="55"/>
        <v>4000-5000</v>
      </c>
      <c r="K387" s="1022">
        <v>12.4</v>
      </c>
      <c r="L387" s="1022"/>
      <c r="M387" s="1023">
        <f t="shared" si="56"/>
        <v>0</v>
      </c>
      <c r="N387" s="1024">
        <f>M387*(списки!$C$56-K387)</f>
        <v>0</v>
      </c>
      <c r="O387" s="1025">
        <v>15.7</v>
      </c>
      <c r="P387" s="1025"/>
      <c r="Q387" s="1025">
        <f t="shared" si="57"/>
        <v>0</v>
      </c>
      <c r="R387" s="1025">
        <f>Q387*(списки!$C$56-O387)</f>
        <v>0</v>
      </c>
      <c r="S387" s="1026">
        <v>14.8</v>
      </c>
      <c r="T387" s="1026"/>
      <c r="U387" s="1026">
        <f t="shared" si="64"/>
        <v>6.5</v>
      </c>
      <c r="V387" s="1026">
        <f>U387*(списки!$C$56-S387)</f>
        <v>33.799999999999997</v>
      </c>
      <c r="W387" s="1027">
        <v>10.7</v>
      </c>
      <c r="X387" s="1027"/>
      <c r="Y387" s="1027">
        <f t="shared" si="58"/>
        <v>31</v>
      </c>
      <c r="Z387" s="1027">
        <f>Y387*(списки!$C$56-W387)</f>
        <v>288.3</v>
      </c>
      <c r="AA387" s="1028">
        <v>4.5</v>
      </c>
      <c r="AB387" s="1028"/>
      <c r="AC387" s="1028">
        <f t="shared" si="59"/>
        <v>30</v>
      </c>
      <c r="AD387" s="1028">
        <f>AC387*(списки!$C$56-AA387)</f>
        <v>465</v>
      </c>
      <c r="AE387" s="1029">
        <v>-1.1000000000000001</v>
      </c>
      <c r="AF387" s="1029"/>
      <c r="AG387" s="1029">
        <v>31</v>
      </c>
      <c r="AH387" s="1029">
        <f>AG387*(списки!$C$56-AE387)</f>
        <v>654.1</v>
      </c>
      <c r="AI387" s="1030">
        <v>-4.4000000000000004</v>
      </c>
      <c r="AJ387" s="1030"/>
      <c r="AK387" s="1030">
        <v>31</v>
      </c>
      <c r="AL387" s="1030">
        <f>AK387*(списки!$C$56-AI387)</f>
        <v>756.4</v>
      </c>
      <c r="AM387" s="1031">
        <v>-5.6</v>
      </c>
      <c r="AN387" s="1031"/>
      <c r="AO387" s="1031">
        <v>28</v>
      </c>
      <c r="AP387" s="1031">
        <f>AO387*(списки!$C$56-AM387)</f>
        <v>716.80000000000007</v>
      </c>
      <c r="AQ387" s="1026">
        <v>-2.7</v>
      </c>
      <c r="AR387" s="1026"/>
      <c r="AS387" s="1026">
        <f t="shared" si="60"/>
        <v>31</v>
      </c>
      <c r="AT387" s="1026">
        <f>AS387*(списки!$C$56-AQ387)</f>
        <v>703.69999999999993</v>
      </c>
      <c r="AU387" s="1032">
        <v>1.6</v>
      </c>
      <c r="AV387" s="1032"/>
      <c r="AW387" s="1032">
        <f t="shared" si="61"/>
        <v>30</v>
      </c>
      <c r="AX387" s="1032">
        <f>AW387*(списки!$C$56-AU387)</f>
        <v>552</v>
      </c>
      <c r="AY387" s="1033">
        <v>5.2</v>
      </c>
      <c r="AZ387" s="1033"/>
      <c r="BA387" s="1033">
        <f t="shared" si="62"/>
        <v>6.5</v>
      </c>
      <c r="BB387" s="1033">
        <f>BA387*(списки!$C$56-AY387)</f>
        <v>96.2</v>
      </c>
      <c r="BC387" s="1034">
        <v>8.5</v>
      </c>
      <c r="BD387" s="1034"/>
      <c r="BE387" s="1034">
        <f t="shared" si="63"/>
        <v>0</v>
      </c>
      <c r="BF387" s="1035">
        <f>BE387*(списки!$C$56-BC387)</f>
        <v>0</v>
      </c>
      <c r="BG387" s="1424">
        <v>4523.8464285714308</v>
      </c>
      <c r="BH387" s="1424">
        <v>4623.8749999999973</v>
      </c>
    </row>
    <row r="388" spans="2:60" ht="15.75" customHeight="1" x14ac:dyDescent="0.25">
      <c r="B388" s="1038" t="s">
        <v>296</v>
      </c>
      <c r="C388" s="1038" t="s">
        <v>696</v>
      </c>
      <c r="D388" s="1015" t="str">
        <f t="shared" si="65"/>
        <v>Сахалинская областьЮжно- Сахалинск</v>
      </c>
      <c r="E388" s="1016">
        <v>227</v>
      </c>
      <c r="F388" s="1017">
        <v>-4.4000000000000004</v>
      </c>
      <c r="G388" s="1017">
        <v>-22</v>
      </c>
      <c r="H388" s="1019">
        <v>3.3</v>
      </c>
      <c r="I388" s="1020">
        <f>E388*(списки!$C$56-F388)</f>
        <v>5538.7999999999993</v>
      </c>
      <c r="J388" s="1021" t="str">
        <f t="shared" si="55"/>
        <v>5000-6000</v>
      </c>
      <c r="K388" s="1022">
        <v>15.5</v>
      </c>
      <c r="L388" s="1022"/>
      <c r="M388" s="1023">
        <f t="shared" si="56"/>
        <v>0</v>
      </c>
      <c r="N388" s="1024">
        <f>M388*(списки!$C$56-K388)</f>
        <v>0</v>
      </c>
      <c r="O388" s="1025">
        <v>17</v>
      </c>
      <c r="P388" s="1025"/>
      <c r="Q388" s="1025">
        <f t="shared" si="57"/>
        <v>0</v>
      </c>
      <c r="R388" s="1025">
        <f>Q388*(списки!$C$56-O388)</f>
        <v>0</v>
      </c>
      <c r="S388" s="1026">
        <v>13</v>
      </c>
      <c r="T388" s="1026"/>
      <c r="U388" s="1026">
        <f t="shared" si="64"/>
        <v>7.5</v>
      </c>
      <c r="V388" s="1026">
        <f>U388*(списки!$C$56-S388)</f>
        <v>52.5</v>
      </c>
      <c r="W388" s="1027">
        <v>6.3</v>
      </c>
      <c r="X388" s="1027"/>
      <c r="Y388" s="1027">
        <f t="shared" si="58"/>
        <v>31</v>
      </c>
      <c r="Z388" s="1027">
        <f>Y388*(списки!$C$56-W388)</f>
        <v>424.7</v>
      </c>
      <c r="AA388" s="1028">
        <v>-1.7</v>
      </c>
      <c r="AB388" s="1028"/>
      <c r="AC388" s="1028">
        <f t="shared" si="59"/>
        <v>30</v>
      </c>
      <c r="AD388" s="1028">
        <f>AC388*(списки!$C$56-AA388)</f>
        <v>651</v>
      </c>
      <c r="AE388" s="1029">
        <v>-8.8000000000000007</v>
      </c>
      <c r="AF388" s="1029"/>
      <c r="AG388" s="1029">
        <v>31</v>
      </c>
      <c r="AH388" s="1029">
        <f>AG388*(списки!$C$56-AE388)</f>
        <v>892.80000000000007</v>
      </c>
      <c r="AI388" s="1030">
        <v>-12.8</v>
      </c>
      <c r="AJ388" s="1030"/>
      <c r="AK388" s="1030">
        <v>31</v>
      </c>
      <c r="AL388" s="1030">
        <f>AK388*(списки!$C$56-AI388)</f>
        <v>1016.8</v>
      </c>
      <c r="AM388" s="1031">
        <v>-12</v>
      </c>
      <c r="AN388" s="1031"/>
      <c r="AO388" s="1031">
        <v>28</v>
      </c>
      <c r="AP388" s="1031">
        <f>AO388*(списки!$C$56-AM388)</f>
        <v>896</v>
      </c>
      <c r="AQ388" s="1026">
        <v>-5.8</v>
      </c>
      <c r="AR388" s="1026"/>
      <c r="AS388" s="1026">
        <f t="shared" si="60"/>
        <v>31</v>
      </c>
      <c r="AT388" s="1026">
        <f>AS388*(списки!$C$56-AQ388)</f>
        <v>799.80000000000007</v>
      </c>
      <c r="AU388" s="1032">
        <v>1.6</v>
      </c>
      <c r="AV388" s="1032"/>
      <c r="AW388" s="1032">
        <f t="shared" si="61"/>
        <v>30</v>
      </c>
      <c r="AX388" s="1032">
        <f>AW388*(списки!$C$56-AU388)</f>
        <v>552</v>
      </c>
      <c r="AY388" s="1033">
        <v>7</v>
      </c>
      <c r="AZ388" s="1033"/>
      <c r="BA388" s="1033">
        <f t="shared" si="62"/>
        <v>7.5</v>
      </c>
      <c r="BB388" s="1033">
        <f>BA388*(списки!$C$56-AY388)</f>
        <v>97.5</v>
      </c>
      <c r="BC388" s="1034">
        <v>11.5</v>
      </c>
      <c r="BD388" s="1034"/>
      <c r="BE388" s="1034">
        <f t="shared" si="63"/>
        <v>0</v>
      </c>
      <c r="BF388" s="1035">
        <f>BE388*(списки!$C$56-BC388)</f>
        <v>0</v>
      </c>
      <c r="BG388" s="1424">
        <v>5559.8964285714292</v>
      </c>
      <c r="BH388" s="1424">
        <v>5114.9749999999967</v>
      </c>
    </row>
    <row r="389" spans="2:60" ht="15.75" customHeight="1" x14ac:dyDescent="0.25">
      <c r="B389" s="1014" t="s">
        <v>320</v>
      </c>
      <c r="C389" s="1014" t="s">
        <v>324</v>
      </c>
      <c r="D389" s="1015" t="str">
        <f t="shared" si="65"/>
        <v>Свердловская областьВерхотурье</v>
      </c>
      <c r="E389" s="1016">
        <v>233</v>
      </c>
      <c r="F389" s="1017">
        <v>-6.4</v>
      </c>
      <c r="G389" s="1017">
        <v>-36</v>
      </c>
      <c r="H389" s="1019">
        <v>3.1</v>
      </c>
      <c r="I389" s="1020">
        <f>E389*(списки!$C$56-F389)</f>
        <v>6151.2</v>
      </c>
      <c r="J389" s="1021" t="str">
        <f t="shared" si="55"/>
        <v>6000-7000</v>
      </c>
      <c r="K389" s="1022">
        <v>17.7</v>
      </c>
      <c r="L389" s="1022"/>
      <c r="M389" s="1023">
        <f t="shared" si="56"/>
        <v>0</v>
      </c>
      <c r="N389" s="1024">
        <f>M389*(списки!$C$56-K389)</f>
        <v>0</v>
      </c>
      <c r="O389" s="1025">
        <v>14.4</v>
      </c>
      <c r="P389" s="1025"/>
      <c r="Q389" s="1025">
        <f t="shared" si="57"/>
        <v>0</v>
      </c>
      <c r="R389" s="1025">
        <f>Q389*(списки!$C$56-O389)</f>
        <v>0</v>
      </c>
      <c r="S389" s="1026">
        <v>8.6999999999999993</v>
      </c>
      <c r="T389" s="1026"/>
      <c r="U389" s="1026">
        <f t="shared" si="64"/>
        <v>10.5</v>
      </c>
      <c r="V389" s="1026">
        <f>U389*(списки!$C$56-S389)</f>
        <v>118.65</v>
      </c>
      <c r="W389" s="1027">
        <v>1.5</v>
      </c>
      <c r="X389" s="1027"/>
      <c r="Y389" s="1027">
        <f t="shared" si="58"/>
        <v>31</v>
      </c>
      <c r="Z389" s="1027">
        <f>Y389*(списки!$C$56-W389)</f>
        <v>573.5</v>
      </c>
      <c r="AA389" s="1028">
        <v>-7.4</v>
      </c>
      <c r="AB389" s="1028"/>
      <c r="AC389" s="1028">
        <f t="shared" si="59"/>
        <v>30</v>
      </c>
      <c r="AD389" s="1028">
        <f>AC389*(списки!$C$56-AA389)</f>
        <v>822</v>
      </c>
      <c r="AE389" s="1029">
        <v>-13.4</v>
      </c>
      <c r="AF389" s="1029"/>
      <c r="AG389" s="1029">
        <v>31</v>
      </c>
      <c r="AH389" s="1029">
        <f>AG389*(списки!$C$56-AE389)</f>
        <v>1035.3999999999999</v>
      </c>
      <c r="AI389" s="1030">
        <v>-16.3</v>
      </c>
      <c r="AJ389" s="1030"/>
      <c r="AK389" s="1030">
        <v>31</v>
      </c>
      <c r="AL389" s="1030">
        <f>AK389*(списки!$C$56-AI389)</f>
        <v>1125.3</v>
      </c>
      <c r="AM389" s="1031">
        <v>-14.3</v>
      </c>
      <c r="AN389" s="1031"/>
      <c r="AO389" s="1031">
        <v>28</v>
      </c>
      <c r="AP389" s="1031">
        <f>AO389*(списки!$C$56-AM389)</f>
        <v>960.39999999999986</v>
      </c>
      <c r="AQ389" s="1026">
        <v>-5</v>
      </c>
      <c r="AR389" s="1026"/>
      <c r="AS389" s="1026">
        <f t="shared" si="60"/>
        <v>31</v>
      </c>
      <c r="AT389" s="1026">
        <f>AS389*(списки!$C$56-AQ389)</f>
        <v>775</v>
      </c>
      <c r="AU389" s="1032">
        <v>2.9</v>
      </c>
      <c r="AV389" s="1032"/>
      <c r="AW389" s="1032">
        <f t="shared" si="61"/>
        <v>30</v>
      </c>
      <c r="AX389" s="1032">
        <f>AW389*(списки!$C$56-AU389)</f>
        <v>513</v>
      </c>
      <c r="AY389" s="1033">
        <v>9.6</v>
      </c>
      <c r="AZ389" s="1033"/>
      <c r="BA389" s="1033">
        <f t="shared" si="62"/>
        <v>10.5</v>
      </c>
      <c r="BB389" s="1033">
        <f>BA389*(списки!$C$56-AY389)</f>
        <v>109.2</v>
      </c>
      <c r="BC389" s="1034">
        <v>15.3</v>
      </c>
      <c r="BD389" s="1034"/>
      <c r="BE389" s="1034">
        <f t="shared" si="63"/>
        <v>0</v>
      </c>
      <c r="BF389" s="1035">
        <f>BE389*(списки!$C$56-BC389)</f>
        <v>0</v>
      </c>
      <c r="BG389" s="1424">
        <v>6134.1946428571446</v>
      </c>
      <c r="BH389" s="1424">
        <v>5866.5749999999998</v>
      </c>
    </row>
    <row r="390" spans="2:60" ht="15.75" customHeight="1" x14ac:dyDescent="0.25">
      <c r="B390" s="1038" t="s">
        <v>320</v>
      </c>
      <c r="C390" s="1038" t="s">
        <v>325</v>
      </c>
      <c r="D390" s="1015" t="str">
        <f t="shared" si="65"/>
        <v>Свердловская областьЕкатеринбург</v>
      </c>
      <c r="E390" s="1016">
        <v>221</v>
      </c>
      <c r="F390" s="1017">
        <v>-5.4</v>
      </c>
      <c r="G390" s="1017">
        <v>-32</v>
      </c>
      <c r="H390" s="1019">
        <v>4.0999999999999996</v>
      </c>
      <c r="I390" s="1020">
        <f>E390*(списки!$C$56-F390)</f>
        <v>5613.4</v>
      </c>
      <c r="J390" s="1021" t="str">
        <f t="shared" si="55"/>
        <v>5000-6000</v>
      </c>
      <c r="K390" s="1022">
        <v>18.5</v>
      </c>
      <c r="L390" s="1022"/>
      <c r="M390" s="1023">
        <f t="shared" si="56"/>
        <v>0</v>
      </c>
      <c r="N390" s="1024">
        <f>M390*(списки!$C$56-K390)</f>
        <v>0</v>
      </c>
      <c r="O390" s="1025">
        <v>15.5</v>
      </c>
      <c r="P390" s="1025"/>
      <c r="Q390" s="1025">
        <f t="shared" si="57"/>
        <v>0</v>
      </c>
      <c r="R390" s="1025">
        <f>Q390*(списки!$C$56-O390)</f>
        <v>0</v>
      </c>
      <c r="S390" s="1026">
        <v>9.8000000000000007</v>
      </c>
      <c r="T390" s="1026"/>
      <c r="U390" s="1026">
        <f t="shared" si="64"/>
        <v>4.5</v>
      </c>
      <c r="V390" s="1026">
        <f>U390*(списки!$C$56-S390)</f>
        <v>45.9</v>
      </c>
      <c r="W390" s="1027">
        <v>2.5</v>
      </c>
      <c r="X390" s="1027"/>
      <c r="Y390" s="1027">
        <f t="shared" si="58"/>
        <v>31</v>
      </c>
      <c r="Z390" s="1027">
        <f>Y390*(списки!$C$56-W390)</f>
        <v>542.5</v>
      </c>
      <c r="AA390" s="1028">
        <v>-5.6</v>
      </c>
      <c r="AB390" s="1028"/>
      <c r="AC390" s="1028">
        <f t="shared" si="59"/>
        <v>30</v>
      </c>
      <c r="AD390" s="1028">
        <f>AC390*(списки!$C$56-AA390)</f>
        <v>768</v>
      </c>
      <c r="AE390" s="1029">
        <v>-11.3</v>
      </c>
      <c r="AF390" s="1029"/>
      <c r="AG390" s="1029">
        <v>31</v>
      </c>
      <c r="AH390" s="1029">
        <f>AG390*(списки!$C$56-AE390)</f>
        <v>970.30000000000007</v>
      </c>
      <c r="AI390" s="1030">
        <v>-13.6</v>
      </c>
      <c r="AJ390" s="1030"/>
      <c r="AK390" s="1030">
        <v>31</v>
      </c>
      <c r="AL390" s="1030">
        <f>AK390*(списки!$C$56-AI390)</f>
        <v>1041.6000000000001</v>
      </c>
      <c r="AM390" s="1031">
        <v>-11.8</v>
      </c>
      <c r="AN390" s="1031"/>
      <c r="AO390" s="1031">
        <v>28</v>
      </c>
      <c r="AP390" s="1031">
        <f>AO390*(списки!$C$56-AM390)</f>
        <v>890.4</v>
      </c>
      <c r="AQ390" s="1026">
        <v>-4</v>
      </c>
      <c r="AR390" s="1026"/>
      <c r="AS390" s="1026">
        <f t="shared" si="60"/>
        <v>31</v>
      </c>
      <c r="AT390" s="1026">
        <f>AS390*(списки!$C$56-AQ390)</f>
        <v>744</v>
      </c>
      <c r="AU390" s="1032">
        <v>4.3</v>
      </c>
      <c r="AV390" s="1032"/>
      <c r="AW390" s="1032">
        <f t="shared" si="61"/>
        <v>30</v>
      </c>
      <c r="AX390" s="1032">
        <f>AW390*(списки!$C$56-AU390)</f>
        <v>471</v>
      </c>
      <c r="AY390" s="1033">
        <v>11.2</v>
      </c>
      <c r="AZ390" s="1033"/>
      <c r="BA390" s="1033">
        <f t="shared" si="62"/>
        <v>4.5</v>
      </c>
      <c r="BB390" s="1033">
        <f>BA390*(списки!$C$56-AY390)</f>
        <v>39.6</v>
      </c>
      <c r="BC390" s="1034">
        <v>16.399999999999999</v>
      </c>
      <c r="BD390" s="1034"/>
      <c r="BE390" s="1034">
        <f t="shared" si="63"/>
        <v>0</v>
      </c>
      <c r="BF390" s="1035">
        <f>BE390*(списки!$C$56-BC390)</f>
        <v>0</v>
      </c>
      <c r="BG390" s="1424">
        <v>5228.3767857142875</v>
      </c>
      <c r="BH390" s="1424">
        <v>5185.9749999999985</v>
      </c>
    </row>
    <row r="391" spans="2:60" ht="15.75" customHeight="1" x14ac:dyDescent="0.25">
      <c r="B391" s="1014" t="s">
        <v>320</v>
      </c>
      <c r="C391" s="1014" t="s">
        <v>321</v>
      </c>
      <c r="D391" s="1015" t="str">
        <f t="shared" si="65"/>
        <v>Свердловская областьИвдель</v>
      </c>
      <c r="E391" s="1016">
        <v>245</v>
      </c>
      <c r="F391" s="1017">
        <v>-7.6</v>
      </c>
      <c r="G391" s="1017">
        <v>-39</v>
      </c>
      <c r="H391" s="1019">
        <v>2.8</v>
      </c>
      <c r="I391" s="1020">
        <f>E391*(списки!$C$56-F391)</f>
        <v>6762</v>
      </c>
      <c r="J391" s="1021" t="str">
        <f t="shared" si="55"/>
        <v>6000-7000</v>
      </c>
      <c r="K391" s="1022">
        <v>17.3</v>
      </c>
      <c r="L391" s="1022"/>
      <c r="M391" s="1023">
        <f t="shared" si="56"/>
        <v>0</v>
      </c>
      <c r="N391" s="1024">
        <f>M391*(списки!$C$56-K391)</f>
        <v>0</v>
      </c>
      <c r="O391" s="1025">
        <v>13.7</v>
      </c>
      <c r="P391" s="1025"/>
      <c r="Q391" s="1025">
        <f t="shared" si="57"/>
        <v>0</v>
      </c>
      <c r="R391" s="1025">
        <f>Q391*(списки!$C$56-O391)</f>
        <v>0</v>
      </c>
      <c r="S391" s="1026">
        <v>7.7</v>
      </c>
      <c r="T391" s="1026"/>
      <c r="U391" s="1026">
        <f t="shared" si="64"/>
        <v>16.5</v>
      </c>
      <c r="V391" s="1026">
        <f>U391*(списки!$C$56-S391)</f>
        <v>202.95000000000002</v>
      </c>
      <c r="W391" s="1027">
        <v>0.2</v>
      </c>
      <c r="X391" s="1027"/>
      <c r="Y391" s="1027">
        <f t="shared" si="58"/>
        <v>31</v>
      </c>
      <c r="Z391" s="1027">
        <f>Y391*(списки!$C$56-W391)</f>
        <v>613.80000000000007</v>
      </c>
      <c r="AA391" s="1028">
        <v>-9.5</v>
      </c>
      <c r="AB391" s="1028"/>
      <c r="AC391" s="1028">
        <f t="shared" si="59"/>
        <v>30</v>
      </c>
      <c r="AD391" s="1028">
        <f>AC391*(списки!$C$56-AA391)</f>
        <v>885</v>
      </c>
      <c r="AE391" s="1029">
        <v>-15.9</v>
      </c>
      <c r="AF391" s="1029"/>
      <c r="AG391" s="1029">
        <v>31</v>
      </c>
      <c r="AH391" s="1029">
        <f>AG391*(списки!$C$56-AE391)</f>
        <v>1112.8999999999999</v>
      </c>
      <c r="AI391" s="1030">
        <v>-19.2</v>
      </c>
      <c r="AJ391" s="1030"/>
      <c r="AK391" s="1030">
        <v>31</v>
      </c>
      <c r="AL391" s="1030">
        <f>AK391*(списки!$C$56-AI391)</f>
        <v>1215.2</v>
      </c>
      <c r="AM391" s="1031">
        <v>-16.5</v>
      </c>
      <c r="AN391" s="1031"/>
      <c r="AO391" s="1031">
        <v>28</v>
      </c>
      <c r="AP391" s="1031">
        <f>AO391*(списки!$C$56-AM391)</f>
        <v>1022</v>
      </c>
      <c r="AQ391" s="1026">
        <v>-6.2</v>
      </c>
      <c r="AR391" s="1026"/>
      <c r="AS391" s="1026">
        <f t="shared" si="60"/>
        <v>31</v>
      </c>
      <c r="AT391" s="1026">
        <f>AS391*(списки!$C$56-AQ391)</f>
        <v>812.19999999999993</v>
      </c>
      <c r="AU391" s="1032">
        <v>1.2</v>
      </c>
      <c r="AV391" s="1032"/>
      <c r="AW391" s="1032">
        <f t="shared" si="61"/>
        <v>30</v>
      </c>
      <c r="AX391" s="1032">
        <f>AW391*(списки!$C$56-AU391)</f>
        <v>564</v>
      </c>
      <c r="AY391" s="1033">
        <v>8</v>
      </c>
      <c r="AZ391" s="1033"/>
      <c r="BA391" s="1033">
        <f t="shared" si="62"/>
        <v>16.5</v>
      </c>
      <c r="BB391" s="1033">
        <f>BA391*(списки!$C$56-AY391)</f>
        <v>198</v>
      </c>
      <c r="BC391" s="1034">
        <v>14.4</v>
      </c>
      <c r="BD391" s="1034"/>
      <c r="BE391" s="1034">
        <f t="shared" si="63"/>
        <v>0</v>
      </c>
      <c r="BF391" s="1035">
        <f>BE391*(списки!$C$56-BC391)</f>
        <v>0</v>
      </c>
      <c r="BG391" s="1424">
        <v>6452.2375000000011</v>
      </c>
      <c r="BH391" s="1424">
        <v>6416.9</v>
      </c>
    </row>
    <row r="392" spans="2:60" ht="15.75" customHeight="1" x14ac:dyDescent="0.25">
      <c r="B392" s="1038" t="s">
        <v>320</v>
      </c>
      <c r="C392" s="1038" t="s">
        <v>322</v>
      </c>
      <c r="D392" s="1015" t="str">
        <f t="shared" si="65"/>
        <v>Свердловская областьКаменск-Уральский</v>
      </c>
      <c r="E392" s="1016">
        <v>222</v>
      </c>
      <c r="F392" s="1017">
        <v>-6.9</v>
      </c>
      <c r="G392" s="1017">
        <v>-35</v>
      </c>
      <c r="H392" s="1019">
        <v>4.0999999999999996</v>
      </c>
      <c r="I392" s="1020">
        <f>E392*(списки!$C$56-F392)</f>
        <v>5971.7999999999993</v>
      </c>
      <c r="J392" s="1021" t="str">
        <f t="shared" si="55"/>
        <v>5000-6000</v>
      </c>
      <c r="K392" s="1022">
        <v>18.100000000000001</v>
      </c>
      <c r="L392" s="1022"/>
      <c r="M392" s="1023">
        <f t="shared" si="56"/>
        <v>0</v>
      </c>
      <c r="N392" s="1024">
        <f>M392*(списки!$C$56-K392)</f>
        <v>0</v>
      </c>
      <c r="O392" s="1025">
        <v>15.7</v>
      </c>
      <c r="P392" s="1025"/>
      <c r="Q392" s="1025">
        <f t="shared" si="57"/>
        <v>0</v>
      </c>
      <c r="R392" s="1025">
        <f>Q392*(списки!$C$56-O392)</f>
        <v>0</v>
      </c>
      <c r="S392" s="1026">
        <v>9.9</v>
      </c>
      <c r="T392" s="1026"/>
      <c r="U392" s="1026">
        <f t="shared" si="64"/>
        <v>5</v>
      </c>
      <c r="V392" s="1026">
        <f>U392*(списки!$C$56-S392)</f>
        <v>50.5</v>
      </c>
      <c r="W392" s="1027">
        <v>1.9</v>
      </c>
      <c r="X392" s="1027"/>
      <c r="Y392" s="1027">
        <f t="shared" si="58"/>
        <v>31</v>
      </c>
      <c r="Z392" s="1027">
        <f>Y392*(списки!$C$56-W392)</f>
        <v>561.1</v>
      </c>
      <c r="AA392" s="1028">
        <v>-6.5</v>
      </c>
      <c r="AB392" s="1028"/>
      <c r="AC392" s="1028">
        <f t="shared" si="59"/>
        <v>30</v>
      </c>
      <c r="AD392" s="1028">
        <f>AC392*(списки!$C$56-AA392)</f>
        <v>795</v>
      </c>
      <c r="AE392" s="1029">
        <v>-13.5</v>
      </c>
      <c r="AF392" s="1029"/>
      <c r="AG392" s="1029">
        <v>31</v>
      </c>
      <c r="AH392" s="1029">
        <f>AG392*(списки!$C$56-AE392)</f>
        <v>1038.5</v>
      </c>
      <c r="AI392" s="1030">
        <v>-16.2</v>
      </c>
      <c r="AJ392" s="1030"/>
      <c r="AK392" s="1030">
        <v>31</v>
      </c>
      <c r="AL392" s="1030">
        <f>AK392*(списки!$C$56-AI392)</f>
        <v>1122.2</v>
      </c>
      <c r="AM392" s="1031">
        <v>-14.7</v>
      </c>
      <c r="AN392" s="1031"/>
      <c r="AO392" s="1031">
        <v>28</v>
      </c>
      <c r="AP392" s="1031">
        <f>AO392*(списки!$C$56-AM392)</f>
        <v>971.60000000000014</v>
      </c>
      <c r="AQ392" s="1026">
        <v>-7.5</v>
      </c>
      <c r="AR392" s="1026"/>
      <c r="AS392" s="1026">
        <f t="shared" si="60"/>
        <v>31</v>
      </c>
      <c r="AT392" s="1026">
        <f>AS392*(списки!$C$56-AQ392)</f>
        <v>852.5</v>
      </c>
      <c r="AU392" s="1032">
        <v>3.5</v>
      </c>
      <c r="AV392" s="1032"/>
      <c r="AW392" s="1032">
        <f t="shared" si="61"/>
        <v>30</v>
      </c>
      <c r="AX392" s="1032">
        <f>AW392*(списки!$C$56-AU392)</f>
        <v>495</v>
      </c>
      <c r="AY392" s="1033">
        <v>11.2</v>
      </c>
      <c r="AZ392" s="1033"/>
      <c r="BA392" s="1033">
        <f t="shared" si="62"/>
        <v>5</v>
      </c>
      <c r="BB392" s="1033">
        <f>BA392*(списки!$C$56-AY392)</f>
        <v>44</v>
      </c>
      <c r="BC392" s="1034">
        <v>16.2</v>
      </c>
      <c r="BD392" s="1034"/>
      <c r="BE392" s="1034">
        <f t="shared" si="63"/>
        <v>0</v>
      </c>
      <c r="BF392" s="1035">
        <f>BE392*(списки!$C$56-BC392)</f>
        <v>0</v>
      </c>
      <c r="BG392" s="1424" t="e">
        <v>#N/A</v>
      </c>
      <c r="BH392" s="1424" t="e">
        <v>#N/A</v>
      </c>
    </row>
    <row r="393" spans="2:60" ht="15.75" customHeight="1" x14ac:dyDescent="0.25">
      <c r="B393" s="1014" t="s">
        <v>320</v>
      </c>
      <c r="C393" s="1014" t="s">
        <v>323</v>
      </c>
      <c r="D393" s="1015" t="str">
        <f t="shared" si="65"/>
        <v>Свердловская областьТуринск</v>
      </c>
      <c r="E393" s="1016">
        <v>226</v>
      </c>
      <c r="F393" s="1017">
        <v>-7.7</v>
      </c>
      <c r="G393" s="1017">
        <v>-35</v>
      </c>
      <c r="H393" s="1019">
        <f>H390</f>
        <v>4.0999999999999996</v>
      </c>
      <c r="I393" s="1020">
        <f>E393*(списки!$C$56-F393)</f>
        <v>6260.2</v>
      </c>
      <c r="J393" s="1021" t="str">
        <f t="shared" ref="J393:J456" si="66">CONCATENATE(ROUNDDOWN(I393/1000,0)*1000,"-",ROUNDUP(I393/1000,0)*1000)</f>
        <v>6000-7000</v>
      </c>
      <c r="K393" s="1022">
        <v>17.8</v>
      </c>
      <c r="L393" s="1022"/>
      <c r="M393" s="1023">
        <f t="shared" ref="M393:M456" si="67">MAX(0,E393-Q393-U393-Y393-AC393-AG393-AK393-AO393-AS393-AW393-BA393-BE393)</f>
        <v>0</v>
      </c>
      <c r="N393" s="1024">
        <f>M393*(списки!$C$56-K393)</f>
        <v>0</v>
      </c>
      <c r="O393" s="1025">
        <v>15</v>
      </c>
      <c r="P393" s="1025"/>
      <c r="Q393" s="1025">
        <f t="shared" ref="Q393:Q456" si="68">IF((E393-273)&gt;0,IF((E393-273)/2&gt;31,31,(E393-273)/2),0)</f>
        <v>0</v>
      </c>
      <c r="R393" s="1025">
        <f>Q393*(списки!$C$56-O393)</f>
        <v>0</v>
      </c>
      <c r="S393" s="1026">
        <v>9.5</v>
      </c>
      <c r="T393" s="1026"/>
      <c r="U393" s="1026">
        <f t="shared" si="64"/>
        <v>7</v>
      </c>
      <c r="V393" s="1026">
        <f>U393*(списки!$C$56-S393)</f>
        <v>73.5</v>
      </c>
      <c r="W393" s="1027">
        <v>0.9</v>
      </c>
      <c r="X393" s="1027"/>
      <c r="Y393" s="1027">
        <f t="shared" ref="Y393:Y456" si="69">IF((E393-151)&gt;0,IF((E393-151)/2&gt;31,31,(E393-151)/2),0)</f>
        <v>31</v>
      </c>
      <c r="Z393" s="1027">
        <f>Y393*(списки!$C$56-W393)</f>
        <v>592.1</v>
      </c>
      <c r="AA393" s="1028">
        <v>-7.7</v>
      </c>
      <c r="AB393" s="1028"/>
      <c r="AC393" s="1028">
        <f t="shared" ref="AC393:AC456" si="70">IF((E393-90)/2&gt;30,30,(E393-90)/2)</f>
        <v>30</v>
      </c>
      <c r="AD393" s="1028">
        <f>AC393*(списки!$C$56-AA393)</f>
        <v>831</v>
      </c>
      <c r="AE393" s="1029">
        <v>-14.8</v>
      </c>
      <c r="AF393" s="1029"/>
      <c r="AG393" s="1029">
        <v>31</v>
      </c>
      <c r="AH393" s="1029">
        <f>AG393*(списки!$C$56-AE393)</f>
        <v>1078.8</v>
      </c>
      <c r="AI393" s="1030">
        <v>-18</v>
      </c>
      <c r="AJ393" s="1030"/>
      <c r="AK393" s="1030">
        <v>31</v>
      </c>
      <c r="AL393" s="1030">
        <f>AK393*(списки!$C$56-AI393)</f>
        <v>1178</v>
      </c>
      <c r="AM393" s="1031">
        <v>-16.2</v>
      </c>
      <c r="AN393" s="1031"/>
      <c r="AO393" s="1031">
        <v>28</v>
      </c>
      <c r="AP393" s="1031">
        <f>AO393*(списки!$C$56-AM393)</f>
        <v>1013.6000000000001</v>
      </c>
      <c r="AQ393" s="1026">
        <v>-8.3000000000000007</v>
      </c>
      <c r="AR393" s="1026"/>
      <c r="AS393" s="1026">
        <f t="shared" ref="AS393:AS456" si="71">IF((E393-90)/2&gt;31,31,(E393-90)/2)</f>
        <v>31</v>
      </c>
      <c r="AT393" s="1026">
        <f>AS393*(списки!$C$56-AQ393)</f>
        <v>877.30000000000007</v>
      </c>
      <c r="AU393" s="1032">
        <v>3</v>
      </c>
      <c r="AV393" s="1032"/>
      <c r="AW393" s="1032">
        <f t="shared" ref="AW393:AW456" si="72">IF((E393-151)&gt;0,IF((E393-151)/2&gt;30,30,(E393-151)/2),0)</f>
        <v>30</v>
      </c>
      <c r="AX393" s="1032">
        <f>AW393*(списки!$C$56-AU393)</f>
        <v>510</v>
      </c>
      <c r="AY393" s="1033">
        <v>10.8</v>
      </c>
      <c r="AZ393" s="1033"/>
      <c r="BA393" s="1033">
        <f t="shared" ref="BA393:BA456" si="73">IF((E393-212)&gt;0,IF((E393-212)/2&gt;31,31,(E393-212)/2),0)</f>
        <v>7</v>
      </c>
      <c r="BB393" s="1033">
        <f>BA393*(списки!$C$56-AY393)</f>
        <v>64.399999999999991</v>
      </c>
      <c r="BC393" s="1034">
        <v>15.7</v>
      </c>
      <c r="BD393" s="1034"/>
      <c r="BE393" s="1034">
        <f t="shared" ref="BE393:BE456" si="74">IF((E393-273)&gt;0,IF((E393-273)/2&gt;30,30,(E393-273)/2),0)</f>
        <v>0</v>
      </c>
      <c r="BF393" s="1035">
        <f>BE393*(списки!$C$56-BC393)</f>
        <v>0</v>
      </c>
      <c r="BG393" s="1424">
        <v>5954.6732142857136</v>
      </c>
      <c r="BH393" s="1424">
        <v>5918.5369047619051</v>
      </c>
    </row>
    <row r="394" spans="2:60" ht="15.75" customHeight="1" x14ac:dyDescent="0.25">
      <c r="B394" s="1038" t="s">
        <v>320</v>
      </c>
      <c r="C394" s="1038" t="s">
        <v>697</v>
      </c>
      <c r="D394" s="1015" t="str">
        <f t="shared" si="65"/>
        <v>Свердловская областьШамары</v>
      </c>
      <c r="E394" s="1016">
        <v>235</v>
      </c>
      <c r="F394" s="1017">
        <v>-6.4</v>
      </c>
      <c r="G394" s="1017">
        <v>-35</v>
      </c>
      <c r="H394" s="1019">
        <v>4.0999999999999996</v>
      </c>
      <c r="I394" s="1020">
        <f>E394*(списки!$C$56-F394)</f>
        <v>6204</v>
      </c>
      <c r="J394" s="1021" t="str">
        <f t="shared" si="66"/>
        <v>6000-7000</v>
      </c>
      <c r="K394" s="1022">
        <v>17</v>
      </c>
      <c r="L394" s="1022"/>
      <c r="M394" s="1023">
        <f t="shared" si="67"/>
        <v>0</v>
      </c>
      <c r="N394" s="1024">
        <f>M394*(списки!$C$56-K394)</f>
        <v>0</v>
      </c>
      <c r="O394" s="1025">
        <v>14.5</v>
      </c>
      <c r="P394" s="1025"/>
      <c r="Q394" s="1025">
        <f t="shared" si="68"/>
        <v>0</v>
      </c>
      <c r="R394" s="1025">
        <f>Q394*(списки!$C$56-O394)</f>
        <v>0</v>
      </c>
      <c r="S394" s="1026">
        <v>8.6999999999999993</v>
      </c>
      <c r="T394" s="1026"/>
      <c r="U394" s="1026">
        <f t="shared" ref="U394:U457" si="75">IF((E394-212)&gt;0,IF((E394-212)/2&gt;30,30,(E394-212)/2),0)</f>
        <v>11.5</v>
      </c>
      <c r="V394" s="1026">
        <f>U394*(списки!$C$56-S394)</f>
        <v>129.95000000000002</v>
      </c>
      <c r="W394" s="1027">
        <v>0.9</v>
      </c>
      <c r="X394" s="1027"/>
      <c r="Y394" s="1027">
        <f t="shared" si="69"/>
        <v>31</v>
      </c>
      <c r="Z394" s="1027">
        <f>Y394*(списки!$C$56-W394)</f>
        <v>592.1</v>
      </c>
      <c r="AA394" s="1028">
        <v>-7</v>
      </c>
      <c r="AB394" s="1028"/>
      <c r="AC394" s="1028">
        <f t="shared" si="70"/>
        <v>30</v>
      </c>
      <c r="AD394" s="1028">
        <f>AC394*(списки!$C$56-AA394)</f>
        <v>810</v>
      </c>
      <c r="AE394" s="1029">
        <v>-13.6</v>
      </c>
      <c r="AF394" s="1029"/>
      <c r="AG394" s="1029">
        <v>31</v>
      </c>
      <c r="AH394" s="1029">
        <f>AG394*(списки!$C$56-AE394)</f>
        <v>1041.6000000000001</v>
      </c>
      <c r="AI394" s="1030">
        <v>-16.100000000000001</v>
      </c>
      <c r="AJ394" s="1030"/>
      <c r="AK394" s="1030">
        <v>31</v>
      </c>
      <c r="AL394" s="1030">
        <f>AK394*(списки!$C$56-AI394)</f>
        <v>1119.1000000000001</v>
      </c>
      <c r="AM394" s="1031">
        <v>-14.4</v>
      </c>
      <c r="AN394" s="1031"/>
      <c r="AO394" s="1031">
        <v>28</v>
      </c>
      <c r="AP394" s="1031">
        <f>AO394*(списки!$C$56-AM394)</f>
        <v>963.19999999999993</v>
      </c>
      <c r="AQ394" s="1026">
        <v>-7.4</v>
      </c>
      <c r="AR394" s="1026"/>
      <c r="AS394" s="1026">
        <f t="shared" si="71"/>
        <v>31</v>
      </c>
      <c r="AT394" s="1026">
        <f>AS394*(списки!$C$56-AQ394)</f>
        <v>849.4</v>
      </c>
      <c r="AU394" s="1032">
        <v>2.5</v>
      </c>
      <c r="AV394" s="1032"/>
      <c r="AW394" s="1032">
        <f t="shared" si="72"/>
        <v>30</v>
      </c>
      <c r="AX394" s="1032">
        <f>AW394*(списки!$C$56-AU394)</f>
        <v>525</v>
      </c>
      <c r="AY394" s="1033">
        <v>9.6</v>
      </c>
      <c r="AZ394" s="1033"/>
      <c r="BA394" s="1033">
        <f t="shared" si="73"/>
        <v>11.5</v>
      </c>
      <c r="BB394" s="1033">
        <f>BA394*(списки!$C$56-AY394)</f>
        <v>119.60000000000001</v>
      </c>
      <c r="BC394" s="1034">
        <v>14.9</v>
      </c>
      <c r="BD394" s="1034"/>
      <c r="BE394" s="1034">
        <f t="shared" si="74"/>
        <v>0</v>
      </c>
      <c r="BF394" s="1035">
        <f>BE394*(списки!$C$56-BC394)</f>
        <v>0</v>
      </c>
      <c r="BG394" s="1424">
        <v>5750.9017857142871</v>
      </c>
      <c r="BH394" s="1424">
        <v>5932.6875</v>
      </c>
    </row>
    <row r="395" spans="2:60" ht="15.75" customHeight="1" x14ac:dyDescent="0.25">
      <c r="B395" s="1014" t="s">
        <v>312</v>
      </c>
      <c r="C395" s="1014" t="s">
        <v>141</v>
      </c>
      <c r="D395" s="1015" t="str">
        <f t="shared" si="65"/>
        <v>Смоленская областьВязьма</v>
      </c>
      <c r="E395" s="1016">
        <v>217</v>
      </c>
      <c r="F395" s="1017">
        <v>-2.8</v>
      </c>
      <c r="G395" s="1017">
        <v>-27</v>
      </c>
      <c r="H395" s="1019">
        <v>4.0999999999999996</v>
      </c>
      <c r="I395" s="1020">
        <f>E395*(списки!$C$56-F395)</f>
        <v>4947.6000000000004</v>
      </c>
      <c r="J395" s="1021" t="str">
        <f t="shared" si="66"/>
        <v>4000-5000</v>
      </c>
      <c r="K395" s="1022">
        <v>16.600000000000001</v>
      </c>
      <c r="L395" s="1022"/>
      <c r="M395" s="1023">
        <f t="shared" si="67"/>
        <v>0</v>
      </c>
      <c r="N395" s="1024">
        <f>M395*(списки!$C$56-K395)</f>
        <v>0</v>
      </c>
      <c r="O395" s="1025">
        <v>15.4</v>
      </c>
      <c r="P395" s="1025"/>
      <c r="Q395" s="1025">
        <f t="shared" si="68"/>
        <v>0</v>
      </c>
      <c r="R395" s="1025">
        <f>Q395*(списки!$C$56-O395)</f>
        <v>0</v>
      </c>
      <c r="S395" s="1026">
        <v>10.199999999999999</v>
      </c>
      <c r="T395" s="1026"/>
      <c r="U395" s="1026">
        <f t="shared" si="75"/>
        <v>2.5</v>
      </c>
      <c r="V395" s="1026">
        <f>U395*(списки!$C$56-S395)</f>
        <v>24.5</v>
      </c>
      <c r="W395" s="1027">
        <v>4.0999999999999996</v>
      </c>
      <c r="X395" s="1027"/>
      <c r="Y395" s="1027">
        <f t="shared" si="69"/>
        <v>31</v>
      </c>
      <c r="Z395" s="1027">
        <f>Y395*(списки!$C$56-W395)</f>
        <v>492.90000000000003</v>
      </c>
      <c r="AA395" s="1028">
        <v>-1.9</v>
      </c>
      <c r="AB395" s="1028"/>
      <c r="AC395" s="1028">
        <f t="shared" si="70"/>
        <v>30</v>
      </c>
      <c r="AD395" s="1028">
        <f>AC395*(списки!$C$56-AA395)</f>
        <v>657</v>
      </c>
      <c r="AE395" s="1029">
        <v>-6.4</v>
      </c>
      <c r="AF395" s="1029"/>
      <c r="AG395" s="1029">
        <v>31</v>
      </c>
      <c r="AH395" s="1029">
        <f>AG395*(списки!$C$56-AE395)</f>
        <v>818.4</v>
      </c>
      <c r="AI395" s="1030">
        <v>-9.8000000000000007</v>
      </c>
      <c r="AJ395" s="1030"/>
      <c r="AK395" s="1030">
        <v>31</v>
      </c>
      <c r="AL395" s="1030">
        <f>AK395*(списки!$C$56-AI395)</f>
        <v>923.80000000000007</v>
      </c>
      <c r="AM395" s="1031">
        <v>-9</v>
      </c>
      <c r="AN395" s="1031"/>
      <c r="AO395" s="1031">
        <v>28</v>
      </c>
      <c r="AP395" s="1031">
        <f>AO395*(списки!$C$56-AM395)</f>
        <v>812</v>
      </c>
      <c r="AQ395" s="1026">
        <v>-4.3</v>
      </c>
      <c r="AR395" s="1026"/>
      <c r="AS395" s="1026">
        <f t="shared" si="71"/>
        <v>31</v>
      </c>
      <c r="AT395" s="1026">
        <f>AS395*(списки!$C$56-AQ395)</f>
        <v>753.30000000000007</v>
      </c>
      <c r="AU395" s="1032">
        <v>4.3</v>
      </c>
      <c r="AV395" s="1032"/>
      <c r="AW395" s="1032">
        <f t="shared" si="72"/>
        <v>30</v>
      </c>
      <c r="AX395" s="1032">
        <f>AW395*(списки!$C$56-AU395)</f>
        <v>471</v>
      </c>
      <c r="AY395" s="1033">
        <v>11.3</v>
      </c>
      <c r="AZ395" s="1033"/>
      <c r="BA395" s="1033">
        <f t="shared" si="73"/>
        <v>2.5</v>
      </c>
      <c r="BB395" s="1033">
        <f>BA395*(списки!$C$56-AY395)</f>
        <v>21.75</v>
      </c>
      <c r="BC395" s="1034">
        <v>15.4</v>
      </c>
      <c r="BD395" s="1034"/>
      <c r="BE395" s="1034">
        <f t="shared" si="74"/>
        <v>0</v>
      </c>
      <c r="BF395" s="1035">
        <f>BE395*(списки!$C$56-BC395)</f>
        <v>0</v>
      </c>
      <c r="BG395" s="1424">
        <v>4363.5410714285672</v>
      </c>
      <c r="BH395" s="1424">
        <v>4422.7125000000005</v>
      </c>
    </row>
    <row r="396" spans="2:60" ht="15.75" customHeight="1" x14ac:dyDescent="0.25">
      <c r="B396" s="1038" t="s">
        <v>312</v>
      </c>
      <c r="C396" s="1038" t="s">
        <v>313</v>
      </c>
      <c r="D396" s="1015" t="str">
        <f t="shared" si="65"/>
        <v>Смоленская областьСмоленск</v>
      </c>
      <c r="E396" s="1016">
        <v>209</v>
      </c>
      <c r="F396" s="1017">
        <v>-2</v>
      </c>
      <c r="G396" s="1017">
        <v>-25</v>
      </c>
      <c r="H396" s="1019">
        <v>3.9</v>
      </c>
      <c r="I396" s="1020">
        <f>E396*(списки!$C$56-F396)</f>
        <v>4598</v>
      </c>
      <c r="J396" s="1021" t="str">
        <f t="shared" si="66"/>
        <v>4000-5000</v>
      </c>
      <c r="K396" s="1022">
        <v>17.399999999999999</v>
      </c>
      <c r="L396" s="1022"/>
      <c r="M396" s="1023">
        <f t="shared" si="67"/>
        <v>0</v>
      </c>
      <c r="N396" s="1024">
        <f>M396*(списки!$C$56-K396)</f>
        <v>0</v>
      </c>
      <c r="O396" s="1025">
        <v>16</v>
      </c>
      <c r="P396" s="1025"/>
      <c r="Q396" s="1025">
        <f t="shared" si="68"/>
        <v>0</v>
      </c>
      <c r="R396" s="1025">
        <f>Q396*(списки!$C$56-O396)</f>
        <v>0</v>
      </c>
      <c r="S396" s="1026">
        <v>10.7</v>
      </c>
      <c r="T396" s="1026"/>
      <c r="U396" s="1026">
        <f t="shared" si="75"/>
        <v>0</v>
      </c>
      <c r="V396" s="1026">
        <f>U396*(списки!$C$56-S396)</f>
        <v>0</v>
      </c>
      <c r="W396" s="1027">
        <v>5</v>
      </c>
      <c r="X396" s="1027"/>
      <c r="Y396" s="1027">
        <f t="shared" si="69"/>
        <v>29</v>
      </c>
      <c r="Z396" s="1027">
        <f>Y396*(списки!$C$56-W396)</f>
        <v>435</v>
      </c>
      <c r="AA396" s="1028">
        <v>-0.8</v>
      </c>
      <c r="AB396" s="1028"/>
      <c r="AC396" s="1028">
        <f t="shared" si="70"/>
        <v>30</v>
      </c>
      <c r="AD396" s="1028">
        <f>AC396*(списки!$C$56-AA396)</f>
        <v>624</v>
      </c>
      <c r="AE396" s="1029">
        <v>-5.2</v>
      </c>
      <c r="AF396" s="1029"/>
      <c r="AG396" s="1029">
        <v>31</v>
      </c>
      <c r="AH396" s="1029">
        <f>AG396*(списки!$C$56-AE396)</f>
        <v>781.19999999999993</v>
      </c>
      <c r="AI396" s="1030">
        <v>-7.5</v>
      </c>
      <c r="AJ396" s="1030"/>
      <c r="AK396" s="1030">
        <v>31</v>
      </c>
      <c r="AL396" s="1030">
        <f>AK396*(списки!$C$56-AI396)</f>
        <v>852.5</v>
      </c>
      <c r="AM396" s="1031">
        <v>-6.9</v>
      </c>
      <c r="AN396" s="1031"/>
      <c r="AO396" s="1031">
        <v>28</v>
      </c>
      <c r="AP396" s="1031">
        <f>AO396*(списки!$C$56-AM396)</f>
        <v>753.19999999999993</v>
      </c>
      <c r="AQ396" s="1026">
        <v>-1.8</v>
      </c>
      <c r="AR396" s="1026"/>
      <c r="AS396" s="1026">
        <f t="shared" si="71"/>
        <v>31</v>
      </c>
      <c r="AT396" s="1026">
        <f>AS396*(списки!$C$56-AQ396)</f>
        <v>675.80000000000007</v>
      </c>
      <c r="AU396" s="1032">
        <v>5.9</v>
      </c>
      <c r="AV396" s="1032"/>
      <c r="AW396" s="1032">
        <f t="shared" si="72"/>
        <v>29</v>
      </c>
      <c r="AX396" s="1032">
        <f>AW396*(списки!$C$56-AU396)</f>
        <v>408.9</v>
      </c>
      <c r="AY396" s="1033">
        <v>12.4</v>
      </c>
      <c r="AZ396" s="1033"/>
      <c r="BA396" s="1033">
        <f t="shared" si="73"/>
        <v>0</v>
      </c>
      <c r="BB396" s="1033">
        <f>BA396*(списки!$C$56-AY396)</f>
        <v>0</v>
      </c>
      <c r="BC396" s="1034">
        <v>15.8</v>
      </c>
      <c r="BD396" s="1034"/>
      <c r="BE396" s="1034">
        <f t="shared" si="74"/>
        <v>0</v>
      </c>
      <c r="BF396" s="1035">
        <f>BE396*(списки!$C$56-BC396)</f>
        <v>0</v>
      </c>
      <c r="BG396" s="1424">
        <v>4064.635714285715</v>
      </c>
      <c r="BH396" s="1424">
        <v>4369.7500000000018</v>
      </c>
    </row>
    <row r="397" spans="2:60" ht="15.75" customHeight="1" x14ac:dyDescent="0.25">
      <c r="B397" s="1014" t="s">
        <v>314</v>
      </c>
      <c r="C397" s="1014" t="s">
        <v>315</v>
      </c>
      <c r="D397" s="1015" t="str">
        <f t="shared" ref="D397:D460" si="76">CONCATENATE(B397,C397)</f>
        <v>Ставропольский крайАрзгир</v>
      </c>
      <c r="E397" s="1016">
        <v>163</v>
      </c>
      <c r="F397" s="1017">
        <v>0.1</v>
      </c>
      <c r="G397" s="1017">
        <v>-22</v>
      </c>
      <c r="H397" s="1019">
        <v>4.5999999999999996</v>
      </c>
      <c r="I397" s="1020">
        <f>E397*(списки!$C$56-F397)</f>
        <v>3243.7</v>
      </c>
      <c r="J397" s="1021" t="str">
        <f t="shared" si="66"/>
        <v>3000-4000</v>
      </c>
      <c r="K397" s="1022">
        <v>25</v>
      </c>
      <c r="L397" s="1022"/>
      <c r="M397" s="1023">
        <f t="shared" si="67"/>
        <v>0</v>
      </c>
      <c r="N397" s="1024">
        <f>M397*(списки!$C$56-K397)</f>
        <v>0</v>
      </c>
      <c r="O397" s="1025">
        <v>23.7</v>
      </c>
      <c r="P397" s="1025"/>
      <c r="Q397" s="1025">
        <f t="shared" si="68"/>
        <v>0</v>
      </c>
      <c r="R397" s="1025">
        <f>Q397*(списки!$C$56-O397)</f>
        <v>0</v>
      </c>
      <c r="S397" s="1026">
        <v>17.8</v>
      </c>
      <c r="T397" s="1026"/>
      <c r="U397" s="1026">
        <f t="shared" si="75"/>
        <v>0</v>
      </c>
      <c r="V397" s="1026">
        <f>U397*(списки!$C$56-S397)</f>
        <v>0</v>
      </c>
      <c r="W397" s="1027">
        <v>10.1</v>
      </c>
      <c r="X397" s="1027"/>
      <c r="Y397" s="1027">
        <f t="shared" si="69"/>
        <v>6</v>
      </c>
      <c r="Z397" s="1027">
        <f>Y397*(списки!$C$56-W397)</f>
        <v>59.400000000000006</v>
      </c>
      <c r="AA397" s="1028">
        <v>4</v>
      </c>
      <c r="AB397" s="1028"/>
      <c r="AC397" s="1028">
        <f t="shared" si="70"/>
        <v>30</v>
      </c>
      <c r="AD397" s="1028">
        <f>AC397*(списки!$C$56-AA397)</f>
        <v>480</v>
      </c>
      <c r="AE397" s="1029">
        <v>-1.3</v>
      </c>
      <c r="AF397" s="1029"/>
      <c r="AG397" s="1029">
        <v>31</v>
      </c>
      <c r="AH397" s="1029">
        <f>AG397*(списки!$C$56-AE397)</f>
        <v>660.30000000000007</v>
      </c>
      <c r="AI397" s="1030">
        <v>-4.9000000000000004</v>
      </c>
      <c r="AJ397" s="1030"/>
      <c r="AK397" s="1030">
        <v>31</v>
      </c>
      <c r="AL397" s="1030">
        <f>AK397*(списки!$C$56-AI397)</f>
        <v>771.9</v>
      </c>
      <c r="AM397" s="1031">
        <v>-3.6</v>
      </c>
      <c r="AN397" s="1031"/>
      <c r="AO397" s="1031">
        <v>28</v>
      </c>
      <c r="AP397" s="1031">
        <f>AO397*(списки!$C$56-AM397)</f>
        <v>660.80000000000007</v>
      </c>
      <c r="AQ397" s="1026">
        <v>1.6</v>
      </c>
      <c r="AR397" s="1026"/>
      <c r="AS397" s="1026">
        <f t="shared" si="71"/>
        <v>31</v>
      </c>
      <c r="AT397" s="1026">
        <f>AS397*(списки!$C$56-AQ397)</f>
        <v>570.4</v>
      </c>
      <c r="AU397" s="1032">
        <v>10.3</v>
      </c>
      <c r="AV397" s="1032"/>
      <c r="AW397" s="1032">
        <f t="shared" si="72"/>
        <v>6</v>
      </c>
      <c r="AX397" s="1032">
        <f>AW397*(списки!$C$56-AU397)</f>
        <v>58.199999999999996</v>
      </c>
      <c r="AY397" s="1033">
        <v>17.399999999999999</v>
      </c>
      <c r="AZ397" s="1033"/>
      <c r="BA397" s="1033">
        <f t="shared" si="73"/>
        <v>0</v>
      </c>
      <c r="BB397" s="1033">
        <f>BA397*(списки!$C$56-AY397)</f>
        <v>0</v>
      </c>
      <c r="BC397" s="1034">
        <v>22</v>
      </c>
      <c r="BD397" s="1034"/>
      <c r="BE397" s="1034">
        <f t="shared" si="74"/>
        <v>0</v>
      </c>
      <c r="BF397" s="1035">
        <f>BE397*(списки!$C$56-BC397)</f>
        <v>0</v>
      </c>
      <c r="BG397" s="1424" t="e">
        <v>#N/A</v>
      </c>
      <c r="BH397" s="1424" t="e">
        <v>#N/A</v>
      </c>
    </row>
    <row r="398" spans="2:60" ht="15.75" customHeight="1" x14ac:dyDescent="0.25">
      <c r="B398" s="1038" t="s">
        <v>314</v>
      </c>
      <c r="C398" s="1038" t="s">
        <v>316</v>
      </c>
      <c r="D398" s="1015" t="str">
        <f t="shared" si="76"/>
        <v>Ставропольский крайКисловодск</v>
      </c>
      <c r="E398" s="1016">
        <v>179</v>
      </c>
      <c r="F398" s="1017">
        <v>0.4</v>
      </c>
      <c r="G398" s="1017">
        <v>-16</v>
      </c>
      <c r="H398" s="1019">
        <f>H397</f>
        <v>4.5999999999999996</v>
      </c>
      <c r="I398" s="1020">
        <f>E398*(списки!$C$56-F398)</f>
        <v>3508.4</v>
      </c>
      <c r="J398" s="1021" t="str">
        <f t="shared" si="66"/>
        <v>3000-4000</v>
      </c>
      <c r="K398" s="1022">
        <v>18.600000000000001</v>
      </c>
      <c r="L398" s="1022"/>
      <c r="M398" s="1023">
        <f t="shared" si="67"/>
        <v>0</v>
      </c>
      <c r="N398" s="1024">
        <f>M398*(списки!$C$56-K398)</f>
        <v>0</v>
      </c>
      <c r="O398" s="1025">
        <v>18.2</v>
      </c>
      <c r="P398" s="1025"/>
      <c r="Q398" s="1025">
        <f t="shared" si="68"/>
        <v>0</v>
      </c>
      <c r="R398" s="1025">
        <f>Q398*(списки!$C$56-O398)</f>
        <v>0</v>
      </c>
      <c r="S398" s="1026">
        <v>13.9</v>
      </c>
      <c r="T398" s="1026"/>
      <c r="U398" s="1026">
        <f t="shared" si="75"/>
        <v>0</v>
      </c>
      <c r="V398" s="1026">
        <f>U398*(списки!$C$56-S398)</f>
        <v>0</v>
      </c>
      <c r="W398" s="1027">
        <v>8.3000000000000007</v>
      </c>
      <c r="X398" s="1027"/>
      <c r="Y398" s="1027">
        <f t="shared" si="69"/>
        <v>14</v>
      </c>
      <c r="Z398" s="1027">
        <f>Y398*(списки!$C$56-W398)</f>
        <v>163.79999999999998</v>
      </c>
      <c r="AA398" s="1028">
        <v>3.2</v>
      </c>
      <c r="AB398" s="1028"/>
      <c r="AC398" s="1028">
        <f t="shared" si="70"/>
        <v>30</v>
      </c>
      <c r="AD398" s="1028">
        <f>AC398*(списки!$C$56-AA398)</f>
        <v>504</v>
      </c>
      <c r="AE398" s="1029">
        <v>-1.1000000000000001</v>
      </c>
      <c r="AF398" s="1029"/>
      <c r="AG398" s="1029">
        <v>31</v>
      </c>
      <c r="AH398" s="1029">
        <f>AG398*(списки!$C$56-AE398)</f>
        <v>654.1</v>
      </c>
      <c r="AI398" s="1030">
        <v>-3.3</v>
      </c>
      <c r="AJ398" s="1030"/>
      <c r="AK398" s="1030">
        <v>31</v>
      </c>
      <c r="AL398" s="1030">
        <f>AK398*(списки!$C$56-AI398)</f>
        <v>722.30000000000007</v>
      </c>
      <c r="AM398" s="1031">
        <v>-2.4</v>
      </c>
      <c r="AN398" s="1031"/>
      <c r="AO398" s="1031">
        <v>28</v>
      </c>
      <c r="AP398" s="1031">
        <f>AO398*(списки!$C$56-AM398)</f>
        <v>627.19999999999993</v>
      </c>
      <c r="AQ398" s="1026">
        <v>1.5</v>
      </c>
      <c r="AR398" s="1026"/>
      <c r="AS398" s="1026">
        <f t="shared" si="71"/>
        <v>31</v>
      </c>
      <c r="AT398" s="1026">
        <f>AS398*(списки!$C$56-AQ398)</f>
        <v>573.5</v>
      </c>
      <c r="AU398" s="1032">
        <v>8</v>
      </c>
      <c r="AV398" s="1032"/>
      <c r="AW398" s="1032">
        <f t="shared" si="72"/>
        <v>14</v>
      </c>
      <c r="AX398" s="1032">
        <f>AW398*(списки!$C$56-AU398)</f>
        <v>168</v>
      </c>
      <c r="AY398" s="1033">
        <v>13</v>
      </c>
      <c r="AZ398" s="1033"/>
      <c r="BA398" s="1033">
        <f t="shared" si="73"/>
        <v>0</v>
      </c>
      <c r="BB398" s="1033">
        <f>BA398*(списки!$C$56-AY398)</f>
        <v>0</v>
      </c>
      <c r="BC398" s="1034">
        <v>16.2</v>
      </c>
      <c r="BD398" s="1034"/>
      <c r="BE398" s="1034">
        <f t="shared" si="74"/>
        <v>0</v>
      </c>
      <c r="BF398" s="1035">
        <f>BE398*(списки!$C$56-BC398)</f>
        <v>0</v>
      </c>
      <c r="BG398" s="1424" t="e">
        <v>#N/A</v>
      </c>
      <c r="BH398" s="1424" t="e">
        <v>#N/A</v>
      </c>
    </row>
    <row r="399" spans="2:60" ht="15.75" customHeight="1" x14ac:dyDescent="0.25">
      <c r="B399" s="1014" t="s">
        <v>314</v>
      </c>
      <c r="C399" s="1014" t="s">
        <v>317</v>
      </c>
      <c r="D399" s="1015" t="str">
        <f t="shared" si="76"/>
        <v>Ставропольский крайНевинномысск</v>
      </c>
      <c r="E399" s="1016">
        <v>168</v>
      </c>
      <c r="F399" s="1017">
        <v>0.1</v>
      </c>
      <c r="G399" s="1017">
        <v>-18</v>
      </c>
      <c r="H399" s="1019">
        <f>H398</f>
        <v>4.5999999999999996</v>
      </c>
      <c r="I399" s="1020">
        <f>E399*(списки!$C$56-F399)</f>
        <v>3343.2</v>
      </c>
      <c r="J399" s="1021" t="str">
        <f t="shared" si="66"/>
        <v>3000-4000</v>
      </c>
      <c r="K399" s="1022">
        <v>22.1</v>
      </c>
      <c r="L399" s="1022"/>
      <c r="M399" s="1023">
        <f t="shared" si="67"/>
        <v>0</v>
      </c>
      <c r="N399" s="1024">
        <f>M399*(списки!$C$56-K399)</f>
        <v>0</v>
      </c>
      <c r="O399" s="1025">
        <v>21.5</v>
      </c>
      <c r="P399" s="1025"/>
      <c r="Q399" s="1025">
        <f t="shared" si="68"/>
        <v>0</v>
      </c>
      <c r="R399" s="1025">
        <f>Q399*(списки!$C$56-O399)</f>
        <v>0</v>
      </c>
      <c r="S399" s="1026">
        <v>16.399999999999999</v>
      </c>
      <c r="T399" s="1026"/>
      <c r="U399" s="1026">
        <f t="shared" si="75"/>
        <v>0</v>
      </c>
      <c r="V399" s="1026">
        <f>U399*(списки!$C$56-S399)</f>
        <v>0</v>
      </c>
      <c r="W399" s="1027">
        <v>9.8000000000000007</v>
      </c>
      <c r="X399" s="1027"/>
      <c r="Y399" s="1027">
        <f t="shared" si="69"/>
        <v>8.5</v>
      </c>
      <c r="Z399" s="1027">
        <f>Y399*(списки!$C$56-W399)</f>
        <v>86.699999999999989</v>
      </c>
      <c r="AA399" s="1028">
        <v>3.9</v>
      </c>
      <c r="AB399" s="1028"/>
      <c r="AC399" s="1028">
        <f t="shared" si="70"/>
        <v>30</v>
      </c>
      <c r="AD399" s="1028">
        <f>AC399*(списки!$C$56-AA399)</f>
        <v>483.00000000000006</v>
      </c>
      <c r="AE399" s="1029">
        <v>-1.5</v>
      </c>
      <c r="AF399" s="1029"/>
      <c r="AG399" s="1029">
        <v>31</v>
      </c>
      <c r="AH399" s="1029">
        <f>AG399*(списки!$C$56-AE399)</f>
        <v>666.5</v>
      </c>
      <c r="AI399" s="1030">
        <v>-4.5</v>
      </c>
      <c r="AJ399" s="1030"/>
      <c r="AK399" s="1030">
        <v>31</v>
      </c>
      <c r="AL399" s="1030">
        <f>AK399*(списки!$C$56-AI399)</f>
        <v>759.5</v>
      </c>
      <c r="AM399" s="1031">
        <v>-3.3</v>
      </c>
      <c r="AN399" s="1031"/>
      <c r="AO399" s="1031">
        <v>28</v>
      </c>
      <c r="AP399" s="1031">
        <f>AO399*(списки!$C$56-AM399)</f>
        <v>652.4</v>
      </c>
      <c r="AQ399" s="1026">
        <v>1.8</v>
      </c>
      <c r="AR399" s="1026"/>
      <c r="AS399" s="1026">
        <f t="shared" si="71"/>
        <v>31</v>
      </c>
      <c r="AT399" s="1026">
        <f>AS399*(списки!$C$56-AQ399)</f>
        <v>564.19999999999993</v>
      </c>
      <c r="AU399" s="1032">
        <v>9.6999999999999993</v>
      </c>
      <c r="AV399" s="1032"/>
      <c r="AW399" s="1032">
        <f t="shared" si="72"/>
        <v>8.5</v>
      </c>
      <c r="AX399" s="1032">
        <f>AW399*(списки!$C$56-AU399)</f>
        <v>87.550000000000011</v>
      </c>
      <c r="AY399" s="1033">
        <v>15.6</v>
      </c>
      <c r="AZ399" s="1033"/>
      <c r="BA399" s="1033">
        <f t="shared" si="73"/>
        <v>0</v>
      </c>
      <c r="BB399" s="1033">
        <f>BA399*(списки!$C$56-AY399)</f>
        <v>0</v>
      </c>
      <c r="BC399" s="1034">
        <v>19.399999999999999</v>
      </c>
      <c r="BD399" s="1034"/>
      <c r="BE399" s="1034">
        <f t="shared" si="74"/>
        <v>0</v>
      </c>
      <c r="BF399" s="1035">
        <f>BE399*(списки!$C$56-BC399)</f>
        <v>0</v>
      </c>
      <c r="BG399" s="1424">
        <v>3164.7696428571439</v>
      </c>
      <c r="BH399" s="1424">
        <v>2995.2500000000005</v>
      </c>
    </row>
    <row r="400" spans="2:60" ht="15.75" customHeight="1" x14ac:dyDescent="0.25">
      <c r="B400" s="1038" t="s">
        <v>314</v>
      </c>
      <c r="C400" s="1038" t="s">
        <v>318</v>
      </c>
      <c r="D400" s="1015" t="str">
        <f t="shared" si="76"/>
        <v>Ставропольский крайПятигорск</v>
      </c>
      <c r="E400" s="1016">
        <v>175</v>
      </c>
      <c r="F400" s="1017">
        <v>0.2</v>
      </c>
      <c r="G400" s="1017">
        <v>-20</v>
      </c>
      <c r="H400" s="1019">
        <v>6.3</v>
      </c>
      <c r="I400" s="1020">
        <f>E400*(списки!$C$56-F400)</f>
        <v>3465</v>
      </c>
      <c r="J400" s="1021" t="str">
        <f t="shared" si="66"/>
        <v>3000-4000</v>
      </c>
      <c r="K400" s="1022">
        <v>21.1</v>
      </c>
      <c r="L400" s="1022"/>
      <c r="M400" s="1023">
        <f t="shared" si="67"/>
        <v>0</v>
      </c>
      <c r="N400" s="1024">
        <f>M400*(списки!$C$56-K400)</f>
        <v>0</v>
      </c>
      <c r="O400" s="1025">
        <v>20.5</v>
      </c>
      <c r="P400" s="1025"/>
      <c r="Q400" s="1025">
        <f t="shared" si="68"/>
        <v>0</v>
      </c>
      <c r="R400" s="1025">
        <f>Q400*(списки!$C$56-O400)</f>
        <v>0</v>
      </c>
      <c r="S400" s="1026">
        <v>15.5</v>
      </c>
      <c r="T400" s="1026"/>
      <c r="U400" s="1026">
        <f t="shared" si="75"/>
        <v>0</v>
      </c>
      <c r="V400" s="1026">
        <f>U400*(списки!$C$56-S400)</f>
        <v>0</v>
      </c>
      <c r="W400" s="1027">
        <v>8.9</v>
      </c>
      <c r="X400" s="1027"/>
      <c r="Y400" s="1027">
        <f t="shared" si="69"/>
        <v>12</v>
      </c>
      <c r="Z400" s="1027">
        <f>Y400*(списки!$C$56-W400)</f>
        <v>133.19999999999999</v>
      </c>
      <c r="AA400" s="1028">
        <v>3.2</v>
      </c>
      <c r="AB400" s="1028"/>
      <c r="AC400" s="1028">
        <f t="shared" si="70"/>
        <v>30</v>
      </c>
      <c r="AD400" s="1028">
        <f>AC400*(списки!$C$56-AA400)</f>
        <v>504</v>
      </c>
      <c r="AE400" s="1029">
        <v>-1.4</v>
      </c>
      <c r="AF400" s="1029"/>
      <c r="AG400" s="1029">
        <v>31</v>
      </c>
      <c r="AH400" s="1029">
        <f>AG400*(списки!$C$56-AE400)</f>
        <v>663.4</v>
      </c>
      <c r="AI400" s="1030">
        <v>-4.2</v>
      </c>
      <c r="AJ400" s="1030"/>
      <c r="AK400" s="1030">
        <v>31</v>
      </c>
      <c r="AL400" s="1030">
        <f>AK400*(списки!$C$56-AI400)</f>
        <v>750.19999999999993</v>
      </c>
      <c r="AM400" s="1031">
        <v>-3</v>
      </c>
      <c r="AN400" s="1031"/>
      <c r="AO400" s="1031">
        <v>28</v>
      </c>
      <c r="AP400" s="1031">
        <f>AO400*(списки!$C$56-AM400)</f>
        <v>644</v>
      </c>
      <c r="AQ400" s="1026">
        <v>1.1000000000000001</v>
      </c>
      <c r="AR400" s="1026"/>
      <c r="AS400" s="1026">
        <f t="shared" si="71"/>
        <v>31</v>
      </c>
      <c r="AT400" s="1026">
        <f>AS400*(списки!$C$56-AQ400)</f>
        <v>585.9</v>
      </c>
      <c r="AU400" s="1032">
        <v>8.9</v>
      </c>
      <c r="AV400" s="1032"/>
      <c r="AW400" s="1032">
        <f t="shared" si="72"/>
        <v>12</v>
      </c>
      <c r="AX400" s="1032">
        <f>AW400*(списки!$C$56-AU400)</f>
        <v>133.19999999999999</v>
      </c>
      <c r="AY400" s="1033">
        <v>14.6</v>
      </c>
      <c r="AZ400" s="1033"/>
      <c r="BA400" s="1033">
        <f t="shared" si="73"/>
        <v>0</v>
      </c>
      <c r="BB400" s="1033">
        <f>BA400*(списки!$C$56-AY400)</f>
        <v>0</v>
      </c>
      <c r="BC400" s="1034">
        <v>18.3</v>
      </c>
      <c r="BD400" s="1034"/>
      <c r="BE400" s="1034">
        <f t="shared" si="74"/>
        <v>0</v>
      </c>
      <c r="BF400" s="1035">
        <f>BE400*(списки!$C$56-BC400)</f>
        <v>0</v>
      </c>
      <c r="BG400" s="1424">
        <v>3124.6696428571418</v>
      </c>
      <c r="BH400" s="1424">
        <v>2965.4446428571437</v>
      </c>
    </row>
    <row r="401" spans="2:60" ht="15.75" customHeight="1" x14ac:dyDescent="0.25">
      <c r="B401" s="1014" t="s">
        <v>314</v>
      </c>
      <c r="C401" s="1014" t="s">
        <v>319</v>
      </c>
      <c r="D401" s="1015" t="str">
        <f t="shared" si="76"/>
        <v>Ставропольский крайСтаврополь</v>
      </c>
      <c r="E401" s="1016">
        <v>168</v>
      </c>
      <c r="F401" s="1017">
        <v>0.5</v>
      </c>
      <c r="G401" s="1017">
        <v>-18</v>
      </c>
      <c r="H401" s="1019">
        <v>7.4</v>
      </c>
      <c r="I401" s="1020">
        <f>E401*(списки!$C$56-F401)</f>
        <v>3276</v>
      </c>
      <c r="J401" s="1021" t="str">
        <f t="shared" si="66"/>
        <v>3000-4000</v>
      </c>
      <c r="K401" s="1022">
        <v>22.1</v>
      </c>
      <c r="L401" s="1022"/>
      <c r="M401" s="1023">
        <f t="shared" si="67"/>
        <v>0</v>
      </c>
      <c r="N401" s="1024">
        <f>M401*(списки!$C$56-K401)</f>
        <v>0</v>
      </c>
      <c r="O401" s="1025">
        <v>21.4</v>
      </c>
      <c r="P401" s="1025"/>
      <c r="Q401" s="1025">
        <f t="shared" si="68"/>
        <v>0</v>
      </c>
      <c r="R401" s="1025">
        <f>Q401*(списки!$C$56-O401)</f>
        <v>0</v>
      </c>
      <c r="S401" s="1026">
        <v>16.2</v>
      </c>
      <c r="T401" s="1026"/>
      <c r="U401" s="1026">
        <f t="shared" si="75"/>
        <v>0</v>
      </c>
      <c r="V401" s="1026">
        <f>U401*(списки!$C$56-S401)</f>
        <v>0</v>
      </c>
      <c r="W401" s="1027">
        <v>9.8000000000000007</v>
      </c>
      <c r="X401" s="1027"/>
      <c r="Y401" s="1027">
        <f t="shared" si="69"/>
        <v>8.5</v>
      </c>
      <c r="Z401" s="1027">
        <f>Y401*(списки!$C$56-W401)</f>
        <v>86.699999999999989</v>
      </c>
      <c r="AA401" s="1028">
        <v>3.7</v>
      </c>
      <c r="AB401" s="1028"/>
      <c r="AC401" s="1028">
        <f t="shared" si="70"/>
        <v>30</v>
      </c>
      <c r="AD401" s="1028">
        <f>AC401*(списки!$C$56-AA401)</f>
        <v>489</v>
      </c>
      <c r="AE401" s="1029">
        <v>-0.7</v>
      </c>
      <c r="AF401" s="1029"/>
      <c r="AG401" s="1029">
        <v>31</v>
      </c>
      <c r="AH401" s="1029">
        <f>AG401*(списки!$C$56-AE401)</f>
        <v>641.69999999999993</v>
      </c>
      <c r="AI401" s="1030">
        <v>-2.9</v>
      </c>
      <c r="AJ401" s="1030"/>
      <c r="AK401" s="1030">
        <v>31</v>
      </c>
      <c r="AL401" s="1030">
        <f>AK401*(списки!$C$56-AI401)</f>
        <v>709.9</v>
      </c>
      <c r="AM401" s="1031">
        <v>-2.4</v>
      </c>
      <c r="AN401" s="1031"/>
      <c r="AO401" s="1031">
        <v>28</v>
      </c>
      <c r="AP401" s="1031">
        <f>AO401*(списки!$C$56-AM401)</f>
        <v>627.19999999999993</v>
      </c>
      <c r="AQ401" s="1026">
        <v>2.2000000000000002</v>
      </c>
      <c r="AR401" s="1026"/>
      <c r="AS401" s="1026">
        <f t="shared" si="71"/>
        <v>31</v>
      </c>
      <c r="AT401" s="1026">
        <f>AS401*(списки!$C$56-AQ401)</f>
        <v>551.80000000000007</v>
      </c>
      <c r="AU401" s="1032">
        <v>9.8000000000000007</v>
      </c>
      <c r="AV401" s="1032"/>
      <c r="AW401" s="1032">
        <f t="shared" si="72"/>
        <v>8.5</v>
      </c>
      <c r="AX401" s="1032">
        <f>AW401*(списки!$C$56-AU401)</f>
        <v>86.699999999999989</v>
      </c>
      <c r="AY401" s="1033">
        <v>15</v>
      </c>
      <c r="AZ401" s="1033"/>
      <c r="BA401" s="1033">
        <f t="shared" si="73"/>
        <v>0</v>
      </c>
      <c r="BB401" s="1033">
        <f>BA401*(списки!$C$56-AY401)</f>
        <v>0</v>
      </c>
      <c r="BC401" s="1034">
        <v>19</v>
      </c>
      <c r="BD401" s="1034"/>
      <c r="BE401" s="1034">
        <f t="shared" si="74"/>
        <v>0</v>
      </c>
      <c r="BF401" s="1035">
        <f>BE401*(списки!$C$56-BC401)</f>
        <v>0</v>
      </c>
      <c r="BG401" s="1424">
        <v>3218.8178571428566</v>
      </c>
      <c r="BH401" s="1424">
        <v>3011.8250000000007</v>
      </c>
    </row>
    <row r="402" spans="2:60" ht="15.75" customHeight="1" x14ac:dyDescent="0.25">
      <c r="B402" s="1038" t="s">
        <v>326</v>
      </c>
      <c r="C402" s="1038" t="s">
        <v>327</v>
      </c>
      <c r="D402" s="1015" t="str">
        <f t="shared" si="76"/>
        <v>Тамбовская областьТамбов</v>
      </c>
      <c r="E402" s="1016">
        <v>201</v>
      </c>
      <c r="F402" s="1017">
        <v>-3.7</v>
      </c>
      <c r="G402" s="1017">
        <v>-28</v>
      </c>
      <c r="H402" s="1019">
        <v>4.7</v>
      </c>
      <c r="I402" s="1020">
        <f>E402*(списки!$C$56-F402)</f>
        <v>4763.7</v>
      </c>
      <c r="J402" s="1021" t="str">
        <f t="shared" si="66"/>
        <v>4000-5000</v>
      </c>
      <c r="K402" s="1022">
        <v>19.8</v>
      </c>
      <c r="L402" s="1022"/>
      <c r="M402" s="1023">
        <f t="shared" si="67"/>
        <v>0</v>
      </c>
      <c r="N402" s="1024">
        <f>M402*(списки!$C$56-K402)</f>
        <v>0</v>
      </c>
      <c r="O402" s="1025">
        <v>18.600000000000001</v>
      </c>
      <c r="P402" s="1025"/>
      <c r="Q402" s="1025">
        <f t="shared" si="68"/>
        <v>0</v>
      </c>
      <c r="R402" s="1025">
        <f>Q402*(списки!$C$56-O402)</f>
        <v>0</v>
      </c>
      <c r="S402" s="1026">
        <v>12.5</v>
      </c>
      <c r="T402" s="1026"/>
      <c r="U402" s="1026">
        <f t="shared" si="75"/>
        <v>0</v>
      </c>
      <c r="V402" s="1026">
        <f>U402*(списки!$C$56-S402)</f>
        <v>0</v>
      </c>
      <c r="W402" s="1027">
        <v>5.2</v>
      </c>
      <c r="X402" s="1027"/>
      <c r="Y402" s="1027">
        <f t="shared" si="69"/>
        <v>25</v>
      </c>
      <c r="Z402" s="1027">
        <f>Y402*(списки!$C$56-W402)</f>
        <v>370</v>
      </c>
      <c r="AA402" s="1028">
        <v>-1.4</v>
      </c>
      <c r="AB402" s="1028"/>
      <c r="AC402" s="1028">
        <f t="shared" si="70"/>
        <v>30</v>
      </c>
      <c r="AD402" s="1028">
        <f>AC402*(списки!$C$56-AA402)</f>
        <v>642</v>
      </c>
      <c r="AE402" s="1029">
        <v>-7.3</v>
      </c>
      <c r="AF402" s="1029"/>
      <c r="AG402" s="1029">
        <v>31</v>
      </c>
      <c r="AH402" s="1029">
        <f>AG402*(списки!$C$56-AE402)</f>
        <v>846.30000000000007</v>
      </c>
      <c r="AI402" s="1030">
        <v>-10.9</v>
      </c>
      <c r="AJ402" s="1030"/>
      <c r="AK402" s="1030">
        <v>31</v>
      </c>
      <c r="AL402" s="1030">
        <f>AK402*(списки!$C$56-AI402)</f>
        <v>957.9</v>
      </c>
      <c r="AM402" s="1031">
        <v>-10.3</v>
      </c>
      <c r="AN402" s="1031"/>
      <c r="AO402" s="1031">
        <v>28</v>
      </c>
      <c r="AP402" s="1031">
        <f>AO402*(списки!$C$56-AM402)</f>
        <v>848.4</v>
      </c>
      <c r="AQ402" s="1026">
        <v>-4.5999999999999996</v>
      </c>
      <c r="AR402" s="1026"/>
      <c r="AS402" s="1026">
        <f t="shared" si="71"/>
        <v>31</v>
      </c>
      <c r="AT402" s="1026">
        <f>AS402*(списки!$C$56-AQ402)</f>
        <v>762.6</v>
      </c>
      <c r="AU402" s="1032">
        <v>6</v>
      </c>
      <c r="AV402" s="1032"/>
      <c r="AW402" s="1032">
        <f t="shared" si="72"/>
        <v>25</v>
      </c>
      <c r="AX402" s="1032">
        <f>AW402*(списки!$C$56-AU402)</f>
        <v>350</v>
      </c>
      <c r="AY402" s="1033">
        <v>14.1</v>
      </c>
      <c r="AZ402" s="1033"/>
      <c r="BA402" s="1033">
        <f t="shared" si="73"/>
        <v>0</v>
      </c>
      <c r="BB402" s="1033">
        <f>BA402*(списки!$C$56-AY402)</f>
        <v>0</v>
      </c>
      <c r="BC402" s="1034">
        <v>18.100000000000001</v>
      </c>
      <c r="BD402" s="1034"/>
      <c r="BE402" s="1034">
        <f t="shared" si="74"/>
        <v>0</v>
      </c>
      <c r="BF402" s="1035">
        <f>BE402*(списки!$C$56-BC402)</f>
        <v>0</v>
      </c>
      <c r="BG402" s="1424">
        <v>4074.1267857142848</v>
      </c>
      <c r="BH402" s="1424">
        <v>4236.7964285714279</v>
      </c>
    </row>
    <row r="403" spans="2:60" ht="15.75" customHeight="1" x14ac:dyDescent="0.25">
      <c r="B403" s="1014" t="s">
        <v>392</v>
      </c>
      <c r="C403" s="1014" t="s">
        <v>393</v>
      </c>
      <c r="D403" s="1015" t="str">
        <f t="shared" si="76"/>
        <v>Тверская областьБежецк</v>
      </c>
      <c r="E403" s="1016">
        <v>222</v>
      </c>
      <c r="F403" s="1017">
        <v>-3.4</v>
      </c>
      <c r="G403" s="1017">
        <v>-31</v>
      </c>
      <c r="H403" s="1019">
        <v>5</v>
      </c>
      <c r="I403" s="1020">
        <f>E403*(списки!$C$56-F403)</f>
        <v>5194.7999999999993</v>
      </c>
      <c r="J403" s="1021" t="str">
        <f t="shared" si="66"/>
        <v>5000-6000</v>
      </c>
      <c r="K403" s="1022">
        <v>17.100000000000001</v>
      </c>
      <c r="L403" s="1022"/>
      <c r="M403" s="1023">
        <f t="shared" si="67"/>
        <v>0</v>
      </c>
      <c r="N403" s="1024">
        <f>M403*(списки!$C$56-K403)</f>
        <v>0</v>
      </c>
      <c r="O403" s="1025">
        <v>15.4</v>
      </c>
      <c r="P403" s="1025"/>
      <c r="Q403" s="1025">
        <f t="shared" si="68"/>
        <v>0</v>
      </c>
      <c r="R403" s="1025">
        <f>Q403*(списки!$C$56-O403)</f>
        <v>0</v>
      </c>
      <c r="S403" s="1026">
        <v>9.8000000000000007</v>
      </c>
      <c r="T403" s="1026"/>
      <c r="U403" s="1026">
        <f t="shared" si="75"/>
        <v>5</v>
      </c>
      <c r="V403" s="1026">
        <f>U403*(списки!$C$56-S403)</f>
        <v>51</v>
      </c>
      <c r="W403" s="1027">
        <v>3.6</v>
      </c>
      <c r="X403" s="1027"/>
      <c r="Y403" s="1027">
        <f t="shared" si="69"/>
        <v>31</v>
      </c>
      <c r="Z403" s="1027">
        <f>Y403*(списки!$C$56-W403)</f>
        <v>508.4</v>
      </c>
      <c r="AA403" s="1028">
        <v>-2.2999999999999998</v>
      </c>
      <c r="AB403" s="1028"/>
      <c r="AC403" s="1028">
        <f t="shared" si="70"/>
        <v>30</v>
      </c>
      <c r="AD403" s="1028">
        <f>AC403*(списки!$C$56-AA403)</f>
        <v>669</v>
      </c>
      <c r="AE403" s="1029">
        <v>-7.7</v>
      </c>
      <c r="AF403" s="1029"/>
      <c r="AG403" s="1029">
        <v>31</v>
      </c>
      <c r="AH403" s="1029">
        <f>AG403*(списки!$C$56-AE403)</f>
        <v>858.69999999999993</v>
      </c>
      <c r="AI403" s="1030">
        <v>-10.7</v>
      </c>
      <c r="AJ403" s="1030"/>
      <c r="AK403" s="1030">
        <v>31</v>
      </c>
      <c r="AL403" s="1030">
        <f>AK403*(списки!$C$56-AI403)</f>
        <v>951.69999999999993</v>
      </c>
      <c r="AM403" s="1031">
        <v>-10.199999999999999</v>
      </c>
      <c r="AN403" s="1031"/>
      <c r="AO403" s="1031">
        <v>28</v>
      </c>
      <c r="AP403" s="1031">
        <f>AO403*(списки!$C$56-AM403)</f>
        <v>845.6</v>
      </c>
      <c r="AQ403" s="1026">
        <v>-5.2</v>
      </c>
      <c r="AR403" s="1026"/>
      <c r="AS403" s="1026">
        <f t="shared" si="71"/>
        <v>31</v>
      </c>
      <c r="AT403" s="1026">
        <f>AS403*(списки!$C$56-AQ403)</f>
        <v>781.19999999999993</v>
      </c>
      <c r="AU403" s="1032">
        <v>3.2</v>
      </c>
      <c r="AV403" s="1032"/>
      <c r="AW403" s="1032">
        <f t="shared" si="72"/>
        <v>30</v>
      </c>
      <c r="AX403" s="1032">
        <f>AW403*(списки!$C$56-AU403)</f>
        <v>504</v>
      </c>
      <c r="AY403" s="1033">
        <v>10.8</v>
      </c>
      <c r="AZ403" s="1033"/>
      <c r="BA403" s="1033">
        <f t="shared" si="73"/>
        <v>5</v>
      </c>
      <c r="BB403" s="1033">
        <f>BA403*(списки!$C$56-AY403)</f>
        <v>46</v>
      </c>
      <c r="BC403" s="1034">
        <v>15.2</v>
      </c>
      <c r="BD403" s="1034"/>
      <c r="BE403" s="1034">
        <f t="shared" si="74"/>
        <v>0</v>
      </c>
      <c r="BF403" s="1035">
        <f>BE403*(списки!$C$56-BC403)</f>
        <v>0</v>
      </c>
      <c r="BG403" s="1424" t="e">
        <v>#N/A</v>
      </c>
      <c r="BH403" s="1424" t="e">
        <v>#N/A</v>
      </c>
    </row>
    <row r="404" spans="2:60" ht="15.75" customHeight="1" x14ac:dyDescent="0.25">
      <c r="B404" s="1038" t="s">
        <v>392</v>
      </c>
      <c r="C404" s="1038" t="s">
        <v>394</v>
      </c>
      <c r="D404" s="1015" t="str">
        <f t="shared" si="76"/>
        <v>Тверская областьРжев</v>
      </c>
      <c r="E404" s="1016">
        <v>218</v>
      </c>
      <c r="F404" s="1017">
        <v>-3</v>
      </c>
      <c r="G404" s="1017">
        <v>-29</v>
      </c>
      <c r="H404" s="1019">
        <f>H403</f>
        <v>5</v>
      </c>
      <c r="I404" s="1020">
        <f>E404*(списки!$C$56-F404)</f>
        <v>5014</v>
      </c>
      <c r="J404" s="1021" t="str">
        <f t="shared" si="66"/>
        <v>5000-6000</v>
      </c>
      <c r="K404" s="1022">
        <v>17.100000000000001</v>
      </c>
      <c r="L404" s="1022"/>
      <c r="M404" s="1023">
        <f t="shared" si="67"/>
        <v>0</v>
      </c>
      <c r="N404" s="1024">
        <f>M404*(списки!$C$56-K404)</f>
        <v>0</v>
      </c>
      <c r="O404" s="1025">
        <v>15.8</v>
      </c>
      <c r="P404" s="1025"/>
      <c r="Q404" s="1025">
        <f t="shared" si="68"/>
        <v>0</v>
      </c>
      <c r="R404" s="1025">
        <f>Q404*(списки!$C$56-O404)</f>
        <v>0</v>
      </c>
      <c r="S404" s="1026">
        <v>10.3</v>
      </c>
      <c r="T404" s="1026"/>
      <c r="U404" s="1026">
        <f t="shared" si="75"/>
        <v>3</v>
      </c>
      <c r="V404" s="1026">
        <f>U404*(списки!$C$56-S404)</f>
        <v>29.099999999999998</v>
      </c>
      <c r="W404" s="1027">
        <v>4.0999999999999996</v>
      </c>
      <c r="X404" s="1027"/>
      <c r="Y404" s="1027">
        <f t="shared" si="69"/>
        <v>31</v>
      </c>
      <c r="Z404" s="1027">
        <f>Y404*(списки!$C$56-W404)</f>
        <v>492.90000000000003</v>
      </c>
      <c r="AA404" s="1028">
        <v>-1.4</v>
      </c>
      <c r="AB404" s="1028"/>
      <c r="AC404" s="1028">
        <f t="shared" si="70"/>
        <v>30</v>
      </c>
      <c r="AD404" s="1028">
        <f>AC404*(списки!$C$56-AA404)</f>
        <v>642</v>
      </c>
      <c r="AE404" s="1029">
        <v>-6.3</v>
      </c>
      <c r="AF404" s="1029"/>
      <c r="AG404" s="1029">
        <v>31</v>
      </c>
      <c r="AH404" s="1029">
        <f>AG404*(списки!$C$56-AE404)</f>
        <v>815.30000000000007</v>
      </c>
      <c r="AI404" s="1030">
        <v>-10</v>
      </c>
      <c r="AJ404" s="1030"/>
      <c r="AK404" s="1030">
        <v>31</v>
      </c>
      <c r="AL404" s="1030">
        <f>AK404*(списки!$C$56-AI404)</f>
        <v>930</v>
      </c>
      <c r="AM404" s="1031">
        <v>-8.9</v>
      </c>
      <c r="AN404" s="1031"/>
      <c r="AO404" s="1031">
        <v>28</v>
      </c>
      <c r="AP404" s="1031">
        <f>AO404*(списки!$C$56-AM404)</f>
        <v>809.19999999999993</v>
      </c>
      <c r="AQ404" s="1026">
        <v>-4.2</v>
      </c>
      <c r="AR404" s="1026"/>
      <c r="AS404" s="1026">
        <f t="shared" si="71"/>
        <v>31</v>
      </c>
      <c r="AT404" s="1026">
        <f>AS404*(списки!$C$56-AQ404)</f>
        <v>750.19999999999993</v>
      </c>
      <c r="AU404" s="1032">
        <v>4.0999999999999996</v>
      </c>
      <c r="AV404" s="1032"/>
      <c r="AW404" s="1032">
        <f t="shared" si="72"/>
        <v>30</v>
      </c>
      <c r="AX404" s="1032">
        <f>AW404*(списки!$C$56-AU404)</f>
        <v>477</v>
      </c>
      <c r="AY404" s="1033">
        <v>11.2</v>
      </c>
      <c r="AZ404" s="1033"/>
      <c r="BA404" s="1033">
        <f t="shared" si="73"/>
        <v>3</v>
      </c>
      <c r="BB404" s="1033">
        <f>BA404*(списки!$C$56-AY404)</f>
        <v>26.400000000000002</v>
      </c>
      <c r="BC404" s="1034">
        <v>15.6</v>
      </c>
      <c r="BD404" s="1034"/>
      <c r="BE404" s="1034">
        <f t="shared" si="74"/>
        <v>0</v>
      </c>
      <c r="BF404" s="1035">
        <f>BE404*(списки!$C$56-BC404)</f>
        <v>0</v>
      </c>
      <c r="BG404" s="1424">
        <v>4565.9982142857152</v>
      </c>
      <c r="BH404" s="1424">
        <v>4645.574999999998</v>
      </c>
    </row>
    <row r="405" spans="2:60" ht="15.75" customHeight="1" x14ac:dyDescent="0.25">
      <c r="B405" s="1014" t="s">
        <v>392</v>
      </c>
      <c r="C405" s="1014" t="s">
        <v>395</v>
      </c>
      <c r="D405" s="1015" t="str">
        <f t="shared" si="76"/>
        <v>Тверская областьТверь</v>
      </c>
      <c r="E405" s="1016">
        <v>217</v>
      </c>
      <c r="F405" s="1017">
        <v>-2.7</v>
      </c>
      <c r="G405" s="1017">
        <v>-28</v>
      </c>
      <c r="H405" s="1019">
        <v>6.2</v>
      </c>
      <c r="I405" s="1020">
        <f>E405*(списки!$C$56-F405)</f>
        <v>4925.8999999999996</v>
      </c>
      <c r="J405" s="1021" t="str">
        <f t="shared" si="66"/>
        <v>4000-5000</v>
      </c>
      <c r="K405" s="1022">
        <v>17.3</v>
      </c>
      <c r="L405" s="1022"/>
      <c r="M405" s="1023">
        <f t="shared" si="67"/>
        <v>0</v>
      </c>
      <c r="N405" s="1024">
        <f>M405*(списки!$C$56-K405)</f>
        <v>0</v>
      </c>
      <c r="O405" s="1025">
        <v>15.8</v>
      </c>
      <c r="P405" s="1025"/>
      <c r="Q405" s="1025">
        <f t="shared" si="68"/>
        <v>0</v>
      </c>
      <c r="R405" s="1025">
        <f>Q405*(списки!$C$56-O405)</f>
        <v>0</v>
      </c>
      <c r="S405" s="1026">
        <v>10.199999999999999</v>
      </c>
      <c r="T405" s="1026"/>
      <c r="U405" s="1026">
        <f t="shared" si="75"/>
        <v>2.5</v>
      </c>
      <c r="V405" s="1026">
        <f>U405*(списки!$C$56-S405)</f>
        <v>24.5</v>
      </c>
      <c r="W405" s="1027">
        <v>4</v>
      </c>
      <c r="X405" s="1027"/>
      <c r="Y405" s="1027">
        <f t="shared" si="69"/>
        <v>31</v>
      </c>
      <c r="Z405" s="1027">
        <f>Y405*(списки!$C$56-W405)</f>
        <v>496</v>
      </c>
      <c r="AA405" s="1028">
        <v>-1.8</v>
      </c>
      <c r="AB405" s="1028"/>
      <c r="AC405" s="1028">
        <f t="shared" si="70"/>
        <v>30</v>
      </c>
      <c r="AD405" s="1028">
        <f>AC405*(списки!$C$56-AA405)</f>
        <v>654</v>
      </c>
      <c r="AE405" s="1029">
        <v>-6.6</v>
      </c>
      <c r="AF405" s="1029"/>
      <c r="AG405" s="1029">
        <v>31</v>
      </c>
      <c r="AH405" s="1029">
        <f>AG405*(списки!$C$56-AE405)</f>
        <v>824.6</v>
      </c>
      <c r="AI405" s="1030">
        <v>-10.5</v>
      </c>
      <c r="AJ405" s="1030"/>
      <c r="AK405" s="1030">
        <v>31</v>
      </c>
      <c r="AL405" s="1030">
        <f>AK405*(списки!$C$56-AI405)</f>
        <v>945.5</v>
      </c>
      <c r="AM405" s="1031">
        <v>-9.4</v>
      </c>
      <c r="AN405" s="1031"/>
      <c r="AO405" s="1031">
        <v>28</v>
      </c>
      <c r="AP405" s="1031">
        <f>AO405*(списки!$C$56-AM405)</f>
        <v>823.19999999999993</v>
      </c>
      <c r="AQ405" s="1026">
        <v>-4.5999999999999996</v>
      </c>
      <c r="AR405" s="1026"/>
      <c r="AS405" s="1026">
        <f t="shared" si="71"/>
        <v>31</v>
      </c>
      <c r="AT405" s="1026">
        <f>AS405*(списки!$C$56-AQ405)</f>
        <v>762.6</v>
      </c>
      <c r="AU405" s="1032">
        <v>4.0999999999999996</v>
      </c>
      <c r="AV405" s="1032"/>
      <c r="AW405" s="1032">
        <f t="shared" si="72"/>
        <v>30</v>
      </c>
      <c r="AX405" s="1032">
        <f>AW405*(списки!$C$56-AU405)</f>
        <v>477</v>
      </c>
      <c r="AY405" s="1033">
        <v>11.2</v>
      </c>
      <c r="AZ405" s="1033"/>
      <c r="BA405" s="1033">
        <f t="shared" si="73"/>
        <v>2.5</v>
      </c>
      <c r="BB405" s="1033">
        <f>BA405*(списки!$C$56-AY405)</f>
        <v>22</v>
      </c>
      <c r="BC405" s="1034">
        <v>15.7</v>
      </c>
      <c r="BD405" s="1034"/>
      <c r="BE405" s="1034">
        <f t="shared" si="74"/>
        <v>0</v>
      </c>
      <c r="BF405" s="1035">
        <f>BE405*(списки!$C$56-BC405)</f>
        <v>0</v>
      </c>
      <c r="BG405" s="1424">
        <v>4500.1285714285641</v>
      </c>
      <c r="BH405" s="1424">
        <v>4608.675000000002</v>
      </c>
    </row>
    <row r="406" spans="2:60" ht="15.75" customHeight="1" x14ac:dyDescent="0.25">
      <c r="B406" s="1038" t="s">
        <v>55</v>
      </c>
      <c r="C406" s="1038" t="s">
        <v>698</v>
      </c>
      <c r="D406" s="1015" t="str">
        <f t="shared" si="76"/>
        <v>Томская областьАлександровское</v>
      </c>
      <c r="E406" s="1016">
        <v>252</v>
      </c>
      <c r="F406" s="1017">
        <v>-9.5</v>
      </c>
      <c r="G406" s="1017">
        <v>-43</v>
      </c>
      <c r="H406" s="1019">
        <v>3.9</v>
      </c>
      <c r="I406" s="1020">
        <f>E406*(списки!$C$56-F406)</f>
        <v>7434</v>
      </c>
      <c r="J406" s="1021" t="str">
        <f t="shared" si="66"/>
        <v>7000-8000</v>
      </c>
      <c r="K406" s="1022">
        <v>18.100000000000001</v>
      </c>
      <c r="L406" s="1022"/>
      <c r="M406" s="1023">
        <f t="shared" si="67"/>
        <v>0</v>
      </c>
      <c r="N406" s="1024">
        <f>M406*(списки!$C$56-K406)</f>
        <v>0</v>
      </c>
      <c r="O406" s="1025">
        <v>14</v>
      </c>
      <c r="P406" s="1025"/>
      <c r="Q406" s="1025">
        <f t="shared" si="68"/>
        <v>0</v>
      </c>
      <c r="R406" s="1025">
        <f>Q406*(списки!$C$56-O406)</f>
        <v>0</v>
      </c>
      <c r="S406" s="1026">
        <v>7.6</v>
      </c>
      <c r="T406" s="1026"/>
      <c r="U406" s="1026">
        <f t="shared" si="75"/>
        <v>20</v>
      </c>
      <c r="V406" s="1026">
        <f>U406*(списки!$C$56-S406)</f>
        <v>248</v>
      </c>
      <c r="W406" s="1027">
        <v>-0.9</v>
      </c>
      <c r="X406" s="1027"/>
      <c r="Y406" s="1027">
        <f t="shared" si="69"/>
        <v>31</v>
      </c>
      <c r="Z406" s="1027">
        <f>Y406*(списки!$C$56-W406)</f>
        <v>647.9</v>
      </c>
      <c r="AA406" s="1028">
        <v>-11.6</v>
      </c>
      <c r="AB406" s="1028"/>
      <c r="AC406" s="1028">
        <f t="shared" si="70"/>
        <v>30</v>
      </c>
      <c r="AD406" s="1028">
        <f>AC406*(списки!$C$56-AA406)</f>
        <v>948</v>
      </c>
      <c r="AE406" s="1029">
        <v>-18.3</v>
      </c>
      <c r="AF406" s="1029"/>
      <c r="AG406" s="1029">
        <v>31</v>
      </c>
      <c r="AH406" s="1029">
        <f>AG406*(списки!$C$56-AE406)</f>
        <v>1187.3</v>
      </c>
      <c r="AI406" s="1030">
        <v>-21.2</v>
      </c>
      <c r="AJ406" s="1030"/>
      <c r="AK406" s="1030">
        <v>31</v>
      </c>
      <c r="AL406" s="1030">
        <f>AK406*(списки!$C$56-AI406)</f>
        <v>1277.2</v>
      </c>
      <c r="AM406" s="1031">
        <v>-19.3</v>
      </c>
      <c r="AN406" s="1031"/>
      <c r="AO406" s="1031">
        <v>28</v>
      </c>
      <c r="AP406" s="1031">
        <f>AO406*(списки!$C$56-AM406)</f>
        <v>1100.3999999999999</v>
      </c>
      <c r="AQ406" s="1026">
        <v>-9.9</v>
      </c>
      <c r="AR406" s="1026"/>
      <c r="AS406" s="1026">
        <f t="shared" si="71"/>
        <v>31</v>
      </c>
      <c r="AT406" s="1026">
        <f>AS406*(списки!$C$56-AQ406)</f>
        <v>926.9</v>
      </c>
      <c r="AU406" s="1032">
        <v>-2.2999999999999998</v>
      </c>
      <c r="AV406" s="1032"/>
      <c r="AW406" s="1032">
        <f t="shared" si="72"/>
        <v>30</v>
      </c>
      <c r="AX406" s="1032">
        <f>AW406*(списки!$C$56-AU406)</f>
        <v>669</v>
      </c>
      <c r="AY406" s="1033">
        <v>6</v>
      </c>
      <c r="AZ406" s="1033"/>
      <c r="BA406" s="1033">
        <f t="shared" si="73"/>
        <v>20</v>
      </c>
      <c r="BB406" s="1033">
        <f>BA406*(списки!$C$56-AY406)</f>
        <v>280</v>
      </c>
      <c r="BC406" s="1034">
        <v>14.3</v>
      </c>
      <c r="BD406" s="1034"/>
      <c r="BE406" s="1034">
        <f t="shared" si="74"/>
        <v>0</v>
      </c>
      <c r="BF406" s="1035">
        <f>BE406*(списки!$C$56-BC406)</f>
        <v>0</v>
      </c>
      <c r="BG406" s="1424">
        <v>6959.5000000000045</v>
      </c>
      <c r="BH406" s="1424">
        <v>6874.6821428571384</v>
      </c>
    </row>
    <row r="407" spans="2:60" ht="15.75" customHeight="1" x14ac:dyDescent="0.25">
      <c r="B407" s="1014" t="s">
        <v>55</v>
      </c>
      <c r="C407" s="1014" t="s">
        <v>385</v>
      </c>
      <c r="D407" s="1015" t="str">
        <f t="shared" si="76"/>
        <v>Томская областьКолпашево</v>
      </c>
      <c r="E407" s="1016">
        <v>243</v>
      </c>
      <c r="F407" s="1017">
        <v>-8.8000000000000007</v>
      </c>
      <c r="G407" s="1017">
        <v>-42</v>
      </c>
      <c r="H407" s="1019">
        <v>3.1</v>
      </c>
      <c r="I407" s="1020">
        <f>E407*(списки!$C$56-F407)</f>
        <v>6998.4000000000005</v>
      </c>
      <c r="J407" s="1021" t="str">
        <f t="shared" si="66"/>
        <v>6000-7000</v>
      </c>
      <c r="K407" s="1022">
        <v>18.5</v>
      </c>
      <c r="L407" s="1022"/>
      <c r="M407" s="1023">
        <f t="shared" si="67"/>
        <v>0</v>
      </c>
      <c r="N407" s="1024">
        <f>M407*(списки!$C$56-K407)</f>
        <v>0</v>
      </c>
      <c r="O407" s="1025">
        <v>14.6</v>
      </c>
      <c r="P407" s="1025"/>
      <c r="Q407" s="1025">
        <f t="shared" si="68"/>
        <v>0</v>
      </c>
      <c r="R407" s="1025">
        <f>Q407*(списки!$C$56-O407)</f>
        <v>0</v>
      </c>
      <c r="S407" s="1026">
        <v>8.1999999999999993</v>
      </c>
      <c r="T407" s="1026"/>
      <c r="U407" s="1026">
        <f t="shared" si="75"/>
        <v>15.5</v>
      </c>
      <c r="V407" s="1026">
        <f>U407*(списки!$C$56-S407)</f>
        <v>182.9</v>
      </c>
      <c r="W407" s="1027">
        <v>0.2</v>
      </c>
      <c r="X407" s="1027"/>
      <c r="Y407" s="1027">
        <f t="shared" si="69"/>
        <v>31</v>
      </c>
      <c r="Z407" s="1027">
        <f>Y407*(списки!$C$56-W407)</f>
        <v>613.80000000000007</v>
      </c>
      <c r="AA407" s="1028">
        <v>-10.199999999999999</v>
      </c>
      <c r="AB407" s="1028"/>
      <c r="AC407" s="1028">
        <f t="shared" si="70"/>
        <v>30</v>
      </c>
      <c r="AD407" s="1028">
        <f>AC407*(списки!$C$56-AA407)</f>
        <v>906</v>
      </c>
      <c r="AE407" s="1029">
        <v>-17.3</v>
      </c>
      <c r="AF407" s="1029"/>
      <c r="AG407" s="1029">
        <v>31</v>
      </c>
      <c r="AH407" s="1029">
        <f>AG407*(списки!$C$56-AE407)</f>
        <v>1156.3</v>
      </c>
      <c r="AI407" s="1030">
        <v>-20</v>
      </c>
      <c r="AJ407" s="1030"/>
      <c r="AK407" s="1030">
        <v>31</v>
      </c>
      <c r="AL407" s="1030">
        <f>AK407*(списки!$C$56-AI407)</f>
        <v>1240</v>
      </c>
      <c r="AM407" s="1031">
        <v>-17.7</v>
      </c>
      <c r="AN407" s="1031"/>
      <c r="AO407" s="1031">
        <v>28</v>
      </c>
      <c r="AP407" s="1031">
        <f>AO407*(списки!$C$56-AM407)</f>
        <v>1055.6000000000001</v>
      </c>
      <c r="AQ407" s="1026">
        <v>-8.8000000000000007</v>
      </c>
      <c r="AR407" s="1026"/>
      <c r="AS407" s="1026">
        <f t="shared" si="71"/>
        <v>31</v>
      </c>
      <c r="AT407" s="1026">
        <f>AS407*(списки!$C$56-AQ407)</f>
        <v>892.80000000000007</v>
      </c>
      <c r="AU407" s="1032">
        <v>-0.5</v>
      </c>
      <c r="AV407" s="1032"/>
      <c r="AW407" s="1032">
        <f t="shared" si="72"/>
        <v>30</v>
      </c>
      <c r="AX407" s="1032">
        <f>AW407*(списки!$C$56-AU407)</f>
        <v>615</v>
      </c>
      <c r="AY407" s="1033">
        <v>7.9</v>
      </c>
      <c r="AZ407" s="1033"/>
      <c r="BA407" s="1033">
        <f t="shared" si="73"/>
        <v>15.5</v>
      </c>
      <c r="BB407" s="1033">
        <f>BA407*(списки!$C$56-AY407)</f>
        <v>187.54999999999998</v>
      </c>
      <c r="BC407" s="1034">
        <v>15.4</v>
      </c>
      <c r="BD407" s="1034"/>
      <c r="BE407" s="1034">
        <f t="shared" si="74"/>
        <v>0</v>
      </c>
      <c r="BF407" s="1035">
        <f>BE407*(списки!$C$56-BC407)</f>
        <v>0</v>
      </c>
      <c r="BG407" s="1424">
        <v>6742.8035714285706</v>
      </c>
      <c r="BH407" s="1424">
        <v>6636.1392857142846</v>
      </c>
    </row>
    <row r="408" spans="2:60" ht="15.75" customHeight="1" x14ac:dyDescent="0.25">
      <c r="B408" s="1038" t="s">
        <v>55</v>
      </c>
      <c r="C408" s="1038" t="s">
        <v>386</v>
      </c>
      <c r="D408" s="1015" t="str">
        <f t="shared" si="76"/>
        <v>Томская областьСредний Васюган</v>
      </c>
      <c r="E408" s="1016">
        <v>243</v>
      </c>
      <c r="F408" s="1017">
        <v>-8.8000000000000007</v>
      </c>
      <c r="G408" s="1017">
        <v>-41</v>
      </c>
      <c r="H408" s="1019">
        <v>3.2</v>
      </c>
      <c r="I408" s="1020">
        <f>E408*(списки!$C$56-F408)</f>
        <v>6998.4000000000005</v>
      </c>
      <c r="J408" s="1021" t="str">
        <f t="shared" si="66"/>
        <v>6000-7000</v>
      </c>
      <c r="K408" s="1022">
        <v>18.5</v>
      </c>
      <c r="L408" s="1022"/>
      <c r="M408" s="1023">
        <f t="shared" si="67"/>
        <v>0</v>
      </c>
      <c r="N408" s="1024">
        <f>M408*(списки!$C$56-K408)</f>
        <v>0</v>
      </c>
      <c r="O408" s="1025">
        <v>14.4</v>
      </c>
      <c r="P408" s="1025"/>
      <c r="Q408" s="1025">
        <f t="shared" si="68"/>
        <v>0</v>
      </c>
      <c r="R408" s="1025">
        <f>Q408*(списки!$C$56-O408)</f>
        <v>0</v>
      </c>
      <c r="S408" s="1026">
        <v>8.1999999999999993</v>
      </c>
      <c r="T408" s="1026"/>
      <c r="U408" s="1026">
        <f t="shared" si="75"/>
        <v>15.5</v>
      </c>
      <c r="V408" s="1026">
        <f>U408*(списки!$C$56-S408)</f>
        <v>182.9</v>
      </c>
      <c r="W408" s="1027">
        <v>0.1</v>
      </c>
      <c r="X408" s="1027"/>
      <c r="Y408" s="1027">
        <f t="shared" si="69"/>
        <v>31</v>
      </c>
      <c r="Z408" s="1027">
        <f>Y408*(списки!$C$56-W408)</f>
        <v>616.9</v>
      </c>
      <c r="AA408" s="1028">
        <v>-10.5</v>
      </c>
      <c r="AB408" s="1028"/>
      <c r="AC408" s="1028">
        <f t="shared" si="70"/>
        <v>30</v>
      </c>
      <c r="AD408" s="1028">
        <f>AC408*(списки!$C$56-AA408)</f>
        <v>915</v>
      </c>
      <c r="AE408" s="1029">
        <v>-17.2</v>
      </c>
      <c r="AF408" s="1029"/>
      <c r="AG408" s="1029">
        <v>31</v>
      </c>
      <c r="AH408" s="1029">
        <f>AG408*(списки!$C$56-AE408)</f>
        <v>1153.2</v>
      </c>
      <c r="AI408" s="1030">
        <v>-19.8</v>
      </c>
      <c r="AJ408" s="1030"/>
      <c r="AK408" s="1030">
        <v>31</v>
      </c>
      <c r="AL408" s="1030">
        <f>AK408*(списки!$C$56-AI408)</f>
        <v>1233.8</v>
      </c>
      <c r="AM408" s="1031">
        <v>-17.7</v>
      </c>
      <c r="AN408" s="1031"/>
      <c r="AO408" s="1031">
        <v>28</v>
      </c>
      <c r="AP408" s="1031">
        <f>AO408*(списки!$C$56-AM408)</f>
        <v>1055.6000000000001</v>
      </c>
      <c r="AQ408" s="1026">
        <v>-8.3000000000000007</v>
      </c>
      <c r="AR408" s="1026"/>
      <c r="AS408" s="1026">
        <f t="shared" si="71"/>
        <v>31</v>
      </c>
      <c r="AT408" s="1026">
        <f>AS408*(списки!$C$56-AQ408)</f>
        <v>877.30000000000007</v>
      </c>
      <c r="AU408" s="1032">
        <v>-0.3</v>
      </c>
      <c r="AV408" s="1032"/>
      <c r="AW408" s="1032">
        <f t="shared" si="72"/>
        <v>30</v>
      </c>
      <c r="AX408" s="1032">
        <f>AW408*(списки!$C$56-AU408)</f>
        <v>609</v>
      </c>
      <c r="AY408" s="1033">
        <v>7.7</v>
      </c>
      <c r="AZ408" s="1033"/>
      <c r="BA408" s="1033">
        <f t="shared" si="73"/>
        <v>15.5</v>
      </c>
      <c r="BB408" s="1033">
        <f>BA408*(списки!$C$56-AY408)</f>
        <v>190.65</v>
      </c>
      <c r="BC408" s="1034">
        <v>15.2</v>
      </c>
      <c r="BD408" s="1034"/>
      <c r="BE408" s="1034">
        <f t="shared" si="74"/>
        <v>0</v>
      </c>
      <c r="BF408" s="1035">
        <f>BE408*(списки!$C$56-BC408)</f>
        <v>0</v>
      </c>
      <c r="BG408" s="1424">
        <v>6701.3910714285721</v>
      </c>
      <c r="BH408" s="1424">
        <v>6661.9589285714246</v>
      </c>
    </row>
    <row r="409" spans="2:60" ht="15.75" customHeight="1" x14ac:dyDescent="0.25">
      <c r="B409" s="1014" t="s">
        <v>55</v>
      </c>
      <c r="C409" s="1014" t="s">
        <v>387</v>
      </c>
      <c r="D409" s="1015" t="str">
        <f t="shared" si="76"/>
        <v>Томская областьТомск</v>
      </c>
      <c r="E409" s="1016">
        <v>233</v>
      </c>
      <c r="F409" s="1017">
        <v>-7.9</v>
      </c>
      <c r="G409" s="1017">
        <v>-39</v>
      </c>
      <c r="H409" s="1019">
        <v>2.4</v>
      </c>
      <c r="I409" s="1020">
        <f>E409*(списки!$C$56-F409)</f>
        <v>6500.7</v>
      </c>
      <c r="J409" s="1021" t="str">
        <f t="shared" si="66"/>
        <v>6000-7000</v>
      </c>
      <c r="K409" s="1022">
        <v>18.7</v>
      </c>
      <c r="L409" s="1022"/>
      <c r="M409" s="1023">
        <f t="shared" si="67"/>
        <v>0</v>
      </c>
      <c r="N409" s="1024">
        <f>M409*(списки!$C$56-K409)</f>
        <v>0</v>
      </c>
      <c r="O409" s="1025">
        <v>15.3</v>
      </c>
      <c r="P409" s="1025"/>
      <c r="Q409" s="1025">
        <f t="shared" si="68"/>
        <v>0</v>
      </c>
      <c r="R409" s="1025">
        <f>Q409*(списки!$C$56-O409)</f>
        <v>0</v>
      </c>
      <c r="S409" s="1026">
        <v>9</v>
      </c>
      <c r="T409" s="1026"/>
      <c r="U409" s="1026">
        <f t="shared" si="75"/>
        <v>10.5</v>
      </c>
      <c r="V409" s="1026">
        <f>U409*(списки!$C$56-S409)</f>
        <v>115.5</v>
      </c>
      <c r="W409" s="1027">
        <v>1.3</v>
      </c>
      <c r="X409" s="1027"/>
      <c r="Y409" s="1027">
        <f t="shared" si="69"/>
        <v>31</v>
      </c>
      <c r="Z409" s="1027">
        <f>Y409*(списки!$C$56-W409)</f>
        <v>579.69999999999993</v>
      </c>
      <c r="AA409" s="1028">
        <v>-8.5</v>
      </c>
      <c r="AB409" s="1028"/>
      <c r="AC409" s="1028">
        <f t="shared" si="70"/>
        <v>30</v>
      </c>
      <c r="AD409" s="1028">
        <f>AC409*(списки!$C$56-AA409)</f>
        <v>855</v>
      </c>
      <c r="AE409" s="1029">
        <v>-15.4</v>
      </c>
      <c r="AF409" s="1029"/>
      <c r="AG409" s="1029">
        <v>31</v>
      </c>
      <c r="AH409" s="1029">
        <f>AG409*(списки!$C$56-AE409)</f>
        <v>1097.3999999999999</v>
      </c>
      <c r="AI409" s="1030">
        <v>-17.899999999999999</v>
      </c>
      <c r="AJ409" s="1030"/>
      <c r="AK409" s="1030">
        <v>31</v>
      </c>
      <c r="AL409" s="1030">
        <f>AK409*(списки!$C$56-AI409)</f>
        <v>1174.8999999999999</v>
      </c>
      <c r="AM409" s="1031">
        <v>-15.7</v>
      </c>
      <c r="AN409" s="1031"/>
      <c r="AO409" s="1031">
        <v>28</v>
      </c>
      <c r="AP409" s="1031">
        <f>AO409*(списки!$C$56-AM409)</f>
        <v>999.60000000000014</v>
      </c>
      <c r="AQ409" s="1026">
        <v>-7.7</v>
      </c>
      <c r="AR409" s="1026"/>
      <c r="AS409" s="1026">
        <f t="shared" si="71"/>
        <v>31</v>
      </c>
      <c r="AT409" s="1026">
        <f>AS409*(списки!$C$56-AQ409)</f>
        <v>858.69999999999993</v>
      </c>
      <c r="AU409" s="1032">
        <v>1.2</v>
      </c>
      <c r="AV409" s="1032"/>
      <c r="AW409" s="1032">
        <f t="shared" si="72"/>
        <v>30</v>
      </c>
      <c r="AX409" s="1032">
        <f>AW409*(списки!$C$56-AU409)</f>
        <v>564</v>
      </c>
      <c r="AY409" s="1033">
        <v>9.6999999999999993</v>
      </c>
      <c r="AZ409" s="1033"/>
      <c r="BA409" s="1033">
        <f t="shared" si="73"/>
        <v>10.5</v>
      </c>
      <c r="BB409" s="1033">
        <f>BA409*(списки!$C$56-AY409)</f>
        <v>108.15</v>
      </c>
      <c r="BC409" s="1034">
        <v>15.9</v>
      </c>
      <c r="BD409" s="1034"/>
      <c r="BE409" s="1034">
        <f t="shared" si="74"/>
        <v>0</v>
      </c>
      <c r="BF409" s="1035">
        <f>BE409*(списки!$C$56-BC409)</f>
        <v>0</v>
      </c>
      <c r="BG409" s="1424">
        <v>6292.9410714285705</v>
      </c>
      <c r="BH409" s="1424">
        <v>5673.0249999999987</v>
      </c>
    </row>
    <row r="410" spans="2:60" ht="15.75" customHeight="1" x14ac:dyDescent="0.25">
      <c r="B410" s="1038" t="s">
        <v>55</v>
      </c>
      <c r="C410" s="1038" t="s">
        <v>388</v>
      </c>
      <c r="D410" s="1015" t="str">
        <f t="shared" si="76"/>
        <v>Томская областьУсть-Озерное</v>
      </c>
      <c r="E410" s="1016">
        <v>249</v>
      </c>
      <c r="F410" s="1017">
        <v>-9.3000000000000007</v>
      </c>
      <c r="G410" s="1017">
        <v>-43</v>
      </c>
      <c r="H410" s="1019">
        <v>2.8</v>
      </c>
      <c r="I410" s="1020">
        <f>E410*(списки!$C$56-F410)</f>
        <v>7295.7</v>
      </c>
      <c r="J410" s="1021" t="str">
        <f t="shared" si="66"/>
        <v>7000-8000</v>
      </c>
      <c r="K410" s="1022">
        <v>18.600000000000001</v>
      </c>
      <c r="L410" s="1022"/>
      <c r="M410" s="1023">
        <f t="shared" si="67"/>
        <v>0</v>
      </c>
      <c r="N410" s="1024">
        <f>M410*(списки!$C$56-K410)</f>
        <v>0</v>
      </c>
      <c r="O410" s="1025">
        <v>14.4</v>
      </c>
      <c r="P410" s="1025"/>
      <c r="Q410" s="1025">
        <f t="shared" si="68"/>
        <v>0</v>
      </c>
      <c r="R410" s="1025">
        <f>Q410*(списки!$C$56-O410)</f>
        <v>0</v>
      </c>
      <c r="S410" s="1026">
        <v>7.6</v>
      </c>
      <c r="T410" s="1026"/>
      <c r="U410" s="1026">
        <f t="shared" si="75"/>
        <v>18.5</v>
      </c>
      <c r="V410" s="1026">
        <f>U410*(списки!$C$56-S410)</f>
        <v>229.4</v>
      </c>
      <c r="W410" s="1027">
        <v>-0.8</v>
      </c>
      <c r="X410" s="1027"/>
      <c r="Y410" s="1027">
        <f t="shared" si="69"/>
        <v>31</v>
      </c>
      <c r="Z410" s="1027">
        <f>Y410*(списки!$C$56-W410)</f>
        <v>644.80000000000007</v>
      </c>
      <c r="AA410" s="1028">
        <v>-11.8</v>
      </c>
      <c r="AB410" s="1028"/>
      <c r="AC410" s="1028">
        <f t="shared" si="70"/>
        <v>30</v>
      </c>
      <c r="AD410" s="1028">
        <f>AC410*(списки!$C$56-AA410)</f>
        <v>954</v>
      </c>
      <c r="AE410" s="1029">
        <v>-18.7</v>
      </c>
      <c r="AF410" s="1029"/>
      <c r="AG410" s="1029">
        <v>31</v>
      </c>
      <c r="AH410" s="1029">
        <f>AG410*(списки!$C$56-AE410)</f>
        <v>1199.7</v>
      </c>
      <c r="AI410" s="1030">
        <v>-21</v>
      </c>
      <c r="AJ410" s="1030"/>
      <c r="AK410" s="1030">
        <v>31</v>
      </c>
      <c r="AL410" s="1030">
        <f>AK410*(списки!$C$56-AI410)</f>
        <v>1271</v>
      </c>
      <c r="AM410" s="1031">
        <v>-18.3</v>
      </c>
      <c r="AN410" s="1031"/>
      <c r="AO410" s="1031">
        <v>28</v>
      </c>
      <c r="AP410" s="1031">
        <f>AO410*(списки!$C$56-AM410)</f>
        <v>1072.3999999999999</v>
      </c>
      <c r="AQ410" s="1026">
        <v>-9.3000000000000007</v>
      </c>
      <c r="AR410" s="1026"/>
      <c r="AS410" s="1026">
        <f t="shared" si="71"/>
        <v>31</v>
      </c>
      <c r="AT410" s="1026">
        <f>AS410*(списки!$C$56-AQ410)</f>
        <v>908.30000000000007</v>
      </c>
      <c r="AU410" s="1032">
        <v>-1</v>
      </c>
      <c r="AV410" s="1032"/>
      <c r="AW410" s="1032">
        <f t="shared" si="72"/>
        <v>30</v>
      </c>
      <c r="AX410" s="1032">
        <f>AW410*(списки!$C$56-AU410)</f>
        <v>630</v>
      </c>
      <c r="AY410" s="1033">
        <v>7.1</v>
      </c>
      <c r="AZ410" s="1033"/>
      <c r="BA410" s="1033">
        <f t="shared" si="73"/>
        <v>18.5</v>
      </c>
      <c r="BB410" s="1033">
        <f>BA410*(списки!$C$56-AY410)</f>
        <v>238.65</v>
      </c>
      <c r="BC410" s="1034">
        <v>15.2</v>
      </c>
      <c r="BD410" s="1034"/>
      <c r="BE410" s="1034">
        <f t="shared" si="74"/>
        <v>0</v>
      </c>
      <c r="BF410" s="1035">
        <f>BE410*(списки!$C$56-BC410)</f>
        <v>0</v>
      </c>
      <c r="BG410" s="1424" t="e">
        <v>#N/A</v>
      </c>
      <c r="BH410" s="1424" t="e">
        <v>#N/A</v>
      </c>
    </row>
    <row r="411" spans="2:60" ht="15.75" customHeight="1" x14ac:dyDescent="0.25">
      <c r="B411" s="1014" t="s">
        <v>389</v>
      </c>
      <c r="C411" s="1014" t="s">
        <v>390</v>
      </c>
      <c r="D411" s="1015" t="str">
        <f t="shared" si="76"/>
        <v>Тульская областьТула</v>
      </c>
      <c r="E411" s="1016">
        <v>207</v>
      </c>
      <c r="F411" s="1017">
        <v>-3</v>
      </c>
      <c r="G411" s="1017">
        <v>-27</v>
      </c>
      <c r="H411" s="1019">
        <v>4.9000000000000004</v>
      </c>
      <c r="I411" s="1020">
        <f>E411*(списки!$C$56-F411)</f>
        <v>4761</v>
      </c>
      <c r="J411" s="1021" t="str">
        <f t="shared" si="66"/>
        <v>4000-5000</v>
      </c>
      <c r="K411" s="1022">
        <v>18.600000000000001</v>
      </c>
      <c r="L411" s="1022"/>
      <c r="M411" s="1023">
        <f t="shared" si="67"/>
        <v>0</v>
      </c>
      <c r="N411" s="1024">
        <f>M411*(списки!$C$56-K411)</f>
        <v>0</v>
      </c>
      <c r="O411" s="1025">
        <v>17.2</v>
      </c>
      <c r="P411" s="1025"/>
      <c r="Q411" s="1025">
        <f t="shared" si="68"/>
        <v>0</v>
      </c>
      <c r="R411" s="1025">
        <f>Q411*(списки!$C$56-O411)</f>
        <v>0</v>
      </c>
      <c r="S411" s="1026">
        <v>11.6</v>
      </c>
      <c r="T411" s="1026"/>
      <c r="U411" s="1026">
        <f t="shared" si="75"/>
        <v>0</v>
      </c>
      <c r="V411" s="1026">
        <f>U411*(списки!$C$56-S411)</f>
        <v>0</v>
      </c>
      <c r="W411" s="1027">
        <v>5</v>
      </c>
      <c r="X411" s="1027"/>
      <c r="Y411" s="1027">
        <f t="shared" si="69"/>
        <v>28</v>
      </c>
      <c r="Z411" s="1027">
        <f>Y411*(списки!$C$56-W411)</f>
        <v>420</v>
      </c>
      <c r="AA411" s="1028">
        <v>-1.1000000000000001</v>
      </c>
      <c r="AB411" s="1028"/>
      <c r="AC411" s="1028">
        <f t="shared" si="70"/>
        <v>30</v>
      </c>
      <c r="AD411" s="1028">
        <f>AC411*(списки!$C$56-AA411)</f>
        <v>633</v>
      </c>
      <c r="AE411" s="1029">
        <v>-6.7</v>
      </c>
      <c r="AF411" s="1029"/>
      <c r="AG411" s="1029">
        <v>31</v>
      </c>
      <c r="AH411" s="1029">
        <f>AG411*(списки!$C$56-AE411)</f>
        <v>827.69999999999993</v>
      </c>
      <c r="AI411" s="1030">
        <v>-9.9</v>
      </c>
      <c r="AJ411" s="1030"/>
      <c r="AK411" s="1030">
        <v>31</v>
      </c>
      <c r="AL411" s="1030">
        <f>AK411*(списки!$C$56-AI411)</f>
        <v>926.9</v>
      </c>
      <c r="AM411" s="1031">
        <v>-9.5</v>
      </c>
      <c r="AN411" s="1031"/>
      <c r="AO411" s="1031">
        <v>28</v>
      </c>
      <c r="AP411" s="1031">
        <f>AO411*(списки!$C$56-AM411)</f>
        <v>826</v>
      </c>
      <c r="AQ411" s="1026">
        <v>-4.0999999999999996</v>
      </c>
      <c r="AR411" s="1026"/>
      <c r="AS411" s="1026">
        <f t="shared" si="71"/>
        <v>31</v>
      </c>
      <c r="AT411" s="1026">
        <f>AS411*(списки!$C$56-AQ411)</f>
        <v>747.1</v>
      </c>
      <c r="AU411" s="1032">
        <v>5</v>
      </c>
      <c r="AV411" s="1032"/>
      <c r="AW411" s="1032">
        <f t="shared" si="72"/>
        <v>28</v>
      </c>
      <c r="AX411" s="1032">
        <f>AW411*(списки!$C$56-AU411)</f>
        <v>420</v>
      </c>
      <c r="AY411" s="1033">
        <v>12.9</v>
      </c>
      <c r="AZ411" s="1033"/>
      <c r="BA411" s="1033">
        <f t="shared" si="73"/>
        <v>0</v>
      </c>
      <c r="BB411" s="1033">
        <f>BA411*(списки!$C$56-AY411)</f>
        <v>0</v>
      </c>
      <c r="BC411" s="1034">
        <v>16.7</v>
      </c>
      <c r="BD411" s="1034"/>
      <c r="BE411" s="1034">
        <f t="shared" si="74"/>
        <v>0</v>
      </c>
      <c r="BF411" s="1035">
        <f>BE411*(списки!$C$56-BC411)</f>
        <v>0</v>
      </c>
      <c r="BG411" s="1424">
        <v>4339.966071428571</v>
      </c>
      <c r="BH411" s="1424">
        <v>4335.3999999999987</v>
      </c>
    </row>
    <row r="412" spans="2:60" ht="15.75" customHeight="1" x14ac:dyDescent="0.25">
      <c r="B412" s="1038" t="s">
        <v>396</v>
      </c>
      <c r="C412" s="1038" t="s">
        <v>699</v>
      </c>
      <c r="D412" s="1015" t="str">
        <f t="shared" si="76"/>
        <v>Тюменская областьДемьянское</v>
      </c>
      <c r="E412" s="1016">
        <v>241</v>
      </c>
      <c r="F412" s="1017">
        <v>-8</v>
      </c>
      <c r="G412" s="1017">
        <v>-40</v>
      </c>
      <c r="H412" s="1019">
        <v>4.5999999999999996</v>
      </c>
      <c r="I412" s="1020">
        <f>E412*(списки!$C$56-F412)</f>
        <v>6748</v>
      </c>
      <c r="J412" s="1021" t="str">
        <f t="shared" si="66"/>
        <v>6000-7000</v>
      </c>
      <c r="K412" s="1022">
        <v>17.600000000000001</v>
      </c>
      <c r="L412" s="1022"/>
      <c r="M412" s="1023">
        <f t="shared" si="67"/>
        <v>0</v>
      </c>
      <c r="N412" s="1024">
        <f>M412*(списки!$C$56-K412)</f>
        <v>0</v>
      </c>
      <c r="O412" s="1025">
        <v>14.5</v>
      </c>
      <c r="P412" s="1025"/>
      <c r="Q412" s="1025">
        <f t="shared" si="68"/>
        <v>0</v>
      </c>
      <c r="R412" s="1025">
        <f>Q412*(списки!$C$56-O412)</f>
        <v>0</v>
      </c>
      <c r="S412" s="1026">
        <v>8.9</v>
      </c>
      <c r="T412" s="1026"/>
      <c r="U412" s="1026">
        <f t="shared" si="75"/>
        <v>14.5</v>
      </c>
      <c r="V412" s="1026">
        <f>U412*(списки!$C$56-S412)</f>
        <v>160.94999999999999</v>
      </c>
      <c r="W412" s="1027">
        <v>0.2</v>
      </c>
      <c r="X412" s="1027"/>
      <c r="Y412" s="1027">
        <f t="shared" si="69"/>
        <v>31</v>
      </c>
      <c r="Z412" s="1027">
        <f>Y412*(списки!$C$56-W412)</f>
        <v>613.80000000000007</v>
      </c>
      <c r="AA412" s="1028">
        <v>-9.8000000000000007</v>
      </c>
      <c r="AB412" s="1028"/>
      <c r="AC412" s="1028">
        <f t="shared" si="70"/>
        <v>30</v>
      </c>
      <c r="AD412" s="1028">
        <f>AC412*(списки!$C$56-AA412)</f>
        <v>894</v>
      </c>
      <c r="AE412" s="1029">
        <v>-17</v>
      </c>
      <c r="AF412" s="1029"/>
      <c r="AG412" s="1029">
        <v>31</v>
      </c>
      <c r="AH412" s="1029">
        <f>AG412*(списки!$C$56-AE412)</f>
        <v>1147</v>
      </c>
      <c r="AI412" s="1030">
        <v>-19.2</v>
      </c>
      <c r="AJ412" s="1030"/>
      <c r="AK412" s="1030">
        <v>31</v>
      </c>
      <c r="AL412" s="1030">
        <f>AK412*(списки!$C$56-AI412)</f>
        <v>1215.2</v>
      </c>
      <c r="AM412" s="1031">
        <v>-16.899999999999999</v>
      </c>
      <c r="AN412" s="1031"/>
      <c r="AO412" s="1031">
        <v>28</v>
      </c>
      <c r="AP412" s="1031">
        <f>AO412*(списки!$C$56-AM412)</f>
        <v>1033.2</v>
      </c>
      <c r="AQ412" s="1026">
        <v>-9.4</v>
      </c>
      <c r="AR412" s="1026"/>
      <c r="AS412" s="1026">
        <f t="shared" si="71"/>
        <v>31</v>
      </c>
      <c r="AT412" s="1026">
        <f>AS412*(списки!$C$56-AQ412)</f>
        <v>911.4</v>
      </c>
      <c r="AU412" s="1032">
        <v>0.7</v>
      </c>
      <c r="AV412" s="1032"/>
      <c r="AW412" s="1032">
        <f t="shared" si="72"/>
        <v>30</v>
      </c>
      <c r="AX412" s="1032">
        <f>AW412*(списки!$C$56-AU412)</f>
        <v>579</v>
      </c>
      <c r="AY412" s="1033">
        <v>7.7</v>
      </c>
      <c r="AZ412" s="1033"/>
      <c r="BA412" s="1033">
        <f t="shared" si="73"/>
        <v>14.5</v>
      </c>
      <c r="BB412" s="1033">
        <f>BA412*(списки!$C$56-AY412)</f>
        <v>178.35000000000002</v>
      </c>
      <c r="BC412" s="1034">
        <v>14.7</v>
      </c>
      <c r="BD412" s="1034"/>
      <c r="BE412" s="1034">
        <f t="shared" si="74"/>
        <v>0</v>
      </c>
      <c r="BF412" s="1035">
        <f>BE412*(списки!$C$56-BC412)</f>
        <v>0</v>
      </c>
      <c r="BG412" s="1424">
        <v>6460.9875000000002</v>
      </c>
      <c r="BH412" s="1424">
        <v>6486.7339285714297</v>
      </c>
    </row>
    <row r="413" spans="2:60" ht="15.75" customHeight="1" x14ac:dyDescent="0.25">
      <c r="B413" s="1014" t="s">
        <v>396</v>
      </c>
      <c r="C413" s="1014" t="s">
        <v>397</v>
      </c>
      <c r="D413" s="1015" t="str">
        <f t="shared" si="76"/>
        <v>Тюменская областьЛеуши</v>
      </c>
      <c r="E413" s="1016">
        <v>237</v>
      </c>
      <c r="F413" s="1017">
        <v>-7.4</v>
      </c>
      <c r="G413" s="1017">
        <v>-37</v>
      </c>
      <c r="H413" s="1019">
        <v>2.9</v>
      </c>
      <c r="I413" s="1020">
        <f>E413*(списки!$C$56-F413)</f>
        <v>6493.7999999999993</v>
      </c>
      <c r="J413" s="1021" t="str">
        <f t="shared" si="66"/>
        <v>6000-7000</v>
      </c>
      <c r="K413" s="1022">
        <v>18.399999999999999</v>
      </c>
      <c r="L413" s="1022"/>
      <c r="M413" s="1023">
        <f t="shared" si="67"/>
        <v>0</v>
      </c>
      <c r="N413" s="1024">
        <f>M413*(списки!$C$56-K413)</f>
        <v>0</v>
      </c>
      <c r="O413" s="1025">
        <v>14.6</v>
      </c>
      <c r="P413" s="1025"/>
      <c r="Q413" s="1025">
        <f t="shared" si="68"/>
        <v>0</v>
      </c>
      <c r="R413" s="1025">
        <f>Q413*(списки!$C$56-O413)</f>
        <v>0</v>
      </c>
      <c r="S413" s="1026">
        <v>8.6</v>
      </c>
      <c r="T413" s="1026"/>
      <c r="U413" s="1026">
        <f t="shared" si="75"/>
        <v>12.5</v>
      </c>
      <c r="V413" s="1026">
        <f>U413*(списки!$C$56-S413)</f>
        <v>142.5</v>
      </c>
      <c r="W413" s="1027">
        <v>0.8</v>
      </c>
      <c r="X413" s="1027"/>
      <c r="Y413" s="1027">
        <f t="shared" si="69"/>
        <v>31</v>
      </c>
      <c r="Z413" s="1027">
        <f>Y413*(списки!$C$56-W413)</f>
        <v>595.19999999999993</v>
      </c>
      <c r="AA413" s="1028">
        <v>-8.6</v>
      </c>
      <c r="AB413" s="1028"/>
      <c r="AC413" s="1028">
        <f t="shared" si="70"/>
        <v>30</v>
      </c>
      <c r="AD413" s="1028">
        <f>AC413*(списки!$C$56-AA413)</f>
        <v>858</v>
      </c>
      <c r="AE413" s="1029">
        <v>-14.9</v>
      </c>
      <c r="AF413" s="1029"/>
      <c r="AG413" s="1029">
        <v>31</v>
      </c>
      <c r="AH413" s="1029">
        <f>AG413*(списки!$C$56-AE413)</f>
        <v>1081.8999999999999</v>
      </c>
      <c r="AI413" s="1030">
        <v>-17.600000000000001</v>
      </c>
      <c r="AJ413" s="1030"/>
      <c r="AK413" s="1030">
        <v>31</v>
      </c>
      <c r="AL413" s="1030">
        <f>AK413*(списки!$C$56-AI413)</f>
        <v>1165.6000000000001</v>
      </c>
      <c r="AM413" s="1031">
        <v>-15.8</v>
      </c>
      <c r="AN413" s="1031"/>
      <c r="AO413" s="1031">
        <v>28</v>
      </c>
      <c r="AP413" s="1031">
        <f>AO413*(списки!$C$56-AM413)</f>
        <v>1002.3999999999999</v>
      </c>
      <c r="AQ413" s="1026">
        <v>-6.3</v>
      </c>
      <c r="AR413" s="1026"/>
      <c r="AS413" s="1026">
        <f t="shared" si="71"/>
        <v>31</v>
      </c>
      <c r="AT413" s="1026">
        <f>AS413*(списки!$C$56-AQ413)</f>
        <v>815.30000000000007</v>
      </c>
      <c r="AU413" s="1032">
        <v>1.3</v>
      </c>
      <c r="AV413" s="1032"/>
      <c r="AW413" s="1032">
        <f t="shared" si="72"/>
        <v>30</v>
      </c>
      <c r="AX413" s="1032">
        <f>AW413*(списки!$C$56-AU413)</f>
        <v>561</v>
      </c>
      <c r="AY413" s="1033">
        <v>8.8000000000000007</v>
      </c>
      <c r="AZ413" s="1033"/>
      <c r="BA413" s="1033">
        <f t="shared" si="73"/>
        <v>12.5</v>
      </c>
      <c r="BB413" s="1033">
        <f>BA413*(списки!$C$56-AY413)</f>
        <v>140</v>
      </c>
      <c r="BC413" s="1034">
        <v>15.4</v>
      </c>
      <c r="BD413" s="1034"/>
      <c r="BE413" s="1034">
        <f t="shared" si="74"/>
        <v>0</v>
      </c>
      <c r="BF413" s="1035">
        <f>BE413*(списки!$C$56-BC413)</f>
        <v>0</v>
      </c>
      <c r="BG413" s="1424">
        <v>6300.7392857142841</v>
      </c>
      <c r="BH413" s="1424">
        <v>6198.9749999999967</v>
      </c>
    </row>
    <row r="414" spans="2:60" ht="15.75" customHeight="1" x14ac:dyDescent="0.25">
      <c r="B414" s="1038" t="s">
        <v>396</v>
      </c>
      <c r="C414" s="1038" t="s">
        <v>398</v>
      </c>
      <c r="D414" s="1015" t="str">
        <f t="shared" si="76"/>
        <v>Тюменская областьМарресаля</v>
      </c>
      <c r="E414" s="1016">
        <v>365</v>
      </c>
      <c r="F414" s="1017">
        <v>-8</v>
      </c>
      <c r="G414" s="1017">
        <v>-39</v>
      </c>
      <c r="H414" s="1019">
        <v>7.7</v>
      </c>
      <c r="I414" s="1020">
        <f>E414*(списки!$C$56-F414)</f>
        <v>10220</v>
      </c>
      <c r="J414" s="1021" t="str">
        <f t="shared" si="66"/>
        <v>10000-11000</v>
      </c>
      <c r="K414" s="1022">
        <v>7.3</v>
      </c>
      <c r="L414" s="1022"/>
      <c r="M414" s="1023">
        <f t="shared" si="67"/>
        <v>31</v>
      </c>
      <c r="N414" s="1024">
        <f>M414*(списки!$C$56-K414)</f>
        <v>393.7</v>
      </c>
      <c r="O414" s="1025">
        <v>7</v>
      </c>
      <c r="P414" s="1025"/>
      <c r="Q414" s="1025">
        <f t="shared" si="68"/>
        <v>31</v>
      </c>
      <c r="R414" s="1025">
        <f>Q414*(списки!$C$56-O414)</f>
        <v>403</v>
      </c>
      <c r="S414" s="1026">
        <v>3.7</v>
      </c>
      <c r="T414" s="1026"/>
      <c r="U414" s="1026">
        <f t="shared" si="75"/>
        <v>30</v>
      </c>
      <c r="V414" s="1026">
        <f>U414*(списки!$C$56-S414)</f>
        <v>489</v>
      </c>
      <c r="W414" s="1027">
        <v>-4.5</v>
      </c>
      <c r="X414" s="1027"/>
      <c r="Y414" s="1027">
        <f t="shared" si="69"/>
        <v>31</v>
      </c>
      <c r="Z414" s="1027">
        <f>Y414*(списки!$C$56-W414)</f>
        <v>759.5</v>
      </c>
      <c r="AA414" s="1028">
        <v>-13</v>
      </c>
      <c r="AB414" s="1028"/>
      <c r="AC414" s="1028">
        <f t="shared" si="70"/>
        <v>30</v>
      </c>
      <c r="AD414" s="1028">
        <f>AC414*(списки!$C$56-AA414)</f>
        <v>990</v>
      </c>
      <c r="AE414" s="1029">
        <v>-18</v>
      </c>
      <c r="AF414" s="1029"/>
      <c r="AG414" s="1029">
        <v>31</v>
      </c>
      <c r="AH414" s="1029">
        <f>AG414*(списки!$C$56-AE414)</f>
        <v>1178</v>
      </c>
      <c r="AI414" s="1030">
        <v>-21.7</v>
      </c>
      <c r="AJ414" s="1030"/>
      <c r="AK414" s="1030">
        <v>31</v>
      </c>
      <c r="AL414" s="1030">
        <f>AK414*(списки!$C$56-AI414)</f>
        <v>1292.7</v>
      </c>
      <c r="AM414" s="1031">
        <v>-22.4</v>
      </c>
      <c r="AN414" s="1031"/>
      <c r="AO414" s="1031">
        <v>28</v>
      </c>
      <c r="AP414" s="1031">
        <f>AO414*(списки!$C$56-AM414)</f>
        <v>1187.2</v>
      </c>
      <c r="AQ414" s="1026">
        <v>-17.8</v>
      </c>
      <c r="AR414" s="1026"/>
      <c r="AS414" s="1026">
        <f t="shared" si="71"/>
        <v>31</v>
      </c>
      <c r="AT414" s="1026">
        <f>AS414*(списки!$C$56-AQ414)</f>
        <v>1171.8</v>
      </c>
      <c r="AU414" s="1032">
        <v>-13.5</v>
      </c>
      <c r="AV414" s="1032"/>
      <c r="AW414" s="1032">
        <f t="shared" si="72"/>
        <v>30</v>
      </c>
      <c r="AX414" s="1032">
        <f>AW414*(списки!$C$56-AU414)</f>
        <v>1005</v>
      </c>
      <c r="AY414" s="1033">
        <v>-5.5</v>
      </c>
      <c r="AZ414" s="1033"/>
      <c r="BA414" s="1033">
        <f t="shared" si="73"/>
        <v>31</v>
      </c>
      <c r="BB414" s="1033">
        <f>BA414*(списки!$C$56-AY414)</f>
        <v>790.5</v>
      </c>
      <c r="BC414" s="1034">
        <v>2</v>
      </c>
      <c r="BD414" s="1034"/>
      <c r="BE414" s="1034">
        <f t="shared" si="74"/>
        <v>30</v>
      </c>
      <c r="BF414" s="1035">
        <f>BE414*(списки!$C$56-BC414)</f>
        <v>540</v>
      </c>
      <c r="BG414" s="1424">
        <v>7847.3795238095227</v>
      </c>
      <c r="BH414" s="1424">
        <v>8779.0504761904795</v>
      </c>
    </row>
    <row r="415" spans="2:60" ht="15.75" customHeight="1" x14ac:dyDescent="0.25">
      <c r="B415" s="1014" t="s">
        <v>396</v>
      </c>
      <c r="C415" s="1014" t="s">
        <v>399</v>
      </c>
      <c r="D415" s="1015" t="str">
        <f t="shared" si="76"/>
        <v>Тюменская областьОктябрьское</v>
      </c>
      <c r="E415" s="1016">
        <v>257</v>
      </c>
      <c r="F415" s="1017">
        <v>-9.1</v>
      </c>
      <c r="G415" s="1017">
        <v>-41</v>
      </c>
      <c r="H415" s="1019">
        <v>2.8</v>
      </c>
      <c r="I415" s="1020">
        <f>E415*(списки!$C$56-F415)</f>
        <v>7478.7000000000007</v>
      </c>
      <c r="J415" s="1021" t="str">
        <f t="shared" si="66"/>
        <v>7000-8000</v>
      </c>
      <c r="K415" s="1022">
        <v>17.2</v>
      </c>
      <c r="L415" s="1022"/>
      <c r="M415" s="1023">
        <f t="shared" si="67"/>
        <v>0</v>
      </c>
      <c r="N415" s="1024">
        <f>M415*(списки!$C$56-K415)</f>
        <v>0</v>
      </c>
      <c r="O415" s="1025">
        <v>13.1</v>
      </c>
      <c r="P415" s="1025"/>
      <c r="Q415" s="1025">
        <f t="shared" si="68"/>
        <v>0</v>
      </c>
      <c r="R415" s="1025">
        <f>Q415*(списки!$C$56-O415)</f>
        <v>0</v>
      </c>
      <c r="S415" s="1026">
        <v>6.9</v>
      </c>
      <c r="T415" s="1026"/>
      <c r="U415" s="1026">
        <f t="shared" si="75"/>
        <v>22.5</v>
      </c>
      <c r="V415" s="1026">
        <f>U415*(списки!$C$56-S415)</f>
        <v>294.75</v>
      </c>
      <c r="W415" s="1027">
        <v>-1.6</v>
      </c>
      <c r="X415" s="1027"/>
      <c r="Y415" s="1027">
        <f t="shared" si="69"/>
        <v>31</v>
      </c>
      <c r="Z415" s="1027">
        <f>Y415*(списки!$C$56-W415)</f>
        <v>669.6</v>
      </c>
      <c r="AA415" s="1028">
        <v>-11.6</v>
      </c>
      <c r="AB415" s="1028"/>
      <c r="AC415" s="1028">
        <f t="shared" si="70"/>
        <v>30</v>
      </c>
      <c r="AD415" s="1028">
        <f>AC415*(списки!$C$56-AA415)</f>
        <v>948</v>
      </c>
      <c r="AE415" s="1029">
        <v>-18</v>
      </c>
      <c r="AF415" s="1029"/>
      <c r="AG415" s="1029">
        <v>31</v>
      </c>
      <c r="AH415" s="1029">
        <f>AG415*(списки!$C$56-AE415)</f>
        <v>1178</v>
      </c>
      <c r="AI415" s="1030">
        <v>-20.9</v>
      </c>
      <c r="AJ415" s="1030"/>
      <c r="AK415" s="1030">
        <v>31</v>
      </c>
      <c r="AL415" s="1030">
        <f>AK415*(списки!$C$56-AI415)</f>
        <v>1267.8999999999999</v>
      </c>
      <c r="AM415" s="1031">
        <v>-18.8</v>
      </c>
      <c r="AN415" s="1031"/>
      <c r="AO415" s="1031">
        <v>28</v>
      </c>
      <c r="AP415" s="1031">
        <f>AO415*(списки!$C$56-AM415)</f>
        <v>1086.3999999999999</v>
      </c>
      <c r="AQ415" s="1026">
        <v>-8.9</v>
      </c>
      <c r="AR415" s="1026"/>
      <c r="AS415" s="1026">
        <f t="shared" si="71"/>
        <v>31</v>
      </c>
      <c r="AT415" s="1026">
        <f>AS415*(списки!$C$56-AQ415)</f>
        <v>895.9</v>
      </c>
      <c r="AU415" s="1032">
        <v>-2.1</v>
      </c>
      <c r="AV415" s="1032"/>
      <c r="AW415" s="1032">
        <f t="shared" si="72"/>
        <v>30</v>
      </c>
      <c r="AX415" s="1032">
        <f>AW415*(списки!$C$56-AU415)</f>
        <v>663</v>
      </c>
      <c r="AY415" s="1033">
        <v>5.5</v>
      </c>
      <c r="AZ415" s="1033"/>
      <c r="BA415" s="1033">
        <f t="shared" si="73"/>
        <v>22.5</v>
      </c>
      <c r="BB415" s="1033">
        <f>BA415*(списки!$C$56-AY415)</f>
        <v>326.25</v>
      </c>
      <c r="BC415" s="1034">
        <v>13.2</v>
      </c>
      <c r="BD415" s="1034"/>
      <c r="BE415" s="1034">
        <f t="shared" si="74"/>
        <v>0</v>
      </c>
      <c r="BF415" s="1035">
        <f>BE415*(списки!$C$56-BC415)</f>
        <v>0</v>
      </c>
      <c r="BG415" s="1424" t="e">
        <v>#N/A</v>
      </c>
      <c r="BH415" s="1424" t="e">
        <v>#N/A</v>
      </c>
    </row>
    <row r="416" spans="2:60" ht="15.75" customHeight="1" x14ac:dyDescent="0.25">
      <c r="B416" s="1038" t="s">
        <v>396</v>
      </c>
      <c r="C416" s="1038" t="s">
        <v>400</v>
      </c>
      <c r="D416" s="1015" t="str">
        <f t="shared" si="76"/>
        <v>Тюменская областьСосьва</v>
      </c>
      <c r="E416" s="1016">
        <v>261</v>
      </c>
      <c r="F416" s="1017">
        <v>-9.5</v>
      </c>
      <c r="G416" s="1017">
        <v>-44</v>
      </c>
      <c r="H416" s="1019">
        <f>H415</f>
        <v>2.8</v>
      </c>
      <c r="I416" s="1020">
        <f>E416*(списки!$C$56-F416)</f>
        <v>7699.5</v>
      </c>
      <c r="J416" s="1021" t="str">
        <f t="shared" si="66"/>
        <v>7000-8000</v>
      </c>
      <c r="K416" s="1022">
        <v>16.100000000000001</v>
      </c>
      <c r="L416" s="1022"/>
      <c r="M416" s="1023">
        <f t="shared" si="67"/>
        <v>0</v>
      </c>
      <c r="N416" s="1024">
        <f>M416*(списки!$C$56-K416)</f>
        <v>0</v>
      </c>
      <c r="O416" s="1025">
        <v>12.8</v>
      </c>
      <c r="P416" s="1025"/>
      <c r="Q416" s="1025">
        <f t="shared" si="68"/>
        <v>0</v>
      </c>
      <c r="R416" s="1025">
        <f>Q416*(списки!$C$56-O416)</f>
        <v>0</v>
      </c>
      <c r="S416" s="1026">
        <v>6.6</v>
      </c>
      <c r="T416" s="1026"/>
      <c r="U416" s="1026">
        <f t="shared" si="75"/>
        <v>24.5</v>
      </c>
      <c r="V416" s="1026">
        <f>U416*(списки!$C$56-S416)</f>
        <v>328.3</v>
      </c>
      <c r="W416" s="1027">
        <v>-2.5</v>
      </c>
      <c r="X416" s="1027"/>
      <c r="Y416" s="1027">
        <f t="shared" si="69"/>
        <v>31</v>
      </c>
      <c r="Z416" s="1027">
        <f>Y416*(списки!$C$56-W416)</f>
        <v>697.5</v>
      </c>
      <c r="AA416" s="1028">
        <v>-12.8</v>
      </c>
      <c r="AB416" s="1028"/>
      <c r="AC416" s="1028">
        <f t="shared" si="70"/>
        <v>30</v>
      </c>
      <c r="AD416" s="1028">
        <f>AC416*(списки!$C$56-AA416)</f>
        <v>983.99999999999989</v>
      </c>
      <c r="AE416" s="1029">
        <v>-20.2</v>
      </c>
      <c r="AF416" s="1029"/>
      <c r="AG416" s="1029">
        <v>31</v>
      </c>
      <c r="AH416" s="1029">
        <f>AG416*(списки!$C$56-AE416)</f>
        <v>1246.2</v>
      </c>
      <c r="AI416" s="1030">
        <v>-22.7</v>
      </c>
      <c r="AJ416" s="1030"/>
      <c r="AK416" s="1030">
        <v>31</v>
      </c>
      <c r="AL416" s="1030">
        <f>AK416*(списки!$C$56-AI416)</f>
        <v>1323.7</v>
      </c>
      <c r="AM416" s="1031">
        <v>-20.399999999999999</v>
      </c>
      <c r="AN416" s="1031"/>
      <c r="AO416" s="1031">
        <v>28</v>
      </c>
      <c r="AP416" s="1031">
        <f>AO416*(списки!$C$56-AM416)</f>
        <v>1131.2</v>
      </c>
      <c r="AQ416" s="1026">
        <v>-12</v>
      </c>
      <c r="AR416" s="1026"/>
      <c r="AS416" s="1026">
        <f t="shared" si="71"/>
        <v>31</v>
      </c>
      <c r="AT416" s="1026">
        <f>AS416*(списки!$C$56-AQ416)</f>
        <v>992</v>
      </c>
      <c r="AU416" s="1032">
        <v>-1.8</v>
      </c>
      <c r="AV416" s="1032"/>
      <c r="AW416" s="1032">
        <f t="shared" si="72"/>
        <v>30</v>
      </c>
      <c r="AX416" s="1032">
        <f>AW416*(списки!$C$56-AU416)</f>
        <v>654</v>
      </c>
      <c r="AY416" s="1033">
        <v>5.2</v>
      </c>
      <c r="AZ416" s="1033"/>
      <c r="BA416" s="1033">
        <f t="shared" si="73"/>
        <v>24.5</v>
      </c>
      <c r="BB416" s="1033">
        <f>BA416*(списки!$C$56-AY416)</f>
        <v>362.6</v>
      </c>
      <c r="BC416" s="1034">
        <v>12.3</v>
      </c>
      <c r="BD416" s="1034"/>
      <c r="BE416" s="1034">
        <f t="shared" si="74"/>
        <v>0</v>
      </c>
      <c r="BF416" s="1035">
        <f>BE416*(списки!$C$56-BC416)</f>
        <v>0</v>
      </c>
      <c r="BG416" s="1424">
        <v>6875.9624999999969</v>
      </c>
      <c r="BH416" s="1424">
        <v>6974.8392857142844</v>
      </c>
    </row>
    <row r="417" spans="2:60" ht="15.75" customHeight="1" x14ac:dyDescent="0.25">
      <c r="B417" s="1014" t="s">
        <v>396</v>
      </c>
      <c r="C417" s="1014" t="s">
        <v>1520</v>
      </c>
      <c r="D417" s="1015" t="str">
        <f t="shared" si="76"/>
        <v>Тюменская областьТобольск</v>
      </c>
      <c r="E417" s="1016">
        <v>232</v>
      </c>
      <c r="F417" s="1017">
        <v>-7.9</v>
      </c>
      <c r="G417" s="1017">
        <v>-39</v>
      </c>
      <c r="H417" s="1019">
        <v>4.2</v>
      </c>
      <c r="I417" s="1020">
        <f>E417*(списки!$C$56-F417)</f>
        <v>6472.7999999999993</v>
      </c>
      <c r="J417" s="1021" t="str">
        <f t="shared" si="66"/>
        <v>6000-7000</v>
      </c>
      <c r="K417" s="1022">
        <v>18.5</v>
      </c>
      <c r="L417" s="1022"/>
      <c r="M417" s="1023">
        <f t="shared" si="67"/>
        <v>0</v>
      </c>
      <c r="N417" s="1024">
        <f>M417*(списки!$C$56-K417)</f>
        <v>0</v>
      </c>
      <c r="O417" s="1025">
        <v>15</v>
      </c>
      <c r="P417" s="1025"/>
      <c r="Q417" s="1025">
        <f t="shared" si="68"/>
        <v>0</v>
      </c>
      <c r="R417" s="1025">
        <f>Q417*(списки!$C$56-O417)</f>
        <v>0</v>
      </c>
      <c r="S417" s="1026">
        <v>9</v>
      </c>
      <c r="T417" s="1026"/>
      <c r="U417" s="1026">
        <f t="shared" si="75"/>
        <v>10</v>
      </c>
      <c r="V417" s="1026">
        <f>U417*(списки!$C$56-S417)</f>
        <v>110</v>
      </c>
      <c r="W417" s="1027">
        <v>1.5</v>
      </c>
      <c r="X417" s="1027"/>
      <c r="Y417" s="1027">
        <f t="shared" si="69"/>
        <v>31</v>
      </c>
      <c r="Z417" s="1027">
        <f>Y417*(списки!$C$56-W417)</f>
        <v>573.5</v>
      </c>
      <c r="AA417" s="1028">
        <v>-8.1</v>
      </c>
      <c r="AB417" s="1028"/>
      <c r="AC417" s="1028">
        <f t="shared" si="70"/>
        <v>30</v>
      </c>
      <c r="AD417" s="1028">
        <f>AC417*(списки!$C$56-AA417)</f>
        <v>843</v>
      </c>
      <c r="AE417" s="1029">
        <v>-15.3</v>
      </c>
      <c r="AF417" s="1029"/>
      <c r="AG417" s="1029">
        <v>31</v>
      </c>
      <c r="AH417" s="1029">
        <f>AG417*(списки!$C$56-AE417)</f>
        <v>1094.3</v>
      </c>
      <c r="AI417" s="1030">
        <v>-18.399999999999999</v>
      </c>
      <c r="AJ417" s="1030"/>
      <c r="AK417" s="1030">
        <v>31</v>
      </c>
      <c r="AL417" s="1030">
        <f>AK417*(списки!$C$56-AI417)</f>
        <v>1190.3999999999999</v>
      </c>
      <c r="AM417" s="1031">
        <v>-16.7</v>
      </c>
      <c r="AN417" s="1031"/>
      <c r="AO417" s="1031">
        <v>28</v>
      </c>
      <c r="AP417" s="1031">
        <f>AO417*(списки!$C$56-AM417)</f>
        <v>1027.6000000000001</v>
      </c>
      <c r="AQ417" s="1026">
        <v>-7.4</v>
      </c>
      <c r="AR417" s="1026"/>
      <c r="AS417" s="1026">
        <f t="shared" si="71"/>
        <v>31</v>
      </c>
      <c r="AT417" s="1026">
        <f>AS417*(списки!$C$56-AQ417)</f>
        <v>849.4</v>
      </c>
      <c r="AU417" s="1032">
        <v>1.9</v>
      </c>
      <c r="AV417" s="1032"/>
      <c r="AW417" s="1032">
        <f t="shared" si="72"/>
        <v>30</v>
      </c>
      <c r="AX417" s="1032">
        <f>AW417*(списки!$C$56-AU417)</f>
        <v>543</v>
      </c>
      <c r="AY417" s="1033">
        <v>9.9</v>
      </c>
      <c r="AZ417" s="1033"/>
      <c r="BA417" s="1033">
        <f t="shared" si="73"/>
        <v>10</v>
      </c>
      <c r="BB417" s="1033">
        <f>BA417*(списки!$C$56-AY417)</f>
        <v>101</v>
      </c>
      <c r="BC417" s="1034">
        <v>16.100000000000001</v>
      </c>
      <c r="BD417" s="1034"/>
      <c r="BE417" s="1034">
        <f t="shared" si="74"/>
        <v>0</v>
      </c>
      <c r="BF417" s="1035">
        <f>BE417*(списки!$C$56-BC417)</f>
        <v>0</v>
      </c>
      <c r="BG417" s="1424">
        <v>6019.5660714285741</v>
      </c>
      <c r="BH417" s="1424">
        <v>6176.8446428571433</v>
      </c>
    </row>
    <row r="418" spans="2:60" ht="15.75" customHeight="1" x14ac:dyDescent="0.25">
      <c r="B418" s="1038" t="s">
        <v>396</v>
      </c>
      <c r="C418" s="1038" t="s">
        <v>401</v>
      </c>
      <c r="D418" s="1015" t="str">
        <f t="shared" si="76"/>
        <v>Тюменская областьТюмень</v>
      </c>
      <c r="E418" s="1016">
        <v>223</v>
      </c>
      <c r="F418" s="1017">
        <v>-6.9</v>
      </c>
      <c r="G418" s="1017">
        <v>-35</v>
      </c>
      <c r="H418" s="1019">
        <v>3</v>
      </c>
      <c r="I418" s="1020">
        <f>E418*(списки!$C$56-F418)</f>
        <v>5998.7</v>
      </c>
      <c r="J418" s="1021" t="str">
        <f t="shared" si="66"/>
        <v>5000-6000</v>
      </c>
      <c r="K418" s="1022">
        <v>18.600000000000001</v>
      </c>
      <c r="L418" s="1022"/>
      <c r="M418" s="1023">
        <f t="shared" si="67"/>
        <v>0</v>
      </c>
      <c r="N418" s="1024">
        <f>M418*(списки!$C$56-K418)</f>
        <v>0</v>
      </c>
      <c r="O418" s="1025">
        <v>15.4</v>
      </c>
      <c r="P418" s="1025"/>
      <c r="Q418" s="1025">
        <f t="shared" si="68"/>
        <v>0</v>
      </c>
      <c r="R418" s="1025">
        <f>Q418*(списки!$C$56-O418)</f>
        <v>0</v>
      </c>
      <c r="S418" s="1026">
        <v>9.6</v>
      </c>
      <c r="T418" s="1026"/>
      <c r="U418" s="1026">
        <f t="shared" si="75"/>
        <v>5.5</v>
      </c>
      <c r="V418" s="1026">
        <f>U418*(списки!$C$56-S418)</f>
        <v>57.2</v>
      </c>
      <c r="W418" s="1027">
        <v>2.2000000000000002</v>
      </c>
      <c r="X418" s="1027"/>
      <c r="Y418" s="1027">
        <f t="shared" si="69"/>
        <v>31</v>
      </c>
      <c r="Z418" s="1027">
        <f>Y418*(списки!$C$56-W418)</f>
        <v>551.80000000000007</v>
      </c>
      <c r="AA418" s="1028">
        <v>-6.8</v>
      </c>
      <c r="AB418" s="1028"/>
      <c r="AC418" s="1028">
        <f t="shared" si="70"/>
        <v>30</v>
      </c>
      <c r="AD418" s="1028">
        <f>AC418*(списки!$C$56-AA418)</f>
        <v>804</v>
      </c>
      <c r="AE418" s="1029">
        <v>-13.5</v>
      </c>
      <c r="AF418" s="1029"/>
      <c r="AG418" s="1029">
        <v>31</v>
      </c>
      <c r="AH418" s="1029">
        <f>AG418*(списки!$C$56-AE418)</f>
        <v>1038.5</v>
      </c>
      <c r="AI418" s="1030">
        <v>-16.2</v>
      </c>
      <c r="AJ418" s="1030"/>
      <c r="AK418" s="1030">
        <v>31</v>
      </c>
      <c r="AL418" s="1030">
        <f>AK418*(списки!$C$56-AI418)</f>
        <v>1122.2</v>
      </c>
      <c r="AM418" s="1031">
        <v>-14.3</v>
      </c>
      <c r="AN418" s="1031"/>
      <c r="AO418" s="1031">
        <v>28</v>
      </c>
      <c r="AP418" s="1031">
        <f>AO418*(списки!$C$56-AM418)</f>
        <v>960.39999999999986</v>
      </c>
      <c r="AQ418" s="1026">
        <v>-5.7</v>
      </c>
      <c r="AR418" s="1026"/>
      <c r="AS418" s="1026">
        <f t="shared" si="71"/>
        <v>31</v>
      </c>
      <c r="AT418" s="1026">
        <f>AS418*(списки!$C$56-AQ418)</f>
        <v>796.69999999999993</v>
      </c>
      <c r="AU418" s="1032">
        <v>3.7</v>
      </c>
      <c r="AV418" s="1032"/>
      <c r="AW418" s="1032">
        <f t="shared" si="72"/>
        <v>30</v>
      </c>
      <c r="AX418" s="1032">
        <f>AW418*(списки!$C$56-AU418)</f>
        <v>489</v>
      </c>
      <c r="AY418" s="1033">
        <v>11</v>
      </c>
      <c r="AZ418" s="1033"/>
      <c r="BA418" s="1033">
        <f t="shared" si="73"/>
        <v>5.5</v>
      </c>
      <c r="BB418" s="1033">
        <f>BA418*(списки!$C$56-AY418)</f>
        <v>49.5</v>
      </c>
      <c r="BC418" s="1034">
        <v>16.5</v>
      </c>
      <c r="BD418" s="1034"/>
      <c r="BE418" s="1034">
        <f t="shared" si="74"/>
        <v>0</v>
      </c>
      <c r="BF418" s="1035">
        <f>BE418*(списки!$C$56-BC418)</f>
        <v>0</v>
      </c>
      <c r="BG418" s="1424">
        <v>5820.9874999999984</v>
      </c>
      <c r="BH418" s="1424">
        <v>5818.4071428571424</v>
      </c>
    </row>
    <row r="419" spans="2:60" ht="15.75" customHeight="1" x14ac:dyDescent="0.25">
      <c r="B419" s="1014" t="s">
        <v>396</v>
      </c>
      <c r="C419" s="1014" t="s">
        <v>402</v>
      </c>
      <c r="D419" s="1015" t="str">
        <f t="shared" si="76"/>
        <v>Тюменская областьУгут</v>
      </c>
      <c r="E419" s="1016">
        <v>251</v>
      </c>
      <c r="F419" s="1017">
        <v>-9.1</v>
      </c>
      <c r="G419" s="1017">
        <v>-42</v>
      </c>
      <c r="H419" s="1019">
        <v>4.4000000000000004</v>
      </c>
      <c r="I419" s="1020">
        <f>E419*(списки!$C$56-F419)</f>
        <v>7304.1</v>
      </c>
      <c r="J419" s="1021" t="str">
        <f t="shared" si="66"/>
        <v>7000-8000</v>
      </c>
      <c r="K419" s="1022">
        <v>17.399999999999999</v>
      </c>
      <c r="L419" s="1022"/>
      <c r="M419" s="1023">
        <f t="shared" si="67"/>
        <v>0</v>
      </c>
      <c r="N419" s="1024">
        <f>M419*(списки!$C$56-K419)</f>
        <v>0</v>
      </c>
      <c r="O419" s="1025">
        <v>13.6</v>
      </c>
      <c r="P419" s="1025"/>
      <c r="Q419" s="1025">
        <f t="shared" si="68"/>
        <v>0</v>
      </c>
      <c r="R419" s="1025">
        <f>Q419*(списки!$C$56-O419)</f>
        <v>0</v>
      </c>
      <c r="S419" s="1026">
        <v>7.9</v>
      </c>
      <c r="T419" s="1026"/>
      <c r="U419" s="1026">
        <f t="shared" si="75"/>
        <v>19.5</v>
      </c>
      <c r="V419" s="1026">
        <f>U419*(списки!$C$56-S419)</f>
        <v>235.95</v>
      </c>
      <c r="W419" s="1027">
        <v>-1.4</v>
      </c>
      <c r="X419" s="1027"/>
      <c r="Y419" s="1027">
        <f t="shared" si="69"/>
        <v>31</v>
      </c>
      <c r="Z419" s="1027">
        <f>Y419*(списки!$C$56-W419)</f>
        <v>663.4</v>
      </c>
      <c r="AA419" s="1028">
        <v>-12.6</v>
      </c>
      <c r="AB419" s="1028"/>
      <c r="AC419" s="1028">
        <f t="shared" si="70"/>
        <v>30</v>
      </c>
      <c r="AD419" s="1028">
        <f>AC419*(списки!$C$56-AA419)</f>
        <v>978</v>
      </c>
      <c r="AE419" s="1029">
        <v>-18.8</v>
      </c>
      <c r="AF419" s="1029"/>
      <c r="AG419" s="1029">
        <v>31</v>
      </c>
      <c r="AH419" s="1029">
        <f>AG419*(списки!$C$56-AE419)</f>
        <v>1202.8</v>
      </c>
      <c r="AI419" s="1030">
        <v>-21</v>
      </c>
      <c r="AJ419" s="1030"/>
      <c r="AK419" s="1030">
        <v>31</v>
      </c>
      <c r="AL419" s="1030">
        <f>AK419*(списки!$C$56-AI419)</f>
        <v>1271</v>
      </c>
      <c r="AM419" s="1031">
        <v>-19.399999999999999</v>
      </c>
      <c r="AN419" s="1031"/>
      <c r="AO419" s="1031">
        <v>28</v>
      </c>
      <c r="AP419" s="1031">
        <f>AO419*(списки!$C$56-AM419)</f>
        <v>1103.2</v>
      </c>
      <c r="AQ419" s="1026">
        <v>-10.9</v>
      </c>
      <c r="AR419" s="1026"/>
      <c r="AS419" s="1026">
        <f t="shared" si="71"/>
        <v>31</v>
      </c>
      <c r="AT419" s="1026">
        <f>AS419*(списки!$C$56-AQ419)</f>
        <v>957.9</v>
      </c>
      <c r="AU419" s="1032">
        <v>-1.1000000000000001</v>
      </c>
      <c r="AV419" s="1032"/>
      <c r="AW419" s="1032">
        <f t="shared" si="72"/>
        <v>30</v>
      </c>
      <c r="AX419" s="1032">
        <f>AW419*(списки!$C$56-AU419)</f>
        <v>633</v>
      </c>
      <c r="AY419" s="1033">
        <v>6</v>
      </c>
      <c r="AZ419" s="1033"/>
      <c r="BA419" s="1033">
        <f t="shared" si="73"/>
        <v>19.5</v>
      </c>
      <c r="BB419" s="1033">
        <f>BA419*(списки!$C$56-AY419)</f>
        <v>273</v>
      </c>
      <c r="BC419" s="1034">
        <v>13.4</v>
      </c>
      <c r="BD419" s="1034"/>
      <c r="BE419" s="1034">
        <f t="shared" si="74"/>
        <v>0</v>
      </c>
      <c r="BF419" s="1035">
        <f>BE419*(списки!$C$56-BC419)</f>
        <v>0</v>
      </c>
      <c r="BG419" s="1424">
        <v>6880.3321428571417</v>
      </c>
      <c r="BH419" s="1424">
        <v>6834.0624999999955</v>
      </c>
    </row>
    <row r="420" spans="2:60" ht="15.75" customHeight="1" x14ac:dyDescent="0.25">
      <c r="B420" s="1038" t="s">
        <v>625</v>
      </c>
      <c r="C420" s="1038" t="s">
        <v>403</v>
      </c>
      <c r="D420" s="1015" t="str">
        <f t="shared" si="76"/>
        <v>Удмуртская РеспубликаГлазов</v>
      </c>
      <c r="E420" s="1016">
        <v>231</v>
      </c>
      <c r="F420" s="1017">
        <v>-6</v>
      </c>
      <c r="G420" s="1017">
        <v>-35</v>
      </c>
      <c r="H420" s="1019">
        <v>4.9000000000000004</v>
      </c>
      <c r="I420" s="1020">
        <f>E420*(списки!$C$56-F420)</f>
        <v>6006</v>
      </c>
      <c r="J420" s="1021" t="str">
        <f t="shared" si="66"/>
        <v>6000-7000</v>
      </c>
      <c r="K420" s="1022">
        <v>17.8</v>
      </c>
      <c r="L420" s="1022"/>
      <c r="M420" s="1023">
        <f t="shared" si="67"/>
        <v>0</v>
      </c>
      <c r="N420" s="1024">
        <f>M420*(списки!$C$56-K420)</f>
        <v>0</v>
      </c>
      <c r="O420" s="1025">
        <v>15.4</v>
      </c>
      <c r="P420" s="1025"/>
      <c r="Q420" s="1025">
        <f t="shared" si="68"/>
        <v>0</v>
      </c>
      <c r="R420" s="1025">
        <f>Q420*(списки!$C$56-O420)</f>
        <v>0</v>
      </c>
      <c r="S420" s="1026">
        <v>9.1</v>
      </c>
      <c r="T420" s="1026"/>
      <c r="U420" s="1026">
        <f t="shared" si="75"/>
        <v>9.5</v>
      </c>
      <c r="V420" s="1026">
        <f>U420*(списки!$C$56-S420)</f>
        <v>103.55</v>
      </c>
      <c r="W420" s="1027">
        <v>1.8</v>
      </c>
      <c r="X420" s="1027"/>
      <c r="Y420" s="1027">
        <f t="shared" si="69"/>
        <v>31</v>
      </c>
      <c r="Z420" s="1027">
        <f>Y420*(списки!$C$56-W420)</f>
        <v>564.19999999999993</v>
      </c>
      <c r="AA420" s="1028">
        <v>-6.2</v>
      </c>
      <c r="AB420" s="1028"/>
      <c r="AC420" s="1028">
        <f t="shared" si="70"/>
        <v>30</v>
      </c>
      <c r="AD420" s="1028">
        <f>AC420*(списки!$C$56-AA420)</f>
        <v>786</v>
      </c>
      <c r="AE420" s="1029">
        <v>-12.6</v>
      </c>
      <c r="AF420" s="1029"/>
      <c r="AG420" s="1029">
        <v>31</v>
      </c>
      <c r="AH420" s="1029">
        <f>AG420*(списки!$C$56-AE420)</f>
        <v>1010.6</v>
      </c>
      <c r="AI420" s="1030">
        <v>-14.9</v>
      </c>
      <c r="AJ420" s="1030"/>
      <c r="AK420" s="1030">
        <v>31</v>
      </c>
      <c r="AL420" s="1030">
        <f>AK420*(списки!$C$56-AI420)</f>
        <v>1081.8999999999999</v>
      </c>
      <c r="AM420" s="1031">
        <v>-14</v>
      </c>
      <c r="AN420" s="1031"/>
      <c r="AO420" s="1031">
        <v>28</v>
      </c>
      <c r="AP420" s="1031">
        <f>AO420*(списки!$C$56-AM420)</f>
        <v>952</v>
      </c>
      <c r="AQ420" s="1026">
        <v>-8</v>
      </c>
      <c r="AR420" s="1026"/>
      <c r="AS420" s="1026">
        <f t="shared" si="71"/>
        <v>31</v>
      </c>
      <c r="AT420" s="1026">
        <f>AS420*(списки!$C$56-AQ420)</f>
        <v>868</v>
      </c>
      <c r="AU420" s="1032">
        <v>2</v>
      </c>
      <c r="AV420" s="1032"/>
      <c r="AW420" s="1032">
        <f t="shared" si="72"/>
        <v>30</v>
      </c>
      <c r="AX420" s="1032">
        <f>AW420*(списки!$C$56-AU420)</f>
        <v>540</v>
      </c>
      <c r="AY420" s="1033">
        <v>9.9</v>
      </c>
      <c r="AZ420" s="1033"/>
      <c r="BA420" s="1033">
        <f t="shared" si="73"/>
        <v>9.5</v>
      </c>
      <c r="BB420" s="1033">
        <f>BA420*(списки!$C$56-AY420)</f>
        <v>95.95</v>
      </c>
      <c r="BC420" s="1034">
        <v>15.8</v>
      </c>
      <c r="BD420" s="1034"/>
      <c r="BE420" s="1034">
        <f t="shared" si="74"/>
        <v>0</v>
      </c>
      <c r="BF420" s="1035">
        <f>BE420*(списки!$C$56-BC420)</f>
        <v>0</v>
      </c>
      <c r="BG420" s="1424">
        <v>5384.546428571427</v>
      </c>
      <c r="BH420" s="1424">
        <v>5696.4589285714292</v>
      </c>
    </row>
    <row r="421" spans="2:60" ht="15.75" customHeight="1" x14ac:dyDescent="0.25">
      <c r="B421" s="1014" t="s">
        <v>625</v>
      </c>
      <c r="C421" s="1014" t="s">
        <v>404</v>
      </c>
      <c r="D421" s="1015" t="str">
        <f t="shared" si="76"/>
        <v>Удмуртская РеспубликаИжевск</v>
      </c>
      <c r="E421" s="1016">
        <v>219</v>
      </c>
      <c r="F421" s="1017">
        <v>-5.6</v>
      </c>
      <c r="G421" s="1017">
        <v>-33</v>
      </c>
      <c r="H421" s="1019">
        <v>5.5</v>
      </c>
      <c r="I421" s="1020">
        <f>E421*(списки!$C$56-F421)</f>
        <v>5606.4000000000005</v>
      </c>
      <c r="J421" s="1021" t="str">
        <f t="shared" si="66"/>
        <v>5000-6000</v>
      </c>
      <c r="K421" s="1022">
        <v>18.600000000000001</v>
      </c>
      <c r="L421" s="1022"/>
      <c r="M421" s="1023">
        <f t="shared" si="67"/>
        <v>0</v>
      </c>
      <c r="N421" s="1024">
        <f>M421*(списки!$C$56-K421)</f>
        <v>0</v>
      </c>
      <c r="O421" s="1025">
        <v>15.9</v>
      </c>
      <c r="P421" s="1025"/>
      <c r="Q421" s="1025">
        <f t="shared" si="68"/>
        <v>0</v>
      </c>
      <c r="R421" s="1025">
        <f>Q421*(списки!$C$56-O421)</f>
        <v>0</v>
      </c>
      <c r="S421" s="1026">
        <v>10.1</v>
      </c>
      <c r="T421" s="1026"/>
      <c r="U421" s="1026">
        <f t="shared" si="75"/>
        <v>3.5</v>
      </c>
      <c r="V421" s="1026">
        <f>U421*(списки!$C$56-S421)</f>
        <v>34.65</v>
      </c>
      <c r="W421" s="1027">
        <v>2.7</v>
      </c>
      <c r="X421" s="1027"/>
      <c r="Y421" s="1027">
        <f t="shared" si="69"/>
        <v>31</v>
      </c>
      <c r="Z421" s="1027">
        <f>Y421*(списки!$C$56-W421)</f>
        <v>536.30000000000007</v>
      </c>
      <c r="AA421" s="1028">
        <v>-4.9000000000000004</v>
      </c>
      <c r="AB421" s="1028"/>
      <c r="AC421" s="1028">
        <f t="shared" si="70"/>
        <v>30</v>
      </c>
      <c r="AD421" s="1028">
        <f>AC421*(списки!$C$56-AA421)</f>
        <v>747</v>
      </c>
      <c r="AE421" s="1029">
        <v>-10.9</v>
      </c>
      <c r="AF421" s="1029"/>
      <c r="AG421" s="1029">
        <v>31</v>
      </c>
      <c r="AH421" s="1029">
        <f>AG421*(списки!$C$56-AE421)</f>
        <v>957.9</v>
      </c>
      <c r="AI421" s="1030">
        <v>-13.4</v>
      </c>
      <c r="AJ421" s="1030"/>
      <c r="AK421" s="1030">
        <v>31</v>
      </c>
      <c r="AL421" s="1030">
        <f>AK421*(списки!$C$56-AI421)</f>
        <v>1035.3999999999999</v>
      </c>
      <c r="AM421" s="1031">
        <v>-12.3</v>
      </c>
      <c r="AN421" s="1031"/>
      <c r="AO421" s="1031">
        <v>28</v>
      </c>
      <c r="AP421" s="1031">
        <f>AO421*(списки!$C$56-AM421)</f>
        <v>904.39999999999986</v>
      </c>
      <c r="AQ421" s="1026">
        <v>-5.0999999999999996</v>
      </c>
      <c r="AR421" s="1026"/>
      <c r="AS421" s="1026">
        <f t="shared" si="71"/>
        <v>31</v>
      </c>
      <c r="AT421" s="1026">
        <f>AS421*(списки!$C$56-AQ421)</f>
        <v>778.1</v>
      </c>
      <c r="AU421" s="1032">
        <v>3.8</v>
      </c>
      <c r="AV421" s="1032"/>
      <c r="AW421" s="1032">
        <f t="shared" si="72"/>
        <v>30</v>
      </c>
      <c r="AX421" s="1032">
        <f>AW421*(списки!$C$56-AU421)</f>
        <v>486</v>
      </c>
      <c r="AY421" s="1033">
        <v>11.7</v>
      </c>
      <c r="AZ421" s="1033"/>
      <c r="BA421" s="1033">
        <f t="shared" si="73"/>
        <v>3.5</v>
      </c>
      <c r="BB421" s="1033">
        <f>BA421*(списки!$C$56-AY421)</f>
        <v>29.050000000000004</v>
      </c>
      <c r="BC421" s="1034">
        <v>16.5</v>
      </c>
      <c r="BD421" s="1034"/>
      <c r="BE421" s="1034">
        <f t="shared" si="74"/>
        <v>0</v>
      </c>
      <c r="BF421" s="1035">
        <f>BE421*(списки!$C$56-BC421)</f>
        <v>0</v>
      </c>
      <c r="BG421" s="1424">
        <v>5216.1053571428556</v>
      </c>
      <c r="BH421" s="1424">
        <v>5606.5625</v>
      </c>
    </row>
    <row r="422" spans="2:60" ht="15.75" customHeight="1" x14ac:dyDescent="0.25">
      <c r="B422" s="1038" t="s">
        <v>625</v>
      </c>
      <c r="C422" s="1038" t="s">
        <v>405</v>
      </c>
      <c r="D422" s="1015" t="str">
        <f t="shared" si="76"/>
        <v>Удмуртская РеспубликаСарапул</v>
      </c>
      <c r="E422" s="1016">
        <v>215</v>
      </c>
      <c r="F422" s="1017">
        <v>-5.6</v>
      </c>
      <c r="G422" s="1017">
        <v>-33</v>
      </c>
      <c r="H422" s="1019">
        <v>3.6</v>
      </c>
      <c r="I422" s="1020">
        <f>E422*(списки!$C$56-F422)</f>
        <v>5504</v>
      </c>
      <c r="J422" s="1021" t="str">
        <f t="shared" si="66"/>
        <v>5000-6000</v>
      </c>
      <c r="K422" s="1022">
        <v>19.100000000000001</v>
      </c>
      <c r="L422" s="1022"/>
      <c r="M422" s="1023">
        <f t="shared" si="67"/>
        <v>0</v>
      </c>
      <c r="N422" s="1024">
        <f>M422*(списки!$C$56-K422)</f>
        <v>0</v>
      </c>
      <c r="O422" s="1025">
        <v>16.399999999999999</v>
      </c>
      <c r="P422" s="1025"/>
      <c r="Q422" s="1025">
        <f t="shared" si="68"/>
        <v>0</v>
      </c>
      <c r="R422" s="1025">
        <f>Q422*(списки!$C$56-O422)</f>
        <v>0</v>
      </c>
      <c r="S422" s="1026">
        <v>10.6</v>
      </c>
      <c r="T422" s="1026"/>
      <c r="U422" s="1026">
        <f t="shared" si="75"/>
        <v>1.5</v>
      </c>
      <c r="V422" s="1026">
        <f>U422*(списки!$C$56-S422)</f>
        <v>14.100000000000001</v>
      </c>
      <c r="W422" s="1027">
        <v>3.1</v>
      </c>
      <c r="X422" s="1027"/>
      <c r="Y422" s="1027">
        <f t="shared" si="69"/>
        <v>31</v>
      </c>
      <c r="Z422" s="1027">
        <f>Y422*(списки!$C$56-W422)</f>
        <v>523.9</v>
      </c>
      <c r="AA422" s="1028">
        <v>-4.5999999999999996</v>
      </c>
      <c r="AB422" s="1028"/>
      <c r="AC422" s="1028">
        <f t="shared" si="70"/>
        <v>30</v>
      </c>
      <c r="AD422" s="1028">
        <f>AC422*(списки!$C$56-AA422)</f>
        <v>738</v>
      </c>
      <c r="AE422" s="1029">
        <v>-10.6</v>
      </c>
      <c r="AF422" s="1029"/>
      <c r="AG422" s="1029">
        <v>31</v>
      </c>
      <c r="AH422" s="1029">
        <f>AG422*(списки!$C$56-AE422)</f>
        <v>948.6</v>
      </c>
      <c r="AI422" s="1030">
        <v>-13.2</v>
      </c>
      <c r="AJ422" s="1030"/>
      <c r="AK422" s="1030">
        <v>31</v>
      </c>
      <c r="AL422" s="1030">
        <f>AK422*(списки!$C$56-AI422)</f>
        <v>1029.2</v>
      </c>
      <c r="AM422" s="1031">
        <v>-12.1</v>
      </c>
      <c r="AN422" s="1031"/>
      <c r="AO422" s="1031">
        <v>28</v>
      </c>
      <c r="AP422" s="1031">
        <f>AO422*(списки!$C$56-AM422)</f>
        <v>898.80000000000007</v>
      </c>
      <c r="AQ422" s="1026">
        <v>-5</v>
      </c>
      <c r="AR422" s="1026"/>
      <c r="AS422" s="1026">
        <f t="shared" si="71"/>
        <v>31</v>
      </c>
      <c r="AT422" s="1026">
        <f>AS422*(списки!$C$56-AQ422)</f>
        <v>775</v>
      </c>
      <c r="AU422" s="1032">
        <v>4.2</v>
      </c>
      <c r="AV422" s="1032"/>
      <c r="AW422" s="1032">
        <f t="shared" si="72"/>
        <v>30</v>
      </c>
      <c r="AX422" s="1032">
        <f>AW422*(списки!$C$56-AU422)</f>
        <v>474</v>
      </c>
      <c r="AY422" s="1033">
        <v>12.2</v>
      </c>
      <c r="AZ422" s="1033"/>
      <c r="BA422" s="1033">
        <f t="shared" si="73"/>
        <v>1.5</v>
      </c>
      <c r="BB422" s="1033">
        <f>BA422*(списки!$C$56-AY422)</f>
        <v>11.700000000000001</v>
      </c>
      <c r="BC422" s="1034">
        <v>17</v>
      </c>
      <c r="BD422" s="1034"/>
      <c r="BE422" s="1034">
        <f t="shared" si="74"/>
        <v>0</v>
      </c>
      <c r="BF422" s="1035">
        <f>BE422*(списки!$C$56-BC422)</f>
        <v>0</v>
      </c>
      <c r="BG422" s="1424">
        <v>4918.3767857142848</v>
      </c>
      <c r="BH422" s="1424">
        <v>5094.2553571428589</v>
      </c>
    </row>
    <row r="423" spans="2:60" ht="15.75" customHeight="1" x14ac:dyDescent="0.25">
      <c r="B423" s="1014" t="s">
        <v>406</v>
      </c>
      <c r="C423" s="1014" t="s">
        <v>407</v>
      </c>
      <c r="D423" s="1015" t="str">
        <f t="shared" si="76"/>
        <v>Ульяновская областьСурское</v>
      </c>
      <c r="E423" s="1016">
        <v>211</v>
      </c>
      <c r="F423" s="1017">
        <v>-4.8</v>
      </c>
      <c r="G423" s="1017">
        <v>-31</v>
      </c>
      <c r="H423" s="1019">
        <f>H369</f>
        <v>5.4</v>
      </c>
      <c r="I423" s="1020">
        <f>E423*(списки!$C$56-F423)</f>
        <v>5232.8</v>
      </c>
      <c r="J423" s="1021" t="str">
        <f t="shared" si="66"/>
        <v>5000-6000</v>
      </c>
      <c r="K423" s="1022">
        <v>18.7</v>
      </c>
      <c r="L423" s="1022"/>
      <c r="M423" s="1023">
        <f t="shared" si="67"/>
        <v>0</v>
      </c>
      <c r="N423" s="1024">
        <f>M423*(списки!$C$56-K423)</f>
        <v>0</v>
      </c>
      <c r="O423" s="1025">
        <v>17.2</v>
      </c>
      <c r="P423" s="1025"/>
      <c r="Q423" s="1025">
        <f t="shared" si="68"/>
        <v>0</v>
      </c>
      <c r="R423" s="1025">
        <f>Q423*(списки!$C$56-O423)</f>
        <v>0</v>
      </c>
      <c r="S423" s="1026">
        <v>11.3</v>
      </c>
      <c r="T423" s="1026"/>
      <c r="U423" s="1026">
        <f t="shared" si="75"/>
        <v>0</v>
      </c>
      <c r="V423" s="1026">
        <f>U423*(списки!$C$56-S423)</f>
        <v>0</v>
      </c>
      <c r="W423" s="1027">
        <v>3.6</v>
      </c>
      <c r="X423" s="1027"/>
      <c r="Y423" s="1027">
        <f t="shared" si="69"/>
        <v>30</v>
      </c>
      <c r="Z423" s="1027">
        <f>Y423*(списки!$C$56-W423)</f>
        <v>491.99999999999994</v>
      </c>
      <c r="AA423" s="1028">
        <v>-3.1</v>
      </c>
      <c r="AB423" s="1028"/>
      <c r="AC423" s="1028">
        <f t="shared" si="70"/>
        <v>30</v>
      </c>
      <c r="AD423" s="1028">
        <f>AC423*(списки!$C$56-AA423)</f>
        <v>693</v>
      </c>
      <c r="AE423" s="1029">
        <v>-8.9</v>
      </c>
      <c r="AF423" s="1029"/>
      <c r="AG423" s="1029">
        <v>31</v>
      </c>
      <c r="AH423" s="1029">
        <f>AG423*(списки!$C$56-AE423)</f>
        <v>895.9</v>
      </c>
      <c r="AI423" s="1030">
        <v>-13.2</v>
      </c>
      <c r="AJ423" s="1030"/>
      <c r="AK423" s="1030">
        <v>31</v>
      </c>
      <c r="AL423" s="1030">
        <f>AK423*(списки!$C$56-AI423)</f>
        <v>1029.2</v>
      </c>
      <c r="AM423" s="1031">
        <v>-12.5</v>
      </c>
      <c r="AN423" s="1031"/>
      <c r="AO423" s="1031">
        <v>28</v>
      </c>
      <c r="AP423" s="1031">
        <f>AO423*(списки!$C$56-AM423)</f>
        <v>910</v>
      </c>
      <c r="AQ423" s="1026">
        <v>-6.1</v>
      </c>
      <c r="AR423" s="1026"/>
      <c r="AS423" s="1026">
        <f t="shared" si="71"/>
        <v>31</v>
      </c>
      <c r="AT423" s="1026">
        <f>AS423*(списки!$C$56-AQ423)</f>
        <v>809.1</v>
      </c>
      <c r="AU423" s="1032">
        <v>4.8</v>
      </c>
      <c r="AV423" s="1032"/>
      <c r="AW423" s="1032">
        <f t="shared" si="72"/>
        <v>30</v>
      </c>
      <c r="AX423" s="1032">
        <f>AW423*(списки!$C$56-AU423)</f>
        <v>456</v>
      </c>
      <c r="AY423" s="1033">
        <v>13</v>
      </c>
      <c r="AZ423" s="1033"/>
      <c r="BA423" s="1033">
        <f t="shared" si="73"/>
        <v>0</v>
      </c>
      <c r="BB423" s="1033">
        <f>BA423*(списки!$C$56-AY423)</f>
        <v>0</v>
      </c>
      <c r="BC423" s="1034">
        <v>17.100000000000001</v>
      </c>
      <c r="BD423" s="1034"/>
      <c r="BE423" s="1034">
        <f t="shared" si="74"/>
        <v>0</v>
      </c>
      <c r="BF423" s="1035">
        <f>BE423*(списки!$C$56-BC423)</f>
        <v>0</v>
      </c>
      <c r="BG423" s="1424">
        <v>4562.8375000000005</v>
      </c>
      <c r="BH423" s="1424">
        <v>4634.3375000000005</v>
      </c>
    </row>
    <row r="424" spans="2:60" ht="15.75" customHeight="1" x14ac:dyDescent="0.25">
      <c r="B424" s="1038" t="s">
        <v>406</v>
      </c>
      <c r="C424" s="1038" t="s">
        <v>408</v>
      </c>
      <c r="D424" s="1015" t="str">
        <f t="shared" si="76"/>
        <v>Ульяновская областьУльяновск</v>
      </c>
      <c r="E424" s="1016">
        <v>212</v>
      </c>
      <c r="F424" s="1017">
        <v>-5.4</v>
      </c>
      <c r="G424" s="1017">
        <v>-31</v>
      </c>
      <c r="H424" s="1019">
        <f>H423</f>
        <v>5.4</v>
      </c>
      <c r="I424" s="1020">
        <f>E424*(списки!$C$56-F424)</f>
        <v>5384.7999999999993</v>
      </c>
      <c r="J424" s="1021" t="str">
        <f t="shared" si="66"/>
        <v>5000-6000</v>
      </c>
      <c r="K424" s="1022">
        <v>19.600000000000001</v>
      </c>
      <c r="L424" s="1022"/>
      <c r="M424" s="1023">
        <f t="shared" si="67"/>
        <v>0.5</v>
      </c>
      <c r="N424" s="1024">
        <f>M424*(списки!$C$56-K424)</f>
        <v>0.19999999999999929</v>
      </c>
      <c r="O424" s="1025">
        <v>17.600000000000001</v>
      </c>
      <c r="P424" s="1025"/>
      <c r="Q424" s="1025">
        <f t="shared" si="68"/>
        <v>0</v>
      </c>
      <c r="R424" s="1025">
        <f>Q424*(списки!$C$56-O424)</f>
        <v>0</v>
      </c>
      <c r="S424" s="1026">
        <v>11.4</v>
      </c>
      <c r="T424" s="1026"/>
      <c r="U424" s="1026">
        <f t="shared" si="75"/>
        <v>0</v>
      </c>
      <c r="V424" s="1026">
        <f>U424*(списки!$C$56-S424)</f>
        <v>0</v>
      </c>
      <c r="W424" s="1027">
        <v>3.8</v>
      </c>
      <c r="X424" s="1027"/>
      <c r="Y424" s="1027">
        <f t="shared" si="69"/>
        <v>30.5</v>
      </c>
      <c r="Z424" s="1027">
        <f>Y424*(списки!$C$56-W424)</f>
        <v>494.09999999999997</v>
      </c>
      <c r="AA424" s="1028">
        <v>-4.0999999999999996</v>
      </c>
      <c r="AB424" s="1028"/>
      <c r="AC424" s="1028">
        <f t="shared" si="70"/>
        <v>30</v>
      </c>
      <c r="AD424" s="1028">
        <f>AC424*(списки!$C$56-AA424)</f>
        <v>723</v>
      </c>
      <c r="AE424" s="1029">
        <v>-10.4</v>
      </c>
      <c r="AF424" s="1029"/>
      <c r="AG424" s="1029">
        <v>31</v>
      </c>
      <c r="AH424" s="1029">
        <f>AG424*(списки!$C$56-AE424)</f>
        <v>942.4</v>
      </c>
      <c r="AI424" s="1030">
        <v>-13.8</v>
      </c>
      <c r="AJ424" s="1030"/>
      <c r="AK424" s="1030">
        <v>31</v>
      </c>
      <c r="AL424" s="1030">
        <f>AK424*(списки!$C$56-AI424)</f>
        <v>1047.8</v>
      </c>
      <c r="AM424" s="1031">
        <v>-13.2</v>
      </c>
      <c r="AN424" s="1031"/>
      <c r="AO424" s="1031">
        <v>28</v>
      </c>
      <c r="AP424" s="1031">
        <f>AO424*(списки!$C$56-AM424)</f>
        <v>929.60000000000014</v>
      </c>
      <c r="AQ424" s="1026">
        <v>-6.8</v>
      </c>
      <c r="AR424" s="1026"/>
      <c r="AS424" s="1026">
        <f t="shared" si="71"/>
        <v>31</v>
      </c>
      <c r="AT424" s="1026">
        <f>AS424*(списки!$C$56-AQ424)</f>
        <v>830.80000000000007</v>
      </c>
      <c r="AU424" s="1032">
        <v>4.0999999999999996</v>
      </c>
      <c r="AV424" s="1032"/>
      <c r="AW424" s="1032">
        <f t="shared" si="72"/>
        <v>30</v>
      </c>
      <c r="AX424" s="1032">
        <f>AW424*(списки!$C$56-AU424)</f>
        <v>477</v>
      </c>
      <c r="AY424" s="1033">
        <v>12.6</v>
      </c>
      <c r="AZ424" s="1033"/>
      <c r="BA424" s="1033">
        <f t="shared" si="73"/>
        <v>0</v>
      </c>
      <c r="BB424" s="1033">
        <f>BA424*(списки!$C$56-AY424)</f>
        <v>0</v>
      </c>
      <c r="BC424" s="1034">
        <v>17.600000000000001</v>
      </c>
      <c r="BD424" s="1034"/>
      <c r="BE424" s="1034">
        <f t="shared" si="74"/>
        <v>0</v>
      </c>
      <c r="BF424" s="1035">
        <f>BE424*(списки!$C$56-BC424)</f>
        <v>0</v>
      </c>
      <c r="BG424" s="1424">
        <v>4653.3839285714257</v>
      </c>
      <c r="BH424" s="1424">
        <v>4727.8875000000007</v>
      </c>
    </row>
    <row r="425" spans="2:60" ht="15.75" customHeight="1" x14ac:dyDescent="0.25">
      <c r="B425" s="1014" t="s">
        <v>121</v>
      </c>
      <c r="C425" s="1014" t="s">
        <v>122</v>
      </c>
      <c r="D425" s="1015" t="str">
        <f t="shared" si="76"/>
        <v>Хабаровский крайАян</v>
      </c>
      <c r="E425" s="1016">
        <v>278</v>
      </c>
      <c r="F425" s="1017">
        <v>-7.4</v>
      </c>
      <c r="G425" s="1017">
        <v>-28</v>
      </c>
      <c r="H425" s="1019">
        <v>4.0999999999999996</v>
      </c>
      <c r="I425" s="1020">
        <f>E425*(списки!$C$56-F425)</f>
        <v>7617.2</v>
      </c>
      <c r="J425" s="1021" t="str">
        <f t="shared" si="66"/>
        <v>7000-8000</v>
      </c>
      <c r="K425" s="1022">
        <v>11.4</v>
      </c>
      <c r="L425" s="1022"/>
      <c r="M425" s="1023">
        <f t="shared" si="67"/>
        <v>0</v>
      </c>
      <c r="N425" s="1024">
        <f>M425*(списки!$C$56-K425)</f>
        <v>0</v>
      </c>
      <c r="O425" s="1025">
        <v>13.2</v>
      </c>
      <c r="P425" s="1025"/>
      <c r="Q425" s="1025">
        <f t="shared" si="68"/>
        <v>2.5</v>
      </c>
      <c r="R425" s="1025">
        <f>Q425*(списки!$C$56-O425)</f>
        <v>17</v>
      </c>
      <c r="S425" s="1026">
        <v>9.6</v>
      </c>
      <c r="T425" s="1026"/>
      <c r="U425" s="1026">
        <f t="shared" si="75"/>
        <v>30</v>
      </c>
      <c r="V425" s="1026">
        <f>U425*(списки!$C$56-S425)</f>
        <v>312</v>
      </c>
      <c r="W425" s="1027">
        <v>0.4</v>
      </c>
      <c r="X425" s="1027"/>
      <c r="Y425" s="1027">
        <f t="shared" si="69"/>
        <v>31</v>
      </c>
      <c r="Z425" s="1027">
        <f>Y425*(списки!$C$56-W425)</f>
        <v>607.6</v>
      </c>
      <c r="AA425" s="1028">
        <v>-11</v>
      </c>
      <c r="AB425" s="1028"/>
      <c r="AC425" s="1028">
        <f t="shared" si="70"/>
        <v>30</v>
      </c>
      <c r="AD425" s="1028">
        <f>AC425*(списки!$C$56-AA425)</f>
        <v>930</v>
      </c>
      <c r="AE425" s="1029">
        <v>-17.399999999999999</v>
      </c>
      <c r="AF425" s="1029"/>
      <c r="AG425" s="1029">
        <v>31</v>
      </c>
      <c r="AH425" s="1029">
        <f>AG425*(списки!$C$56-AE425)</f>
        <v>1159.3999999999999</v>
      </c>
      <c r="AI425" s="1030">
        <v>-19.7</v>
      </c>
      <c r="AJ425" s="1030"/>
      <c r="AK425" s="1030">
        <v>31</v>
      </c>
      <c r="AL425" s="1030">
        <f>AK425*(списки!$C$56-AI425)</f>
        <v>1230.7</v>
      </c>
      <c r="AM425" s="1031">
        <v>-17.600000000000001</v>
      </c>
      <c r="AN425" s="1031"/>
      <c r="AO425" s="1031">
        <v>28</v>
      </c>
      <c r="AP425" s="1031">
        <f>AO425*(списки!$C$56-AM425)</f>
        <v>1052.8</v>
      </c>
      <c r="AQ425" s="1026">
        <v>-11.6</v>
      </c>
      <c r="AR425" s="1026"/>
      <c r="AS425" s="1026">
        <f t="shared" si="71"/>
        <v>31</v>
      </c>
      <c r="AT425" s="1026">
        <f>AS425*(списки!$C$56-AQ425)</f>
        <v>979.6</v>
      </c>
      <c r="AU425" s="1032">
        <v>-3.8</v>
      </c>
      <c r="AV425" s="1032"/>
      <c r="AW425" s="1032">
        <f t="shared" si="72"/>
        <v>30</v>
      </c>
      <c r="AX425" s="1032">
        <f>AW425*(списки!$C$56-AU425)</f>
        <v>714</v>
      </c>
      <c r="AY425" s="1033">
        <v>0.8</v>
      </c>
      <c r="AZ425" s="1033"/>
      <c r="BA425" s="1033">
        <f t="shared" si="73"/>
        <v>31</v>
      </c>
      <c r="BB425" s="1033">
        <f>BA425*(списки!$C$56-AY425)</f>
        <v>595.19999999999993</v>
      </c>
      <c r="BC425" s="1034">
        <v>5.6</v>
      </c>
      <c r="BD425" s="1034"/>
      <c r="BE425" s="1034">
        <f t="shared" si="74"/>
        <v>2.5</v>
      </c>
      <c r="BF425" s="1035">
        <f>BE425*(списки!$C$56-BC425)</f>
        <v>36</v>
      </c>
      <c r="BG425" s="1424">
        <v>7606.1559523809547</v>
      </c>
      <c r="BH425" s="1424">
        <v>7158.9874999999975</v>
      </c>
    </row>
    <row r="426" spans="2:60" ht="15.75" customHeight="1" x14ac:dyDescent="0.25">
      <c r="B426" s="1038" t="s">
        <v>121</v>
      </c>
      <c r="C426" s="1038" t="s">
        <v>123</v>
      </c>
      <c r="D426" s="1015" t="str">
        <f t="shared" si="76"/>
        <v>Хабаровский крайБайдуков</v>
      </c>
      <c r="E426" s="1016">
        <v>255</v>
      </c>
      <c r="F426" s="1017">
        <v>-9</v>
      </c>
      <c r="G426" s="1017">
        <v>-31</v>
      </c>
      <c r="H426" s="1019">
        <f>4.1</f>
        <v>4.0999999999999996</v>
      </c>
      <c r="I426" s="1020">
        <f>E426*(списки!$C$56-F426)</f>
        <v>7395</v>
      </c>
      <c r="J426" s="1021" t="str">
        <f t="shared" si="66"/>
        <v>7000-8000</v>
      </c>
      <c r="K426" s="1022">
        <v>14.5</v>
      </c>
      <c r="L426" s="1022"/>
      <c r="M426" s="1023">
        <f t="shared" si="67"/>
        <v>0</v>
      </c>
      <c r="N426" s="1024">
        <f>M426*(списки!$C$56-K426)</f>
        <v>0</v>
      </c>
      <c r="O426" s="1025">
        <v>15.5</v>
      </c>
      <c r="P426" s="1025"/>
      <c r="Q426" s="1025">
        <f t="shared" si="68"/>
        <v>0</v>
      </c>
      <c r="R426" s="1025">
        <f>Q426*(списки!$C$56-O426)</f>
        <v>0</v>
      </c>
      <c r="S426" s="1026">
        <v>12</v>
      </c>
      <c r="T426" s="1026"/>
      <c r="U426" s="1026">
        <f t="shared" si="75"/>
        <v>21.5</v>
      </c>
      <c r="V426" s="1026">
        <f>U426*(списки!$C$56-S426)</f>
        <v>172</v>
      </c>
      <c r="W426" s="1027">
        <v>3.4</v>
      </c>
      <c r="X426" s="1027"/>
      <c r="Y426" s="1027">
        <f t="shared" si="69"/>
        <v>31</v>
      </c>
      <c r="Z426" s="1027">
        <f>Y426*(списки!$C$56-W426)</f>
        <v>514.6</v>
      </c>
      <c r="AA426" s="1028">
        <v>-7.1</v>
      </c>
      <c r="AB426" s="1028"/>
      <c r="AC426" s="1028">
        <f t="shared" si="70"/>
        <v>30</v>
      </c>
      <c r="AD426" s="1028">
        <f>AC426*(списки!$C$56-AA426)</f>
        <v>813</v>
      </c>
      <c r="AE426" s="1029">
        <v>-16.600000000000001</v>
      </c>
      <c r="AF426" s="1029"/>
      <c r="AG426" s="1029">
        <v>31</v>
      </c>
      <c r="AH426" s="1029">
        <f>AG426*(списки!$C$56-AE426)</f>
        <v>1134.6000000000001</v>
      </c>
      <c r="AI426" s="1030">
        <v>-21.7</v>
      </c>
      <c r="AJ426" s="1030"/>
      <c r="AK426" s="1030">
        <v>31</v>
      </c>
      <c r="AL426" s="1030">
        <f>AK426*(списки!$C$56-AI426)</f>
        <v>1292.7</v>
      </c>
      <c r="AM426" s="1031">
        <v>-20.2</v>
      </c>
      <c r="AN426" s="1031"/>
      <c r="AO426" s="1031">
        <v>28</v>
      </c>
      <c r="AP426" s="1031">
        <f>AO426*(списки!$C$56-AM426)</f>
        <v>1125.6000000000001</v>
      </c>
      <c r="AQ426" s="1026">
        <v>-14.5</v>
      </c>
      <c r="AR426" s="1026"/>
      <c r="AS426" s="1026">
        <f t="shared" si="71"/>
        <v>31</v>
      </c>
      <c r="AT426" s="1026">
        <f>AS426*(списки!$C$56-AQ426)</f>
        <v>1069.5</v>
      </c>
      <c r="AU426" s="1032">
        <v>-5.2</v>
      </c>
      <c r="AV426" s="1032"/>
      <c r="AW426" s="1032">
        <f t="shared" si="72"/>
        <v>30</v>
      </c>
      <c r="AX426" s="1032">
        <f>AW426*(списки!$C$56-AU426)</f>
        <v>756</v>
      </c>
      <c r="AY426" s="1033">
        <v>0.9</v>
      </c>
      <c r="AZ426" s="1033"/>
      <c r="BA426" s="1033">
        <f t="shared" si="73"/>
        <v>21.5</v>
      </c>
      <c r="BB426" s="1033">
        <f>BA426*(списки!$C$56-AY426)</f>
        <v>410.65000000000003</v>
      </c>
      <c r="BC426" s="1034">
        <v>9.1</v>
      </c>
      <c r="BD426" s="1034"/>
      <c r="BE426" s="1034">
        <f t="shared" si="74"/>
        <v>0</v>
      </c>
      <c r="BF426" s="1035">
        <f>BE426*(списки!$C$56-BC426)</f>
        <v>0</v>
      </c>
      <c r="BG426" s="1424" t="e">
        <v>#N/A</v>
      </c>
      <c r="BH426" s="1424" t="e">
        <v>#N/A</v>
      </c>
    </row>
    <row r="427" spans="2:60" ht="15.75" customHeight="1" x14ac:dyDescent="0.25">
      <c r="B427" s="1014" t="s">
        <v>121</v>
      </c>
      <c r="C427" s="1014" t="s">
        <v>124</v>
      </c>
      <c r="D427" s="1015" t="str">
        <f t="shared" si="76"/>
        <v>Хабаровский крайБикин</v>
      </c>
      <c r="E427" s="1016">
        <v>208</v>
      </c>
      <c r="F427" s="1017">
        <v>-9.1</v>
      </c>
      <c r="G427" s="1017">
        <v>-32</v>
      </c>
      <c r="H427" s="1019">
        <v>3.2</v>
      </c>
      <c r="I427" s="1020">
        <f>E427*(списки!$C$56-F427)</f>
        <v>6052.8</v>
      </c>
      <c r="J427" s="1021" t="str">
        <f t="shared" si="66"/>
        <v>6000-7000</v>
      </c>
      <c r="K427" s="1022">
        <v>21</v>
      </c>
      <c r="L427" s="1022"/>
      <c r="M427" s="1023">
        <f t="shared" si="67"/>
        <v>0</v>
      </c>
      <c r="N427" s="1024">
        <f>M427*(списки!$C$56-K427)</f>
        <v>0</v>
      </c>
      <c r="O427" s="1025">
        <v>19.899999999999999</v>
      </c>
      <c r="P427" s="1025"/>
      <c r="Q427" s="1025">
        <f t="shared" si="68"/>
        <v>0</v>
      </c>
      <c r="R427" s="1025">
        <f>Q427*(списки!$C$56-O427)</f>
        <v>0</v>
      </c>
      <c r="S427" s="1026">
        <v>13.3</v>
      </c>
      <c r="T427" s="1026"/>
      <c r="U427" s="1026">
        <f t="shared" si="75"/>
        <v>0</v>
      </c>
      <c r="V427" s="1026">
        <f>U427*(списки!$C$56-S427)</f>
        <v>0</v>
      </c>
      <c r="W427" s="1027">
        <v>4.5</v>
      </c>
      <c r="X427" s="1027"/>
      <c r="Y427" s="1027">
        <f t="shared" si="69"/>
        <v>28.5</v>
      </c>
      <c r="Z427" s="1027">
        <f>Y427*(списки!$C$56-W427)</f>
        <v>441.75</v>
      </c>
      <c r="AA427" s="1028">
        <v>-7.6</v>
      </c>
      <c r="AB427" s="1028"/>
      <c r="AC427" s="1028">
        <f t="shared" si="70"/>
        <v>30</v>
      </c>
      <c r="AD427" s="1028">
        <f>AC427*(списки!$C$56-AA427)</f>
        <v>828</v>
      </c>
      <c r="AE427" s="1029">
        <v>-18.3</v>
      </c>
      <c r="AF427" s="1029"/>
      <c r="AG427" s="1029">
        <v>31</v>
      </c>
      <c r="AH427" s="1029">
        <f>AG427*(списки!$C$56-AE427)</f>
        <v>1187.3</v>
      </c>
      <c r="AI427" s="1030">
        <v>-22.4</v>
      </c>
      <c r="AJ427" s="1030"/>
      <c r="AK427" s="1030">
        <v>31</v>
      </c>
      <c r="AL427" s="1030">
        <f>AK427*(списки!$C$56-AI427)</f>
        <v>1314.3999999999999</v>
      </c>
      <c r="AM427" s="1031">
        <v>-17.399999999999999</v>
      </c>
      <c r="AN427" s="1031"/>
      <c r="AO427" s="1031">
        <v>28</v>
      </c>
      <c r="AP427" s="1031">
        <f>AO427*(списки!$C$56-AM427)</f>
        <v>1047.2</v>
      </c>
      <c r="AQ427" s="1026">
        <v>-8.1</v>
      </c>
      <c r="AR427" s="1026"/>
      <c r="AS427" s="1026">
        <f t="shared" si="71"/>
        <v>31</v>
      </c>
      <c r="AT427" s="1026">
        <f>AS427*(списки!$C$56-AQ427)</f>
        <v>871.1</v>
      </c>
      <c r="AU427" s="1032">
        <v>4.0999999999999996</v>
      </c>
      <c r="AV427" s="1032"/>
      <c r="AW427" s="1032">
        <f t="shared" si="72"/>
        <v>28.5</v>
      </c>
      <c r="AX427" s="1032">
        <f>AW427*(списки!$C$56-AU427)</f>
        <v>453.15000000000003</v>
      </c>
      <c r="AY427" s="1033">
        <v>11.7</v>
      </c>
      <c r="AZ427" s="1033"/>
      <c r="BA427" s="1033">
        <f t="shared" si="73"/>
        <v>0</v>
      </c>
      <c r="BB427" s="1033">
        <f>BA427*(списки!$C$56-AY427)</f>
        <v>0</v>
      </c>
      <c r="BC427" s="1034">
        <v>17.399999999999999</v>
      </c>
      <c r="BD427" s="1034"/>
      <c r="BE427" s="1034">
        <f t="shared" si="74"/>
        <v>0</v>
      </c>
      <c r="BF427" s="1035">
        <f>BE427*(списки!$C$56-BC427)</f>
        <v>0</v>
      </c>
      <c r="BG427" s="1424">
        <v>5989.5375000000022</v>
      </c>
      <c r="BH427" s="1424">
        <v>5605</v>
      </c>
    </row>
    <row r="428" spans="2:60" ht="15.75" customHeight="1" x14ac:dyDescent="0.25">
      <c r="B428" s="1038" t="s">
        <v>121</v>
      </c>
      <c r="C428" s="1038" t="s">
        <v>125</v>
      </c>
      <c r="D428" s="1015" t="str">
        <f t="shared" si="76"/>
        <v>Хабаровский крайБира</v>
      </c>
      <c r="E428" s="1016">
        <v>220</v>
      </c>
      <c r="F428" s="1017">
        <v>-9.1</v>
      </c>
      <c r="G428" s="1017">
        <v>-31</v>
      </c>
      <c r="H428" s="1019">
        <f>H429</f>
        <v>4.0999999999999996</v>
      </c>
      <c r="I428" s="1020">
        <f>E428*(списки!$C$56-F428)</f>
        <v>6402</v>
      </c>
      <c r="J428" s="1021" t="str">
        <f t="shared" si="66"/>
        <v>6000-7000</v>
      </c>
      <c r="K428" s="1022">
        <v>20.100000000000001</v>
      </c>
      <c r="L428" s="1022"/>
      <c r="M428" s="1023">
        <f t="shared" si="67"/>
        <v>0</v>
      </c>
      <c r="N428" s="1024">
        <f>M428*(списки!$C$56-K428)</f>
        <v>0</v>
      </c>
      <c r="O428" s="1025">
        <v>18.5</v>
      </c>
      <c r="P428" s="1025"/>
      <c r="Q428" s="1025">
        <f t="shared" si="68"/>
        <v>0</v>
      </c>
      <c r="R428" s="1025">
        <f>Q428*(списки!$C$56-O428)</f>
        <v>0</v>
      </c>
      <c r="S428" s="1026">
        <v>12</v>
      </c>
      <c r="T428" s="1026"/>
      <c r="U428" s="1026">
        <f t="shared" si="75"/>
        <v>4</v>
      </c>
      <c r="V428" s="1026">
        <f>U428*(списки!$C$56-S428)</f>
        <v>32</v>
      </c>
      <c r="W428" s="1027">
        <v>2.6</v>
      </c>
      <c r="X428" s="1027"/>
      <c r="Y428" s="1027">
        <f t="shared" si="69"/>
        <v>31</v>
      </c>
      <c r="Z428" s="1027">
        <f>Y428*(списки!$C$56-W428)</f>
        <v>539.4</v>
      </c>
      <c r="AA428" s="1028">
        <v>-10.1</v>
      </c>
      <c r="AB428" s="1028"/>
      <c r="AC428" s="1028">
        <f t="shared" si="70"/>
        <v>30</v>
      </c>
      <c r="AD428" s="1028">
        <f>AC428*(списки!$C$56-AA428)</f>
        <v>903</v>
      </c>
      <c r="AE428" s="1029">
        <v>-19.5</v>
      </c>
      <c r="AF428" s="1029"/>
      <c r="AG428" s="1029">
        <v>31</v>
      </c>
      <c r="AH428" s="1029">
        <f>AG428*(списки!$C$56-AE428)</f>
        <v>1224.5</v>
      </c>
      <c r="AI428" s="1030">
        <v>-22</v>
      </c>
      <c r="AJ428" s="1030"/>
      <c r="AK428" s="1030">
        <v>31</v>
      </c>
      <c r="AL428" s="1030">
        <f>AK428*(списки!$C$56-AI428)</f>
        <v>1302</v>
      </c>
      <c r="AM428" s="1031">
        <v>-16.600000000000001</v>
      </c>
      <c r="AN428" s="1031"/>
      <c r="AO428" s="1031">
        <v>28</v>
      </c>
      <c r="AP428" s="1031">
        <f>AO428*(списки!$C$56-AM428)</f>
        <v>1024.8</v>
      </c>
      <c r="AQ428" s="1026">
        <v>-8.1999999999999993</v>
      </c>
      <c r="AR428" s="1026"/>
      <c r="AS428" s="1026">
        <f t="shared" si="71"/>
        <v>31</v>
      </c>
      <c r="AT428" s="1026">
        <f>AS428*(списки!$C$56-AQ428)</f>
        <v>874.19999999999993</v>
      </c>
      <c r="AU428" s="1032">
        <v>2.7</v>
      </c>
      <c r="AV428" s="1032"/>
      <c r="AW428" s="1032">
        <f t="shared" si="72"/>
        <v>30</v>
      </c>
      <c r="AX428" s="1032">
        <f>AW428*(списки!$C$56-AU428)</f>
        <v>519</v>
      </c>
      <c r="AY428" s="1033">
        <v>10.199999999999999</v>
      </c>
      <c r="AZ428" s="1033"/>
      <c r="BA428" s="1033">
        <f t="shared" si="73"/>
        <v>4</v>
      </c>
      <c r="BB428" s="1033">
        <f>BA428*(списки!$C$56-AY428)</f>
        <v>39.200000000000003</v>
      </c>
      <c r="BC428" s="1034">
        <v>16.5</v>
      </c>
      <c r="BD428" s="1034"/>
      <c r="BE428" s="1034">
        <f t="shared" si="74"/>
        <v>0</v>
      </c>
      <c r="BF428" s="1035">
        <f>BE428*(списки!$C$56-BC428)</f>
        <v>0</v>
      </c>
      <c r="BG428" s="1424" t="e">
        <v>#N/A</v>
      </c>
      <c r="BH428" s="1424" t="e">
        <v>#N/A</v>
      </c>
    </row>
    <row r="429" spans="2:60" ht="15.75" customHeight="1" x14ac:dyDescent="0.25">
      <c r="B429" s="1014" t="s">
        <v>121</v>
      </c>
      <c r="C429" s="1014" t="s">
        <v>700</v>
      </c>
      <c r="D429" s="1015" t="str">
        <f t="shared" si="76"/>
        <v>Хабаровский крайВяземский</v>
      </c>
      <c r="E429" s="1016">
        <v>213</v>
      </c>
      <c r="F429" s="1017">
        <v>-9.3000000000000007</v>
      </c>
      <c r="G429" s="1017">
        <v>-31</v>
      </c>
      <c r="H429" s="1019">
        <v>4.0999999999999996</v>
      </c>
      <c r="I429" s="1020">
        <f>E429*(списки!$C$56-F429)</f>
        <v>6240.9000000000005</v>
      </c>
      <c r="J429" s="1021" t="str">
        <f t="shared" si="66"/>
        <v>6000-7000</v>
      </c>
      <c r="K429" s="1022">
        <v>20.6</v>
      </c>
      <c r="L429" s="1022"/>
      <c r="M429" s="1023">
        <f t="shared" si="67"/>
        <v>0</v>
      </c>
      <c r="N429" s="1024">
        <f>M429*(списки!$C$56-K429)</f>
        <v>0</v>
      </c>
      <c r="O429" s="1025">
        <v>19.600000000000001</v>
      </c>
      <c r="P429" s="1025"/>
      <c r="Q429" s="1025">
        <f t="shared" si="68"/>
        <v>0</v>
      </c>
      <c r="R429" s="1025">
        <f>Q429*(списки!$C$56-O429)</f>
        <v>0</v>
      </c>
      <c r="S429" s="1026">
        <v>13</v>
      </c>
      <c r="T429" s="1026"/>
      <c r="U429" s="1026">
        <f t="shared" si="75"/>
        <v>0.5</v>
      </c>
      <c r="V429" s="1026">
        <f>U429*(списки!$C$56-S429)</f>
        <v>3.5</v>
      </c>
      <c r="W429" s="1027">
        <v>3.9</v>
      </c>
      <c r="X429" s="1027"/>
      <c r="Y429" s="1027">
        <f t="shared" si="69"/>
        <v>31</v>
      </c>
      <c r="Z429" s="1027">
        <f>Y429*(списки!$C$56-W429)</f>
        <v>499.1</v>
      </c>
      <c r="AA429" s="1028">
        <v>-8.1999999999999993</v>
      </c>
      <c r="AB429" s="1028"/>
      <c r="AC429" s="1028">
        <f t="shared" si="70"/>
        <v>30</v>
      </c>
      <c r="AD429" s="1028">
        <f>AC429*(списки!$C$56-AA429)</f>
        <v>846</v>
      </c>
      <c r="AE429" s="1029">
        <v>-18.100000000000001</v>
      </c>
      <c r="AF429" s="1029"/>
      <c r="AG429" s="1029">
        <v>31</v>
      </c>
      <c r="AH429" s="1029">
        <f>AG429*(списки!$C$56-AE429)</f>
        <v>1181.1000000000001</v>
      </c>
      <c r="AI429" s="1030">
        <v>-22.3</v>
      </c>
      <c r="AJ429" s="1030"/>
      <c r="AK429" s="1030">
        <v>31</v>
      </c>
      <c r="AL429" s="1030">
        <f>AK429*(списки!$C$56-AI429)</f>
        <v>1311.3</v>
      </c>
      <c r="AM429" s="1031">
        <v>-17.8</v>
      </c>
      <c r="AN429" s="1031"/>
      <c r="AO429" s="1031">
        <v>28</v>
      </c>
      <c r="AP429" s="1031">
        <f>AO429*(списки!$C$56-AM429)</f>
        <v>1058.3999999999999</v>
      </c>
      <c r="AQ429" s="1026">
        <v>-9</v>
      </c>
      <c r="AR429" s="1026"/>
      <c r="AS429" s="1026">
        <f t="shared" si="71"/>
        <v>31</v>
      </c>
      <c r="AT429" s="1026">
        <f>AS429*(списки!$C$56-AQ429)</f>
        <v>899</v>
      </c>
      <c r="AU429" s="1032">
        <v>3.4</v>
      </c>
      <c r="AV429" s="1032"/>
      <c r="AW429" s="1032">
        <f t="shared" si="72"/>
        <v>30</v>
      </c>
      <c r="AX429" s="1032">
        <f>AW429*(списки!$C$56-AU429)</f>
        <v>498.00000000000006</v>
      </c>
      <c r="AY429" s="1033">
        <v>11.3</v>
      </c>
      <c r="AZ429" s="1033"/>
      <c r="BA429" s="1033">
        <f t="shared" si="73"/>
        <v>0.5</v>
      </c>
      <c r="BB429" s="1033">
        <f>BA429*(списки!$C$56-AY429)</f>
        <v>4.3499999999999996</v>
      </c>
      <c r="BC429" s="1034">
        <v>17.100000000000001</v>
      </c>
      <c r="BD429" s="1034"/>
      <c r="BE429" s="1034">
        <f t="shared" si="74"/>
        <v>0</v>
      </c>
      <c r="BF429" s="1035">
        <f>BE429*(списки!$C$56-BC429)</f>
        <v>0</v>
      </c>
      <c r="BG429" s="1424" t="e">
        <v>#N/A</v>
      </c>
      <c r="BH429" s="1424" t="e">
        <v>#N/A</v>
      </c>
    </row>
    <row r="430" spans="2:60" ht="15.75" customHeight="1" x14ac:dyDescent="0.25">
      <c r="B430" s="1038" t="s">
        <v>121</v>
      </c>
      <c r="C430" s="1038" t="s">
        <v>131</v>
      </c>
      <c r="D430" s="1015" t="str">
        <f t="shared" si="76"/>
        <v>Хабаровский крайГвасюги</v>
      </c>
      <c r="E430" s="1016">
        <v>228</v>
      </c>
      <c r="F430" s="1017">
        <v>-10.4</v>
      </c>
      <c r="G430" s="1017">
        <v>-35</v>
      </c>
      <c r="H430" s="1019">
        <f>H429</f>
        <v>4.0999999999999996</v>
      </c>
      <c r="I430" s="1020">
        <f>E430*(списки!$C$56-F430)</f>
        <v>6931.2</v>
      </c>
      <c r="J430" s="1021" t="str">
        <f t="shared" si="66"/>
        <v>6000-7000</v>
      </c>
      <c r="K430" s="1022">
        <v>19.600000000000001</v>
      </c>
      <c r="L430" s="1022"/>
      <c r="M430" s="1023">
        <f t="shared" si="67"/>
        <v>0</v>
      </c>
      <c r="N430" s="1024">
        <f>M430*(списки!$C$56-K430)</f>
        <v>0</v>
      </c>
      <c r="O430" s="1025">
        <v>18.399999999999999</v>
      </c>
      <c r="P430" s="1025"/>
      <c r="Q430" s="1025">
        <f t="shared" si="68"/>
        <v>0</v>
      </c>
      <c r="R430" s="1025">
        <f>Q430*(списки!$C$56-O430)</f>
        <v>0</v>
      </c>
      <c r="S430" s="1026">
        <v>11.4</v>
      </c>
      <c r="T430" s="1026"/>
      <c r="U430" s="1026">
        <f t="shared" si="75"/>
        <v>8</v>
      </c>
      <c r="V430" s="1026">
        <f>U430*(списки!$C$56-S430)</f>
        <v>68.8</v>
      </c>
      <c r="W430" s="1027">
        <v>1.5</v>
      </c>
      <c r="X430" s="1027"/>
      <c r="Y430" s="1027">
        <f t="shared" si="69"/>
        <v>31</v>
      </c>
      <c r="Z430" s="1027">
        <f>Y430*(списки!$C$56-W430)</f>
        <v>573.5</v>
      </c>
      <c r="AA430" s="1028">
        <v>-10.8</v>
      </c>
      <c r="AB430" s="1028"/>
      <c r="AC430" s="1028">
        <f t="shared" si="70"/>
        <v>30</v>
      </c>
      <c r="AD430" s="1028">
        <f>AC430*(списки!$C$56-AA430)</f>
        <v>924</v>
      </c>
      <c r="AE430" s="1029">
        <v>-20.8</v>
      </c>
      <c r="AF430" s="1029"/>
      <c r="AG430" s="1029">
        <v>31</v>
      </c>
      <c r="AH430" s="1029">
        <f>AG430*(списки!$C$56-AE430)</f>
        <v>1264.8</v>
      </c>
      <c r="AI430" s="1030">
        <v>-24.9</v>
      </c>
      <c r="AJ430" s="1030"/>
      <c r="AK430" s="1030">
        <v>31</v>
      </c>
      <c r="AL430" s="1030">
        <f>AK430*(списки!$C$56-AI430)</f>
        <v>1391.8999999999999</v>
      </c>
      <c r="AM430" s="1031">
        <v>-20.100000000000001</v>
      </c>
      <c r="AN430" s="1031"/>
      <c r="AO430" s="1031">
        <v>28</v>
      </c>
      <c r="AP430" s="1031">
        <f>AO430*(списки!$C$56-AM430)</f>
        <v>1122.8</v>
      </c>
      <c r="AQ430" s="1026">
        <v>-10.6</v>
      </c>
      <c r="AR430" s="1026"/>
      <c r="AS430" s="1026">
        <f t="shared" si="71"/>
        <v>31</v>
      </c>
      <c r="AT430" s="1026">
        <f>AS430*(списки!$C$56-AQ430)</f>
        <v>948.6</v>
      </c>
      <c r="AU430" s="1032">
        <v>1.3</v>
      </c>
      <c r="AV430" s="1032"/>
      <c r="AW430" s="1032">
        <f t="shared" si="72"/>
        <v>30</v>
      </c>
      <c r="AX430" s="1032">
        <f>AW430*(списки!$C$56-AU430)</f>
        <v>561</v>
      </c>
      <c r="AY430" s="1033">
        <v>9.1</v>
      </c>
      <c r="AZ430" s="1033"/>
      <c r="BA430" s="1033">
        <f t="shared" si="73"/>
        <v>8</v>
      </c>
      <c r="BB430" s="1033">
        <f>BA430*(списки!$C$56-AY430)</f>
        <v>87.2</v>
      </c>
      <c r="BC430" s="1034">
        <v>15.6</v>
      </c>
      <c r="BD430" s="1034"/>
      <c r="BE430" s="1034">
        <f t="shared" si="74"/>
        <v>0</v>
      </c>
      <c r="BF430" s="1035">
        <f>BE430*(списки!$C$56-BC430)</f>
        <v>0</v>
      </c>
      <c r="BG430" s="1424">
        <v>6623.7249999999985</v>
      </c>
      <c r="BH430" s="1424">
        <v>6440.4767857142888</v>
      </c>
    </row>
    <row r="431" spans="2:60" ht="15.75" customHeight="1" x14ac:dyDescent="0.25">
      <c r="B431" s="1014" t="s">
        <v>121</v>
      </c>
      <c r="C431" s="1014" t="s">
        <v>130</v>
      </c>
      <c r="D431" s="1015" t="str">
        <f t="shared" si="76"/>
        <v>Хабаровский крайГроссевичи</v>
      </c>
      <c r="E431" s="1016">
        <v>248</v>
      </c>
      <c r="F431" s="1017">
        <v>-4.3</v>
      </c>
      <c r="G431" s="1017">
        <v>-22</v>
      </c>
      <c r="H431" s="1019">
        <f>H430</f>
        <v>4.0999999999999996</v>
      </c>
      <c r="I431" s="1020">
        <f>E431*(списки!$C$56-F431)</f>
        <v>6026.4000000000005</v>
      </c>
      <c r="J431" s="1021" t="str">
        <f t="shared" si="66"/>
        <v>6000-7000</v>
      </c>
      <c r="K431" s="1022">
        <v>13</v>
      </c>
      <c r="L431" s="1022"/>
      <c r="M431" s="1023">
        <f t="shared" si="67"/>
        <v>0</v>
      </c>
      <c r="N431" s="1024">
        <f>M431*(списки!$C$56-K431)</f>
        <v>0</v>
      </c>
      <c r="O431" s="1025">
        <v>15.9</v>
      </c>
      <c r="P431" s="1025"/>
      <c r="Q431" s="1025">
        <f t="shared" si="68"/>
        <v>0</v>
      </c>
      <c r="R431" s="1025">
        <f>Q431*(списки!$C$56-O431)</f>
        <v>0</v>
      </c>
      <c r="S431" s="1026">
        <v>13.1</v>
      </c>
      <c r="T431" s="1026"/>
      <c r="U431" s="1026">
        <f t="shared" si="75"/>
        <v>18</v>
      </c>
      <c r="V431" s="1026">
        <f>U431*(списки!$C$56-S431)</f>
        <v>124.2</v>
      </c>
      <c r="W431" s="1027">
        <v>5.9</v>
      </c>
      <c r="X431" s="1027"/>
      <c r="Y431" s="1027">
        <f t="shared" si="69"/>
        <v>31</v>
      </c>
      <c r="Z431" s="1027">
        <f>Y431*(списки!$C$56-W431)</f>
        <v>437.09999999999997</v>
      </c>
      <c r="AA431" s="1028">
        <v>-4</v>
      </c>
      <c r="AB431" s="1028"/>
      <c r="AC431" s="1028">
        <f t="shared" si="70"/>
        <v>30</v>
      </c>
      <c r="AD431" s="1028">
        <f>AC431*(списки!$C$56-AA431)</f>
        <v>720</v>
      </c>
      <c r="AE431" s="1029">
        <v>-11.8</v>
      </c>
      <c r="AF431" s="1029"/>
      <c r="AG431" s="1029">
        <v>31</v>
      </c>
      <c r="AH431" s="1029">
        <f>AG431*(списки!$C$56-AE431)</f>
        <v>985.80000000000007</v>
      </c>
      <c r="AI431" s="1030">
        <v>-14.8</v>
      </c>
      <c r="AJ431" s="1030"/>
      <c r="AK431" s="1030">
        <v>31</v>
      </c>
      <c r="AL431" s="1030">
        <f>AK431*(списки!$C$56-AI431)</f>
        <v>1078.8</v>
      </c>
      <c r="AM431" s="1031">
        <v>-11.9</v>
      </c>
      <c r="AN431" s="1031"/>
      <c r="AO431" s="1031">
        <v>28</v>
      </c>
      <c r="AP431" s="1031">
        <f>AO431*(списки!$C$56-AM431)</f>
        <v>893.19999999999993</v>
      </c>
      <c r="AQ431" s="1026">
        <v>-6</v>
      </c>
      <c r="AR431" s="1026"/>
      <c r="AS431" s="1026">
        <f t="shared" si="71"/>
        <v>31</v>
      </c>
      <c r="AT431" s="1026">
        <f>AS431*(списки!$C$56-AQ431)</f>
        <v>806</v>
      </c>
      <c r="AU431" s="1032">
        <v>0.4</v>
      </c>
      <c r="AV431" s="1032"/>
      <c r="AW431" s="1032">
        <f t="shared" si="72"/>
        <v>30</v>
      </c>
      <c r="AX431" s="1032">
        <f>AW431*(списки!$C$56-AU431)</f>
        <v>588</v>
      </c>
      <c r="AY431" s="1033">
        <v>4.3</v>
      </c>
      <c r="AZ431" s="1033"/>
      <c r="BA431" s="1033">
        <f t="shared" si="73"/>
        <v>18</v>
      </c>
      <c r="BB431" s="1033">
        <f>BA431*(списки!$C$56-AY431)</f>
        <v>282.59999999999997</v>
      </c>
      <c r="BC431" s="1034">
        <v>8.4</v>
      </c>
      <c r="BD431" s="1034"/>
      <c r="BE431" s="1034">
        <f t="shared" si="74"/>
        <v>0</v>
      </c>
      <c r="BF431" s="1035">
        <f>BE431*(списки!$C$56-BC431)</f>
        <v>0</v>
      </c>
      <c r="BG431" s="1424">
        <v>5979.2571428571455</v>
      </c>
      <c r="BH431" s="1424">
        <v>5968.2303571428538</v>
      </c>
    </row>
    <row r="432" spans="2:60" ht="15.75" customHeight="1" x14ac:dyDescent="0.25">
      <c r="B432" s="1038" t="s">
        <v>121</v>
      </c>
      <c r="C432" s="1038" t="s">
        <v>127</v>
      </c>
      <c r="D432" s="1015" t="str">
        <f t="shared" si="76"/>
        <v>Хабаровский крайДе-Кастри</v>
      </c>
      <c r="E432" s="1016">
        <v>256</v>
      </c>
      <c r="F432" s="1017">
        <v>-6.9</v>
      </c>
      <c r="G432" s="1017">
        <v>-27</v>
      </c>
      <c r="H432" s="1019">
        <f>H431</f>
        <v>4.0999999999999996</v>
      </c>
      <c r="I432" s="1020">
        <f>E432*(списки!$C$56-F432)</f>
        <v>6886.4</v>
      </c>
      <c r="J432" s="1021" t="str">
        <f t="shared" si="66"/>
        <v>6000-7000</v>
      </c>
      <c r="K432" s="1022">
        <v>13.2</v>
      </c>
      <c r="L432" s="1022"/>
      <c r="M432" s="1023">
        <f t="shared" si="67"/>
        <v>0</v>
      </c>
      <c r="N432" s="1024">
        <f>M432*(списки!$C$56-K432)</f>
        <v>0</v>
      </c>
      <c r="O432" s="1025">
        <v>15.3</v>
      </c>
      <c r="P432" s="1025"/>
      <c r="Q432" s="1025">
        <f t="shared" si="68"/>
        <v>0</v>
      </c>
      <c r="R432" s="1025">
        <f>Q432*(списки!$C$56-O432)</f>
        <v>0</v>
      </c>
      <c r="S432" s="1026">
        <v>12</v>
      </c>
      <c r="T432" s="1026"/>
      <c r="U432" s="1026">
        <f t="shared" si="75"/>
        <v>22</v>
      </c>
      <c r="V432" s="1026">
        <f>U432*(списки!$C$56-S432)</f>
        <v>176</v>
      </c>
      <c r="W432" s="1027">
        <v>3.2</v>
      </c>
      <c r="X432" s="1027"/>
      <c r="Y432" s="1027">
        <f t="shared" si="69"/>
        <v>31</v>
      </c>
      <c r="Z432" s="1027">
        <f>Y432*(списки!$C$56-W432)</f>
        <v>520.80000000000007</v>
      </c>
      <c r="AA432" s="1028">
        <v>-8.1</v>
      </c>
      <c r="AB432" s="1028"/>
      <c r="AC432" s="1028">
        <f t="shared" si="70"/>
        <v>30</v>
      </c>
      <c r="AD432" s="1028">
        <f>AC432*(списки!$C$56-AA432)</f>
        <v>843</v>
      </c>
      <c r="AE432" s="1029">
        <v>-16.2</v>
      </c>
      <c r="AF432" s="1029"/>
      <c r="AG432" s="1029">
        <v>31</v>
      </c>
      <c r="AH432" s="1029">
        <f>AG432*(списки!$C$56-AE432)</f>
        <v>1122.2</v>
      </c>
      <c r="AI432" s="1030">
        <v>-19.399999999999999</v>
      </c>
      <c r="AJ432" s="1030"/>
      <c r="AK432" s="1030">
        <v>31</v>
      </c>
      <c r="AL432" s="1030">
        <f>AK432*(списки!$C$56-AI432)</f>
        <v>1221.3999999999999</v>
      </c>
      <c r="AM432" s="1031">
        <v>-15.8</v>
      </c>
      <c r="AN432" s="1031"/>
      <c r="AO432" s="1031">
        <v>28</v>
      </c>
      <c r="AP432" s="1031">
        <f>AO432*(списки!$C$56-AM432)</f>
        <v>1002.3999999999999</v>
      </c>
      <c r="AQ432" s="1026">
        <v>-9.3000000000000007</v>
      </c>
      <c r="AR432" s="1026"/>
      <c r="AS432" s="1026">
        <f t="shared" si="71"/>
        <v>31</v>
      </c>
      <c r="AT432" s="1026">
        <f>AS432*(списки!$C$56-AQ432)</f>
        <v>908.30000000000007</v>
      </c>
      <c r="AU432" s="1032">
        <v>-1.5</v>
      </c>
      <c r="AV432" s="1032"/>
      <c r="AW432" s="1032">
        <f t="shared" si="72"/>
        <v>30</v>
      </c>
      <c r="AX432" s="1032">
        <f>AW432*(списки!$C$56-AU432)</f>
        <v>645</v>
      </c>
      <c r="AY432" s="1033">
        <v>3.2</v>
      </c>
      <c r="AZ432" s="1033"/>
      <c r="BA432" s="1033">
        <f t="shared" si="73"/>
        <v>22</v>
      </c>
      <c r="BB432" s="1033">
        <f>BA432*(списки!$C$56-AY432)</f>
        <v>369.6</v>
      </c>
      <c r="BC432" s="1034">
        <v>8.5</v>
      </c>
      <c r="BD432" s="1034"/>
      <c r="BE432" s="1034">
        <f t="shared" si="74"/>
        <v>0</v>
      </c>
      <c r="BF432" s="1035">
        <f>BE432*(списки!$C$56-BC432)</f>
        <v>0</v>
      </c>
      <c r="BG432" s="1424" t="e">
        <v>#N/A</v>
      </c>
      <c r="BH432" s="1424" t="e">
        <v>#N/A</v>
      </c>
    </row>
    <row r="433" spans="2:60" ht="15.75" customHeight="1" x14ac:dyDescent="0.25">
      <c r="B433" s="1014" t="s">
        <v>121</v>
      </c>
      <c r="C433" s="1014" t="s">
        <v>128</v>
      </c>
      <c r="D433" s="1015" t="str">
        <f t="shared" si="76"/>
        <v>Хабаровский крайДжаорэ</v>
      </c>
      <c r="E433" s="1016">
        <v>252</v>
      </c>
      <c r="F433" s="1017">
        <v>-7.9</v>
      </c>
      <c r="G433" s="1017">
        <v>-30</v>
      </c>
      <c r="H433" s="1019">
        <f>H432</f>
        <v>4.0999999999999996</v>
      </c>
      <c r="I433" s="1020">
        <f>E433*(списки!$C$56-F433)</f>
        <v>7030.7999999999993</v>
      </c>
      <c r="J433" s="1021" t="str">
        <f t="shared" si="66"/>
        <v>7000-8000</v>
      </c>
      <c r="K433" s="1022">
        <v>15.4</v>
      </c>
      <c r="L433" s="1022"/>
      <c r="M433" s="1023">
        <f t="shared" si="67"/>
        <v>0</v>
      </c>
      <c r="N433" s="1024">
        <f>M433*(списки!$C$56-K433)</f>
        <v>0</v>
      </c>
      <c r="O433" s="1025">
        <v>16</v>
      </c>
      <c r="P433" s="1025"/>
      <c r="Q433" s="1025">
        <f t="shared" si="68"/>
        <v>0</v>
      </c>
      <c r="R433" s="1025">
        <f>Q433*(списки!$C$56-O433)</f>
        <v>0</v>
      </c>
      <c r="S433" s="1026">
        <v>11.4</v>
      </c>
      <c r="T433" s="1026"/>
      <c r="U433" s="1026">
        <f t="shared" si="75"/>
        <v>20</v>
      </c>
      <c r="V433" s="1026">
        <f>U433*(списки!$C$56-S433)</f>
        <v>172</v>
      </c>
      <c r="W433" s="1027">
        <v>2.8</v>
      </c>
      <c r="X433" s="1027"/>
      <c r="Y433" s="1027">
        <f t="shared" si="69"/>
        <v>31</v>
      </c>
      <c r="Z433" s="1027">
        <f>Y433*(списки!$C$56-W433)</f>
        <v>533.19999999999993</v>
      </c>
      <c r="AA433" s="1028">
        <v>-8.3000000000000007</v>
      </c>
      <c r="AB433" s="1028"/>
      <c r="AC433" s="1028">
        <f t="shared" si="70"/>
        <v>30</v>
      </c>
      <c r="AD433" s="1028">
        <f>AC433*(списки!$C$56-AA433)</f>
        <v>849</v>
      </c>
      <c r="AE433" s="1029">
        <v>-16.8</v>
      </c>
      <c r="AF433" s="1029"/>
      <c r="AG433" s="1029">
        <v>31</v>
      </c>
      <c r="AH433" s="1029">
        <f>AG433*(списки!$C$56-AE433)</f>
        <v>1140.8</v>
      </c>
      <c r="AI433" s="1030">
        <v>-19.7</v>
      </c>
      <c r="AJ433" s="1030"/>
      <c r="AK433" s="1030">
        <v>31</v>
      </c>
      <c r="AL433" s="1030">
        <f>AK433*(списки!$C$56-AI433)</f>
        <v>1230.7</v>
      </c>
      <c r="AM433" s="1031">
        <v>-17.5</v>
      </c>
      <c r="AN433" s="1031"/>
      <c r="AO433" s="1031">
        <v>28</v>
      </c>
      <c r="AP433" s="1031">
        <f>AO433*(списки!$C$56-AM433)</f>
        <v>1050</v>
      </c>
      <c r="AQ433" s="1026">
        <v>-11</v>
      </c>
      <c r="AR433" s="1026"/>
      <c r="AS433" s="1026">
        <f t="shared" si="71"/>
        <v>31</v>
      </c>
      <c r="AT433" s="1026">
        <f>AS433*(списки!$C$56-AQ433)</f>
        <v>961</v>
      </c>
      <c r="AU433" s="1032">
        <v>-2.5</v>
      </c>
      <c r="AV433" s="1032"/>
      <c r="AW433" s="1032">
        <f t="shared" si="72"/>
        <v>30</v>
      </c>
      <c r="AX433" s="1032">
        <f>AW433*(списки!$C$56-AU433)</f>
        <v>675</v>
      </c>
      <c r="AY433" s="1033">
        <v>3.1</v>
      </c>
      <c r="AZ433" s="1033"/>
      <c r="BA433" s="1033">
        <f t="shared" si="73"/>
        <v>20</v>
      </c>
      <c r="BB433" s="1033">
        <f>BA433*(списки!$C$56-AY433)</f>
        <v>338</v>
      </c>
      <c r="BC433" s="1034">
        <v>11.5</v>
      </c>
      <c r="BD433" s="1034"/>
      <c r="BE433" s="1034">
        <f t="shared" si="74"/>
        <v>0</v>
      </c>
      <c r="BF433" s="1035">
        <f>BE433*(списки!$C$56-BC433)</f>
        <v>0</v>
      </c>
      <c r="BG433" s="1424" t="e">
        <v>#N/A</v>
      </c>
      <c r="BH433" s="1424" t="e">
        <v>#N/A</v>
      </c>
    </row>
    <row r="434" spans="2:60" ht="15.75" customHeight="1" x14ac:dyDescent="0.25">
      <c r="B434" s="1038" t="s">
        <v>121</v>
      </c>
      <c r="C434" s="1038" t="s">
        <v>701</v>
      </c>
      <c r="D434" s="1015" t="str">
        <f t="shared" si="76"/>
        <v>Хабаровский крайЕкатерино- Никольское</v>
      </c>
      <c r="E434" s="1016">
        <v>204</v>
      </c>
      <c r="F434" s="1017">
        <v>-9.3000000000000007</v>
      </c>
      <c r="G434" s="1017">
        <v>-29</v>
      </c>
      <c r="H434" s="1019">
        <v>4.4000000000000004</v>
      </c>
      <c r="I434" s="1020">
        <f>E434*(списки!$C$56-F434)</f>
        <v>5977.2</v>
      </c>
      <c r="J434" s="1021" t="str">
        <f t="shared" si="66"/>
        <v>5000-6000</v>
      </c>
      <c r="K434" s="1022">
        <v>21.4</v>
      </c>
      <c r="L434" s="1022"/>
      <c r="M434" s="1023">
        <f t="shared" si="67"/>
        <v>0</v>
      </c>
      <c r="N434" s="1024">
        <f>M434*(списки!$C$56-K434)</f>
        <v>0</v>
      </c>
      <c r="O434" s="1025">
        <v>19.600000000000001</v>
      </c>
      <c r="P434" s="1025"/>
      <c r="Q434" s="1025">
        <f t="shared" si="68"/>
        <v>0</v>
      </c>
      <c r="R434" s="1025">
        <f>Q434*(списки!$C$56-O434)</f>
        <v>0</v>
      </c>
      <c r="S434" s="1026">
        <v>13.2</v>
      </c>
      <c r="T434" s="1026"/>
      <c r="U434" s="1026">
        <f t="shared" si="75"/>
        <v>0</v>
      </c>
      <c r="V434" s="1026">
        <f>U434*(списки!$C$56-S434)</f>
        <v>0</v>
      </c>
      <c r="W434" s="1027">
        <v>4.3</v>
      </c>
      <c r="X434" s="1027"/>
      <c r="Y434" s="1027">
        <f t="shared" si="69"/>
        <v>26.5</v>
      </c>
      <c r="Z434" s="1027">
        <f>Y434*(списки!$C$56-W434)</f>
        <v>416.04999999999995</v>
      </c>
      <c r="AA434" s="1028">
        <v>-7.8</v>
      </c>
      <c r="AB434" s="1028"/>
      <c r="AC434" s="1028">
        <f t="shared" si="70"/>
        <v>30</v>
      </c>
      <c r="AD434" s="1028">
        <f>AC434*(списки!$C$56-AA434)</f>
        <v>834</v>
      </c>
      <c r="AE434" s="1029">
        <v>-17.7</v>
      </c>
      <c r="AF434" s="1029"/>
      <c r="AG434" s="1029">
        <v>31</v>
      </c>
      <c r="AH434" s="1029">
        <f>AG434*(списки!$C$56-AE434)</f>
        <v>1168.7</v>
      </c>
      <c r="AI434" s="1030">
        <v>-19.8</v>
      </c>
      <c r="AJ434" s="1030"/>
      <c r="AK434" s="1030">
        <v>31</v>
      </c>
      <c r="AL434" s="1030">
        <f>AK434*(списки!$C$56-AI434)</f>
        <v>1233.8</v>
      </c>
      <c r="AM434" s="1031">
        <v>-15.1</v>
      </c>
      <c r="AN434" s="1031"/>
      <c r="AO434" s="1031">
        <v>28</v>
      </c>
      <c r="AP434" s="1031">
        <f>AO434*(списки!$C$56-AM434)</f>
        <v>982.80000000000007</v>
      </c>
      <c r="AQ434" s="1026">
        <v>-5.9</v>
      </c>
      <c r="AR434" s="1026"/>
      <c r="AS434" s="1026">
        <f t="shared" si="71"/>
        <v>31</v>
      </c>
      <c r="AT434" s="1026">
        <f>AS434*(списки!$C$56-AQ434)</f>
        <v>802.9</v>
      </c>
      <c r="AU434" s="1032">
        <v>4.9000000000000004</v>
      </c>
      <c r="AV434" s="1032"/>
      <c r="AW434" s="1032">
        <f t="shared" si="72"/>
        <v>26.5</v>
      </c>
      <c r="AX434" s="1032">
        <f>AW434*(списки!$C$56-AU434)</f>
        <v>400.15</v>
      </c>
      <c r="AY434" s="1033">
        <v>12.5</v>
      </c>
      <c r="AZ434" s="1033"/>
      <c r="BA434" s="1033">
        <f t="shared" si="73"/>
        <v>0</v>
      </c>
      <c r="BB434" s="1033">
        <f>BA434*(списки!$C$56-AY434)</f>
        <v>0</v>
      </c>
      <c r="BC434" s="1034">
        <v>18.100000000000001</v>
      </c>
      <c r="BD434" s="1034"/>
      <c r="BE434" s="1034">
        <f t="shared" si="74"/>
        <v>0</v>
      </c>
      <c r="BF434" s="1035">
        <f>BE434*(списки!$C$56-BC434)</f>
        <v>0</v>
      </c>
      <c r="BG434" s="1424">
        <v>6139.849404761906</v>
      </c>
      <c r="BH434" s="1424">
        <v>5683.3964285714292</v>
      </c>
    </row>
    <row r="435" spans="2:60" ht="15.75" customHeight="1" x14ac:dyDescent="0.25">
      <c r="B435" s="1014" t="s">
        <v>121</v>
      </c>
      <c r="C435" s="1014" t="s">
        <v>911</v>
      </c>
      <c r="D435" s="1015" t="str">
        <f t="shared" si="76"/>
        <v>Хабаровский крайИм, Полины Осипенко</v>
      </c>
      <c r="E435" s="1016">
        <v>232</v>
      </c>
      <c r="F435" s="1017">
        <v>-12.5</v>
      </c>
      <c r="G435" s="1017">
        <v>-40</v>
      </c>
      <c r="H435" s="1019">
        <v>3.5</v>
      </c>
      <c r="I435" s="1020">
        <f>E435*(списки!$C$56-F435)</f>
        <v>7540</v>
      </c>
      <c r="J435" s="1021" t="str">
        <f t="shared" si="66"/>
        <v>7000-8000</v>
      </c>
      <c r="K435" s="1022">
        <v>18.100000000000001</v>
      </c>
      <c r="L435" s="1022"/>
      <c r="M435" s="1023">
        <f t="shared" si="67"/>
        <v>0</v>
      </c>
      <c r="N435" s="1024">
        <f>M435*(списки!$C$56-K435)</f>
        <v>0</v>
      </c>
      <c r="O435" s="1025">
        <v>16.8</v>
      </c>
      <c r="P435" s="1025"/>
      <c r="Q435" s="1025">
        <f t="shared" si="68"/>
        <v>0</v>
      </c>
      <c r="R435" s="1025">
        <f>Q435*(списки!$C$56-O435)</f>
        <v>0</v>
      </c>
      <c r="S435" s="1026">
        <v>10.6</v>
      </c>
      <c r="T435" s="1026"/>
      <c r="U435" s="1026">
        <f t="shared" si="75"/>
        <v>10</v>
      </c>
      <c r="V435" s="1026">
        <f>U435*(списки!$C$56-S435)</f>
        <v>94</v>
      </c>
      <c r="W435" s="1027">
        <v>1.2</v>
      </c>
      <c r="X435" s="1027"/>
      <c r="Y435" s="1027">
        <f t="shared" si="69"/>
        <v>31</v>
      </c>
      <c r="Z435" s="1027">
        <f>Y435*(списки!$C$56-W435)</f>
        <v>582.80000000000007</v>
      </c>
      <c r="AA435" s="1028">
        <v>-13.3</v>
      </c>
      <c r="AB435" s="1028"/>
      <c r="AC435" s="1028">
        <f t="shared" si="70"/>
        <v>30</v>
      </c>
      <c r="AD435" s="1028">
        <f>AC435*(списки!$C$56-AA435)</f>
        <v>998.99999999999989</v>
      </c>
      <c r="AE435" s="1029">
        <v>-24.7</v>
      </c>
      <c r="AF435" s="1029"/>
      <c r="AG435" s="1029">
        <v>31</v>
      </c>
      <c r="AH435" s="1029">
        <f>AG435*(списки!$C$56-AE435)</f>
        <v>1385.7</v>
      </c>
      <c r="AI435" s="1030">
        <v>-26.9</v>
      </c>
      <c r="AJ435" s="1030"/>
      <c r="AK435" s="1030">
        <v>31</v>
      </c>
      <c r="AL435" s="1030">
        <f>AK435*(списки!$C$56-AI435)</f>
        <v>1453.8999999999999</v>
      </c>
      <c r="AM435" s="1031">
        <v>-21.5</v>
      </c>
      <c r="AN435" s="1031"/>
      <c r="AO435" s="1031">
        <v>28</v>
      </c>
      <c r="AP435" s="1031">
        <f>AO435*(списки!$C$56-AM435)</f>
        <v>1162</v>
      </c>
      <c r="AQ435" s="1026">
        <v>-11</v>
      </c>
      <c r="AR435" s="1026"/>
      <c r="AS435" s="1026">
        <f t="shared" si="71"/>
        <v>31</v>
      </c>
      <c r="AT435" s="1026">
        <f>AS435*(списки!$C$56-AQ435)</f>
        <v>961</v>
      </c>
      <c r="AU435" s="1032">
        <v>0.4</v>
      </c>
      <c r="AV435" s="1032"/>
      <c r="AW435" s="1032">
        <f t="shared" si="72"/>
        <v>30</v>
      </c>
      <c r="AX435" s="1032">
        <f>AW435*(списки!$C$56-AU435)</f>
        <v>588</v>
      </c>
      <c r="AY435" s="1033">
        <v>8.3000000000000007</v>
      </c>
      <c r="AZ435" s="1033"/>
      <c r="BA435" s="1033">
        <f t="shared" si="73"/>
        <v>10</v>
      </c>
      <c r="BB435" s="1033">
        <f>BA435*(списки!$C$56-AY435)</f>
        <v>117</v>
      </c>
      <c r="BC435" s="1034">
        <v>15</v>
      </c>
      <c r="BD435" s="1034"/>
      <c r="BE435" s="1034">
        <f t="shared" si="74"/>
        <v>0</v>
      </c>
      <c r="BF435" s="1035">
        <f>BE435*(списки!$C$56-BC435)</f>
        <v>0</v>
      </c>
      <c r="BG435" s="1424">
        <v>7341.3678571428572</v>
      </c>
      <c r="BH435" s="1424">
        <v>6821.689285714283</v>
      </c>
    </row>
    <row r="436" spans="2:60" ht="15.75" customHeight="1" x14ac:dyDescent="0.25">
      <c r="B436" s="1038" t="s">
        <v>121</v>
      </c>
      <c r="C436" s="1038" t="s">
        <v>134</v>
      </c>
      <c r="D436" s="1015" t="str">
        <f t="shared" si="76"/>
        <v>Хабаровский крайКомсомольск-на-Амуре</v>
      </c>
      <c r="E436" s="1016">
        <v>223</v>
      </c>
      <c r="F436" s="1017">
        <v>-10.8</v>
      </c>
      <c r="G436" s="1017">
        <v>-35</v>
      </c>
      <c r="H436" s="1019">
        <v>5.7</v>
      </c>
      <c r="I436" s="1020">
        <f>E436*(списки!$C$56-F436)</f>
        <v>6868.4000000000005</v>
      </c>
      <c r="J436" s="1021" t="str">
        <f t="shared" si="66"/>
        <v>6000-7000</v>
      </c>
      <c r="K436" s="1022">
        <v>19.899999999999999</v>
      </c>
      <c r="L436" s="1022"/>
      <c r="M436" s="1023">
        <f t="shared" si="67"/>
        <v>0</v>
      </c>
      <c r="N436" s="1024">
        <f>M436*(списки!$C$56-K436)</f>
        <v>0</v>
      </c>
      <c r="O436" s="1025">
        <v>18.7</v>
      </c>
      <c r="P436" s="1025"/>
      <c r="Q436" s="1025">
        <f t="shared" si="68"/>
        <v>0</v>
      </c>
      <c r="R436" s="1025">
        <f>Q436*(списки!$C$56-O436)</f>
        <v>0</v>
      </c>
      <c r="S436" s="1026">
        <v>12.6</v>
      </c>
      <c r="T436" s="1026"/>
      <c r="U436" s="1026">
        <f t="shared" si="75"/>
        <v>5.5</v>
      </c>
      <c r="V436" s="1026">
        <f>U436*(списки!$C$56-S436)</f>
        <v>40.700000000000003</v>
      </c>
      <c r="W436" s="1027">
        <v>3</v>
      </c>
      <c r="X436" s="1027"/>
      <c r="Y436" s="1027">
        <f t="shared" si="69"/>
        <v>31</v>
      </c>
      <c r="Z436" s="1027">
        <f>Y436*(списки!$C$56-W436)</f>
        <v>527</v>
      </c>
      <c r="AA436" s="1028">
        <v>-10.7</v>
      </c>
      <c r="AB436" s="1028"/>
      <c r="AC436" s="1028">
        <f t="shared" si="70"/>
        <v>30</v>
      </c>
      <c r="AD436" s="1028">
        <f>AC436*(списки!$C$56-AA436)</f>
        <v>921</v>
      </c>
      <c r="AE436" s="1029">
        <v>-22</v>
      </c>
      <c r="AF436" s="1029"/>
      <c r="AG436" s="1029">
        <v>31</v>
      </c>
      <c r="AH436" s="1029">
        <f>AG436*(списки!$C$56-AE436)</f>
        <v>1302</v>
      </c>
      <c r="AI436" s="1030">
        <v>-25.6</v>
      </c>
      <c r="AJ436" s="1030"/>
      <c r="AK436" s="1030">
        <v>31</v>
      </c>
      <c r="AL436" s="1030">
        <f>AK436*(списки!$C$56-AI436)</f>
        <v>1413.6000000000001</v>
      </c>
      <c r="AM436" s="1031">
        <v>-20.3</v>
      </c>
      <c r="AN436" s="1031"/>
      <c r="AO436" s="1031">
        <v>28</v>
      </c>
      <c r="AP436" s="1031">
        <f>AO436*(списки!$C$56-AM436)</f>
        <v>1128.3999999999999</v>
      </c>
      <c r="AQ436" s="1026">
        <v>-10.1</v>
      </c>
      <c r="AR436" s="1026"/>
      <c r="AS436" s="1026">
        <f t="shared" si="71"/>
        <v>31</v>
      </c>
      <c r="AT436" s="1026">
        <f>AS436*(списки!$C$56-AQ436)</f>
        <v>933.1</v>
      </c>
      <c r="AU436" s="1032">
        <v>1.3</v>
      </c>
      <c r="AV436" s="1032"/>
      <c r="AW436" s="1032">
        <f t="shared" si="72"/>
        <v>30</v>
      </c>
      <c r="AX436" s="1032">
        <f>AW436*(списки!$C$56-AU436)</f>
        <v>561</v>
      </c>
      <c r="AY436" s="1033">
        <v>8.6999999999999993</v>
      </c>
      <c r="AZ436" s="1033"/>
      <c r="BA436" s="1033">
        <f t="shared" si="73"/>
        <v>5.5</v>
      </c>
      <c r="BB436" s="1033">
        <f>BA436*(списки!$C$56-AY436)</f>
        <v>62.150000000000006</v>
      </c>
      <c r="BC436" s="1034">
        <v>15.6</v>
      </c>
      <c r="BD436" s="1034"/>
      <c r="BE436" s="1034">
        <f t="shared" si="74"/>
        <v>0</v>
      </c>
      <c r="BF436" s="1035">
        <f>BE436*(списки!$C$56-BC436)</f>
        <v>0</v>
      </c>
      <c r="BG436" s="1424">
        <v>6924.2821428571424</v>
      </c>
      <c r="BH436" s="1424">
        <v>6440.7071428571453</v>
      </c>
    </row>
    <row r="437" spans="2:60" ht="15.75" customHeight="1" x14ac:dyDescent="0.25">
      <c r="B437" s="1014" t="s">
        <v>121</v>
      </c>
      <c r="C437" s="1014" t="s">
        <v>135</v>
      </c>
      <c r="D437" s="1015" t="str">
        <f t="shared" si="76"/>
        <v>Хабаровский крайНижнетамбовское</v>
      </c>
      <c r="E437" s="1016">
        <v>229</v>
      </c>
      <c r="F437" s="1017">
        <v>-10.9</v>
      </c>
      <c r="G437" s="1017">
        <v>-36</v>
      </c>
      <c r="H437" s="1019">
        <f>H436</f>
        <v>5.7</v>
      </c>
      <c r="I437" s="1020">
        <f>E437*(списки!$C$56-F437)</f>
        <v>7076.0999999999995</v>
      </c>
      <c r="J437" s="1021" t="str">
        <f t="shared" si="66"/>
        <v>7000-8000</v>
      </c>
      <c r="K437" s="1022">
        <v>19.3</v>
      </c>
      <c r="L437" s="1022"/>
      <c r="M437" s="1023">
        <f t="shared" si="67"/>
        <v>0</v>
      </c>
      <c r="N437" s="1024">
        <f>M437*(списки!$C$56-K437)</f>
        <v>0</v>
      </c>
      <c r="O437" s="1025">
        <v>18.2</v>
      </c>
      <c r="P437" s="1025"/>
      <c r="Q437" s="1025">
        <f t="shared" si="68"/>
        <v>0</v>
      </c>
      <c r="R437" s="1025">
        <f>Q437*(списки!$C$56-O437)</f>
        <v>0</v>
      </c>
      <c r="S437" s="1026">
        <v>12.1</v>
      </c>
      <c r="T437" s="1026"/>
      <c r="U437" s="1026">
        <f t="shared" si="75"/>
        <v>8.5</v>
      </c>
      <c r="V437" s="1026">
        <f>U437*(списки!$C$56-S437)</f>
        <v>67.150000000000006</v>
      </c>
      <c r="W437" s="1027">
        <v>2.6</v>
      </c>
      <c r="X437" s="1027"/>
      <c r="Y437" s="1027">
        <f t="shared" si="69"/>
        <v>31</v>
      </c>
      <c r="Z437" s="1027">
        <f>Y437*(списки!$C$56-W437)</f>
        <v>539.4</v>
      </c>
      <c r="AA437" s="1028">
        <v>-10.8</v>
      </c>
      <c r="AB437" s="1028"/>
      <c r="AC437" s="1028">
        <f t="shared" si="70"/>
        <v>30</v>
      </c>
      <c r="AD437" s="1028">
        <f>AC437*(списки!$C$56-AA437)</f>
        <v>924</v>
      </c>
      <c r="AE437" s="1029">
        <v>-21.8</v>
      </c>
      <c r="AF437" s="1029"/>
      <c r="AG437" s="1029">
        <v>31</v>
      </c>
      <c r="AH437" s="1029">
        <f>AG437*(списки!$C$56-AE437)</f>
        <v>1295.8</v>
      </c>
      <c r="AI437" s="1030">
        <v>-26.4</v>
      </c>
      <c r="AJ437" s="1030"/>
      <c r="AK437" s="1030">
        <v>31</v>
      </c>
      <c r="AL437" s="1030">
        <f>AK437*(списки!$C$56-AI437)</f>
        <v>1438.3999999999999</v>
      </c>
      <c r="AM437" s="1031">
        <v>-21.1</v>
      </c>
      <c r="AN437" s="1031"/>
      <c r="AO437" s="1031">
        <v>28</v>
      </c>
      <c r="AP437" s="1031">
        <f>AO437*(списки!$C$56-AM437)</f>
        <v>1150.8</v>
      </c>
      <c r="AQ437" s="1026">
        <v>-11</v>
      </c>
      <c r="AR437" s="1026"/>
      <c r="AS437" s="1026">
        <f t="shared" si="71"/>
        <v>31</v>
      </c>
      <c r="AT437" s="1026">
        <f>AS437*(списки!$C$56-AQ437)</f>
        <v>961</v>
      </c>
      <c r="AU437" s="1032">
        <v>0.3</v>
      </c>
      <c r="AV437" s="1032"/>
      <c r="AW437" s="1032">
        <f t="shared" si="72"/>
        <v>30</v>
      </c>
      <c r="AX437" s="1032">
        <f>AW437*(списки!$C$56-AU437)</f>
        <v>591</v>
      </c>
      <c r="AY437" s="1033">
        <v>8.1999999999999993</v>
      </c>
      <c r="AZ437" s="1033"/>
      <c r="BA437" s="1033">
        <f t="shared" si="73"/>
        <v>8.5</v>
      </c>
      <c r="BB437" s="1033">
        <f>BA437*(списки!$C$56-AY437)</f>
        <v>100.30000000000001</v>
      </c>
      <c r="BC437" s="1034">
        <v>15.1</v>
      </c>
      <c r="BD437" s="1034"/>
      <c r="BE437" s="1034">
        <f t="shared" si="74"/>
        <v>0</v>
      </c>
      <c r="BF437" s="1035">
        <f>BE437*(списки!$C$56-BC437)</f>
        <v>0</v>
      </c>
      <c r="BG437" s="1424" t="e">
        <v>#N/A</v>
      </c>
      <c r="BH437" s="1424" t="e">
        <v>#N/A</v>
      </c>
    </row>
    <row r="438" spans="2:60" ht="15.75" customHeight="1" x14ac:dyDescent="0.25">
      <c r="B438" s="1038" t="s">
        <v>121</v>
      </c>
      <c r="C438" s="1038" t="s">
        <v>702</v>
      </c>
      <c r="D438" s="1015" t="str">
        <f t="shared" si="76"/>
        <v>Хабаровский крайНиколаевск- на-Амуре</v>
      </c>
      <c r="E438" s="1016">
        <v>245</v>
      </c>
      <c r="F438" s="1017">
        <v>-10.1</v>
      </c>
      <c r="G438" s="1017">
        <v>-33</v>
      </c>
      <c r="H438" s="1019">
        <v>3.8</v>
      </c>
      <c r="I438" s="1020">
        <f>E438*(списки!$C$56-F438)</f>
        <v>7374.5</v>
      </c>
      <c r="J438" s="1021" t="str">
        <f t="shared" si="66"/>
        <v>7000-8000</v>
      </c>
      <c r="K438" s="1022">
        <v>16.5</v>
      </c>
      <c r="L438" s="1022"/>
      <c r="M438" s="1023">
        <f t="shared" si="67"/>
        <v>0</v>
      </c>
      <c r="N438" s="1024">
        <f>M438*(списки!$C$56-K438)</f>
        <v>0</v>
      </c>
      <c r="O438" s="1025">
        <v>15.8</v>
      </c>
      <c r="P438" s="1025"/>
      <c r="Q438" s="1025">
        <f t="shared" si="68"/>
        <v>0</v>
      </c>
      <c r="R438" s="1025">
        <f>Q438*(списки!$C$56-O438)</f>
        <v>0</v>
      </c>
      <c r="S438" s="1026">
        <v>10.4</v>
      </c>
      <c r="T438" s="1026"/>
      <c r="U438" s="1026">
        <f t="shared" si="75"/>
        <v>16.5</v>
      </c>
      <c r="V438" s="1026">
        <f>U438*(списки!$C$56-S438)</f>
        <v>158.4</v>
      </c>
      <c r="W438" s="1027">
        <v>1.9</v>
      </c>
      <c r="X438" s="1027"/>
      <c r="Y438" s="1027">
        <f t="shared" si="69"/>
        <v>31</v>
      </c>
      <c r="Z438" s="1027">
        <f>Y438*(списки!$C$56-W438)</f>
        <v>561.1</v>
      </c>
      <c r="AA438" s="1028">
        <v>-10.3</v>
      </c>
      <c r="AB438" s="1028"/>
      <c r="AC438" s="1028">
        <f t="shared" si="70"/>
        <v>30</v>
      </c>
      <c r="AD438" s="1028">
        <f>AC438*(списки!$C$56-AA438)</f>
        <v>909</v>
      </c>
      <c r="AE438" s="1029">
        <v>-19.8</v>
      </c>
      <c r="AF438" s="1029"/>
      <c r="AG438" s="1029">
        <v>31</v>
      </c>
      <c r="AH438" s="1029">
        <f>AG438*(списки!$C$56-AE438)</f>
        <v>1233.8</v>
      </c>
      <c r="AI438" s="1030">
        <v>-22.4</v>
      </c>
      <c r="AJ438" s="1030"/>
      <c r="AK438" s="1030">
        <v>31</v>
      </c>
      <c r="AL438" s="1030">
        <f>AK438*(списки!$C$56-AI438)</f>
        <v>1314.3999999999999</v>
      </c>
      <c r="AM438" s="1031">
        <v>-19.3</v>
      </c>
      <c r="AN438" s="1031"/>
      <c r="AO438" s="1031">
        <v>28</v>
      </c>
      <c r="AP438" s="1031">
        <f>AO438*(списки!$C$56-AM438)</f>
        <v>1100.3999999999999</v>
      </c>
      <c r="AQ438" s="1026">
        <v>-11.7</v>
      </c>
      <c r="AR438" s="1026"/>
      <c r="AS438" s="1026">
        <f t="shared" si="71"/>
        <v>31</v>
      </c>
      <c r="AT438" s="1026">
        <f>AS438*(списки!$C$56-AQ438)</f>
        <v>982.69999999999993</v>
      </c>
      <c r="AU438" s="1032">
        <v>-2.2000000000000002</v>
      </c>
      <c r="AV438" s="1032"/>
      <c r="AW438" s="1032">
        <f t="shared" si="72"/>
        <v>30</v>
      </c>
      <c r="AX438" s="1032">
        <f>AW438*(списки!$C$56-AU438)</f>
        <v>666</v>
      </c>
      <c r="AY438" s="1033">
        <v>4.9000000000000004</v>
      </c>
      <c r="AZ438" s="1033"/>
      <c r="BA438" s="1033">
        <f t="shared" si="73"/>
        <v>16.5</v>
      </c>
      <c r="BB438" s="1033">
        <f>BA438*(списки!$C$56-AY438)</f>
        <v>249.15</v>
      </c>
      <c r="BC438" s="1034">
        <v>12.9</v>
      </c>
      <c r="BD438" s="1034"/>
      <c r="BE438" s="1034">
        <f t="shared" si="74"/>
        <v>0</v>
      </c>
      <c r="BF438" s="1035">
        <f>BE438*(списки!$C$56-BC438)</f>
        <v>0</v>
      </c>
      <c r="BG438" s="1424">
        <v>7482.2732142857158</v>
      </c>
      <c r="BH438" s="1424">
        <v>6923.2267857142906</v>
      </c>
    </row>
    <row r="439" spans="2:60" ht="15.75" customHeight="1" x14ac:dyDescent="0.25">
      <c r="B439" s="1014" t="s">
        <v>121</v>
      </c>
      <c r="C439" s="1014" t="s">
        <v>136</v>
      </c>
      <c r="D439" s="1015" t="str">
        <f t="shared" si="76"/>
        <v>Хабаровский крайОхотск</v>
      </c>
      <c r="E439" s="1016">
        <v>274</v>
      </c>
      <c r="F439" s="1017">
        <v>-9.6</v>
      </c>
      <c r="G439" s="1017">
        <v>-32</v>
      </c>
      <c r="H439" s="1019">
        <v>3.9</v>
      </c>
      <c r="I439" s="1020">
        <f>E439*(списки!$C$56-F439)</f>
        <v>8110.4000000000005</v>
      </c>
      <c r="J439" s="1021" t="str">
        <f t="shared" si="66"/>
        <v>8000-9000</v>
      </c>
      <c r="K439" s="1022">
        <v>12.4</v>
      </c>
      <c r="L439" s="1022"/>
      <c r="M439" s="1023">
        <f t="shared" si="67"/>
        <v>0</v>
      </c>
      <c r="N439" s="1024">
        <f>M439*(списки!$C$56-K439)</f>
        <v>0</v>
      </c>
      <c r="O439" s="1025">
        <v>13.3</v>
      </c>
      <c r="P439" s="1025"/>
      <c r="Q439" s="1025">
        <f t="shared" si="68"/>
        <v>0.5</v>
      </c>
      <c r="R439" s="1025">
        <f>Q439*(списки!$C$56-O439)</f>
        <v>3.3499999999999996</v>
      </c>
      <c r="S439" s="1026">
        <v>8.5</v>
      </c>
      <c r="T439" s="1026"/>
      <c r="U439" s="1026">
        <f t="shared" si="75"/>
        <v>30</v>
      </c>
      <c r="V439" s="1026">
        <f>U439*(списки!$C$56-S439)</f>
        <v>345</v>
      </c>
      <c r="W439" s="1027">
        <v>-1.8</v>
      </c>
      <c r="X439" s="1027"/>
      <c r="Y439" s="1027">
        <f t="shared" si="69"/>
        <v>31</v>
      </c>
      <c r="Z439" s="1027">
        <f>Y439*(списки!$C$56-W439)</f>
        <v>675.80000000000007</v>
      </c>
      <c r="AA439" s="1028">
        <v>-13.9</v>
      </c>
      <c r="AB439" s="1028"/>
      <c r="AC439" s="1028">
        <f t="shared" si="70"/>
        <v>30</v>
      </c>
      <c r="AD439" s="1028">
        <f>AC439*(списки!$C$56-AA439)</f>
        <v>1017</v>
      </c>
      <c r="AE439" s="1029">
        <v>-19.7</v>
      </c>
      <c r="AF439" s="1029"/>
      <c r="AG439" s="1029">
        <v>31</v>
      </c>
      <c r="AH439" s="1029">
        <f>AG439*(списки!$C$56-AE439)</f>
        <v>1230.7</v>
      </c>
      <c r="AI439" s="1030">
        <v>-21.1</v>
      </c>
      <c r="AJ439" s="1030"/>
      <c r="AK439" s="1030">
        <v>31</v>
      </c>
      <c r="AL439" s="1030">
        <f>AK439*(списки!$C$56-AI439)</f>
        <v>1274.1000000000001</v>
      </c>
      <c r="AM439" s="1031">
        <v>-18.8</v>
      </c>
      <c r="AN439" s="1031"/>
      <c r="AO439" s="1031">
        <v>28</v>
      </c>
      <c r="AP439" s="1031">
        <f>AO439*(списки!$C$56-AM439)</f>
        <v>1086.3999999999999</v>
      </c>
      <c r="AQ439" s="1026">
        <v>-12.9</v>
      </c>
      <c r="AR439" s="1026"/>
      <c r="AS439" s="1026">
        <f t="shared" si="71"/>
        <v>31</v>
      </c>
      <c r="AT439" s="1026">
        <f>AS439*(списки!$C$56-AQ439)</f>
        <v>1019.9</v>
      </c>
      <c r="AU439" s="1032">
        <v>-4.5</v>
      </c>
      <c r="AV439" s="1032"/>
      <c r="AW439" s="1032">
        <f t="shared" si="72"/>
        <v>30</v>
      </c>
      <c r="AX439" s="1032">
        <f>AW439*(списки!$C$56-AU439)</f>
        <v>735</v>
      </c>
      <c r="AY439" s="1033">
        <v>1.8</v>
      </c>
      <c r="AZ439" s="1033"/>
      <c r="BA439" s="1033">
        <f t="shared" si="73"/>
        <v>31</v>
      </c>
      <c r="BB439" s="1033">
        <f>BA439*(списки!$C$56-AY439)</f>
        <v>564.19999999999993</v>
      </c>
      <c r="BC439" s="1034">
        <v>7.5</v>
      </c>
      <c r="BD439" s="1034"/>
      <c r="BE439" s="1034">
        <f t="shared" si="74"/>
        <v>0.5</v>
      </c>
      <c r="BF439" s="1035">
        <f>BE439*(списки!$C$56-BC439)</f>
        <v>6.25</v>
      </c>
      <c r="BG439" s="1424">
        <v>7663.1875000000018</v>
      </c>
      <c r="BH439" s="1424">
        <v>7368.8874999999998</v>
      </c>
    </row>
    <row r="440" spans="2:60" ht="15.75" customHeight="1" x14ac:dyDescent="0.25">
      <c r="B440" s="1038" t="s">
        <v>121</v>
      </c>
      <c r="C440" s="1038" t="s">
        <v>137</v>
      </c>
      <c r="D440" s="1015" t="str">
        <f t="shared" si="76"/>
        <v>Хабаровский крайСизиман</v>
      </c>
      <c r="E440" s="1016">
        <v>263</v>
      </c>
      <c r="F440" s="1017">
        <v>-6.2</v>
      </c>
      <c r="G440" s="1017">
        <v>-26</v>
      </c>
      <c r="H440" s="1019">
        <f>H439</f>
        <v>3.9</v>
      </c>
      <c r="I440" s="1020">
        <f>E440*(списки!$C$56-F440)</f>
        <v>6890.5999999999995</v>
      </c>
      <c r="J440" s="1021" t="str">
        <f t="shared" si="66"/>
        <v>6000-7000</v>
      </c>
      <c r="K440" s="1022">
        <v>12.6</v>
      </c>
      <c r="L440" s="1022"/>
      <c r="M440" s="1023">
        <f t="shared" si="67"/>
        <v>0</v>
      </c>
      <c r="N440" s="1024">
        <f>M440*(списки!$C$56-K440)</f>
        <v>0</v>
      </c>
      <c r="O440" s="1025">
        <v>14.7</v>
      </c>
      <c r="P440" s="1025"/>
      <c r="Q440" s="1025">
        <f t="shared" si="68"/>
        <v>0</v>
      </c>
      <c r="R440" s="1025">
        <f>Q440*(списки!$C$56-O440)</f>
        <v>0</v>
      </c>
      <c r="S440" s="1026">
        <v>11.4</v>
      </c>
      <c r="T440" s="1026"/>
      <c r="U440" s="1026">
        <f t="shared" si="75"/>
        <v>25.5</v>
      </c>
      <c r="V440" s="1026">
        <f>U440*(списки!$C$56-S440)</f>
        <v>219.29999999999998</v>
      </c>
      <c r="W440" s="1027">
        <v>3.2</v>
      </c>
      <c r="X440" s="1027"/>
      <c r="Y440" s="1027">
        <f t="shared" si="69"/>
        <v>31</v>
      </c>
      <c r="Z440" s="1027">
        <f>Y440*(списки!$C$56-W440)</f>
        <v>520.80000000000007</v>
      </c>
      <c r="AA440" s="1028">
        <v>-7.5</v>
      </c>
      <c r="AB440" s="1028"/>
      <c r="AC440" s="1028">
        <f t="shared" si="70"/>
        <v>30</v>
      </c>
      <c r="AD440" s="1028">
        <f>AC440*(списки!$C$56-AA440)</f>
        <v>825</v>
      </c>
      <c r="AE440" s="1029">
        <v>-14.9</v>
      </c>
      <c r="AF440" s="1029"/>
      <c r="AG440" s="1029">
        <v>31</v>
      </c>
      <c r="AH440" s="1029">
        <f>AG440*(списки!$C$56-AE440)</f>
        <v>1081.8999999999999</v>
      </c>
      <c r="AI440" s="1030">
        <v>-18.2</v>
      </c>
      <c r="AJ440" s="1030"/>
      <c r="AK440" s="1030">
        <v>31</v>
      </c>
      <c r="AL440" s="1030">
        <f>AK440*(списки!$C$56-AI440)</f>
        <v>1184.2</v>
      </c>
      <c r="AM440" s="1031">
        <v>-15.3</v>
      </c>
      <c r="AN440" s="1031"/>
      <c r="AO440" s="1031">
        <v>28</v>
      </c>
      <c r="AP440" s="1031">
        <f>AO440*(списки!$C$56-AM440)</f>
        <v>988.39999999999986</v>
      </c>
      <c r="AQ440" s="1026">
        <v>-9.3000000000000007</v>
      </c>
      <c r="AR440" s="1026"/>
      <c r="AS440" s="1026">
        <f t="shared" si="71"/>
        <v>31</v>
      </c>
      <c r="AT440" s="1026">
        <f>AS440*(списки!$C$56-AQ440)</f>
        <v>908.30000000000007</v>
      </c>
      <c r="AU440" s="1032">
        <v>-1.2</v>
      </c>
      <c r="AV440" s="1032"/>
      <c r="AW440" s="1032">
        <f t="shared" si="72"/>
        <v>30</v>
      </c>
      <c r="AX440" s="1032">
        <f>AW440*(списки!$C$56-AU440)</f>
        <v>636</v>
      </c>
      <c r="AY440" s="1033">
        <v>2.9</v>
      </c>
      <c r="AZ440" s="1033"/>
      <c r="BA440" s="1033">
        <f t="shared" si="73"/>
        <v>25.5</v>
      </c>
      <c r="BB440" s="1033">
        <f>BA440*(списки!$C$56-AY440)</f>
        <v>436.05</v>
      </c>
      <c r="BC440" s="1034">
        <v>7.5</v>
      </c>
      <c r="BD440" s="1034"/>
      <c r="BE440" s="1034">
        <f t="shared" si="74"/>
        <v>0</v>
      </c>
      <c r="BF440" s="1035">
        <f>BE440*(списки!$C$56-BC440)</f>
        <v>0</v>
      </c>
      <c r="BG440" s="1424" t="e">
        <v>#N/A</v>
      </c>
      <c r="BH440" s="1424" t="e">
        <v>#N/A</v>
      </c>
    </row>
    <row r="441" spans="2:60" ht="15.75" customHeight="1" x14ac:dyDescent="0.25">
      <c r="B441" s="1014" t="s">
        <v>121</v>
      </c>
      <c r="C441" s="1014" t="s">
        <v>138</v>
      </c>
      <c r="D441" s="1015" t="str">
        <f t="shared" si="76"/>
        <v>Хабаровский крайСоветская Гавань</v>
      </c>
      <c r="E441" s="1016">
        <v>234</v>
      </c>
      <c r="F441" s="1017">
        <v>-6</v>
      </c>
      <c r="G441" s="1017">
        <v>-24</v>
      </c>
      <c r="H441" s="1019">
        <v>4.2</v>
      </c>
      <c r="I441" s="1020">
        <f>E441*(списки!$C$56-F441)</f>
        <v>6084</v>
      </c>
      <c r="J441" s="1021" t="str">
        <f t="shared" si="66"/>
        <v>6000-7000</v>
      </c>
      <c r="K441" s="1022">
        <v>14.6</v>
      </c>
      <c r="L441" s="1022"/>
      <c r="M441" s="1023">
        <f t="shared" si="67"/>
        <v>0</v>
      </c>
      <c r="N441" s="1024">
        <f>M441*(списки!$C$56-K441)</f>
        <v>0</v>
      </c>
      <c r="O441" s="1025">
        <v>16.7</v>
      </c>
      <c r="P441" s="1025"/>
      <c r="Q441" s="1025">
        <f t="shared" si="68"/>
        <v>0</v>
      </c>
      <c r="R441" s="1025">
        <f>Q441*(списки!$C$56-O441)</f>
        <v>0</v>
      </c>
      <c r="S441" s="1026">
        <v>12.8</v>
      </c>
      <c r="T441" s="1026"/>
      <c r="U441" s="1026">
        <f t="shared" si="75"/>
        <v>11</v>
      </c>
      <c r="V441" s="1026">
        <f>U441*(списки!$C$56-S441)</f>
        <v>79.199999999999989</v>
      </c>
      <c r="W441" s="1027">
        <v>5.5</v>
      </c>
      <c r="X441" s="1027"/>
      <c r="Y441" s="1027">
        <f t="shared" si="69"/>
        <v>31</v>
      </c>
      <c r="Z441" s="1027">
        <f>Y441*(списки!$C$56-W441)</f>
        <v>449.5</v>
      </c>
      <c r="AA441" s="1028">
        <v>-4.5999999999999996</v>
      </c>
      <c r="AB441" s="1028"/>
      <c r="AC441" s="1028">
        <f t="shared" si="70"/>
        <v>30</v>
      </c>
      <c r="AD441" s="1028">
        <f>AC441*(списки!$C$56-AA441)</f>
        <v>738</v>
      </c>
      <c r="AE441" s="1029">
        <v>-12.9</v>
      </c>
      <c r="AF441" s="1029"/>
      <c r="AG441" s="1029">
        <v>31</v>
      </c>
      <c r="AH441" s="1029">
        <f>AG441*(списки!$C$56-AE441)</f>
        <v>1019.9</v>
      </c>
      <c r="AI441" s="1030">
        <v>-15.9</v>
      </c>
      <c r="AJ441" s="1030"/>
      <c r="AK441" s="1030">
        <v>31</v>
      </c>
      <c r="AL441" s="1030">
        <f>AK441*(списки!$C$56-AI441)</f>
        <v>1112.8999999999999</v>
      </c>
      <c r="AM441" s="1031">
        <v>-13.8</v>
      </c>
      <c r="AN441" s="1031"/>
      <c r="AO441" s="1031">
        <v>28</v>
      </c>
      <c r="AP441" s="1031">
        <f>AO441*(списки!$C$56-AM441)</f>
        <v>946.39999999999986</v>
      </c>
      <c r="AQ441" s="1026">
        <v>-6.8</v>
      </c>
      <c r="AR441" s="1026"/>
      <c r="AS441" s="1026">
        <f t="shared" si="71"/>
        <v>31</v>
      </c>
      <c r="AT441" s="1026">
        <f>AS441*(списки!$C$56-AQ441)</f>
        <v>830.80000000000007</v>
      </c>
      <c r="AU441" s="1032">
        <v>0.9</v>
      </c>
      <c r="AV441" s="1032"/>
      <c r="AW441" s="1032">
        <f t="shared" si="72"/>
        <v>30</v>
      </c>
      <c r="AX441" s="1032">
        <f>AW441*(списки!$C$56-AU441)</f>
        <v>573</v>
      </c>
      <c r="AY441" s="1033">
        <v>6.1</v>
      </c>
      <c r="AZ441" s="1033"/>
      <c r="BA441" s="1033">
        <f t="shared" si="73"/>
        <v>11</v>
      </c>
      <c r="BB441" s="1033">
        <f>BA441*(списки!$C$56-AY441)</f>
        <v>152.9</v>
      </c>
      <c r="BC441" s="1034">
        <v>10.8</v>
      </c>
      <c r="BD441" s="1034"/>
      <c r="BE441" s="1034">
        <f t="shared" si="74"/>
        <v>0</v>
      </c>
      <c r="BF441" s="1035">
        <f>BE441*(списки!$C$56-BC441)</f>
        <v>0</v>
      </c>
      <c r="BG441" s="1424" t="e">
        <v>#N/A</v>
      </c>
      <c r="BH441" s="1424" t="e">
        <v>#N/A</v>
      </c>
    </row>
    <row r="442" spans="2:60" ht="15.75" customHeight="1" x14ac:dyDescent="0.25">
      <c r="B442" s="1038" t="s">
        <v>121</v>
      </c>
      <c r="C442" s="1038" t="s">
        <v>703</v>
      </c>
      <c r="D442" s="1015" t="str">
        <f t="shared" si="76"/>
        <v>Хабаровский крайСофийский Прииск</v>
      </c>
      <c r="E442" s="1016">
        <v>262</v>
      </c>
      <c r="F442" s="1017">
        <v>-14.7</v>
      </c>
      <c r="G442" s="1017">
        <v>-44</v>
      </c>
      <c r="H442" s="1019">
        <v>1.7</v>
      </c>
      <c r="I442" s="1020">
        <f>E442*(списки!$C$56-F442)</f>
        <v>9091.4000000000015</v>
      </c>
      <c r="J442" s="1021" t="str">
        <f t="shared" si="66"/>
        <v>9000-10000</v>
      </c>
      <c r="K442" s="1022">
        <v>15.5</v>
      </c>
      <c r="L442" s="1022"/>
      <c r="M442" s="1023">
        <f t="shared" si="67"/>
        <v>0</v>
      </c>
      <c r="N442" s="1024">
        <f>M442*(списки!$C$56-K442)</f>
        <v>0</v>
      </c>
      <c r="O442" s="1025">
        <v>12.8</v>
      </c>
      <c r="P442" s="1025"/>
      <c r="Q442" s="1025">
        <f t="shared" si="68"/>
        <v>0</v>
      </c>
      <c r="R442" s="1025">
        <f>Q442*(списки!$C$56-O442)</f>
        <v>0</v>
      </c>
      <c r="S442" s="1026">
        <v>5.9</v>
      </c>
      <c r="T442" s="1026"/>
      <c r="U442" s="1026">
        <f t="shared" si="75"/>
        <v>25</v>
      </c>
      <c r="V442" s="1026">
        <f>U442*(списки!$C$56-S442)</f>
        <v>352.5</v>
      </c>
      <c r="W442" s="1027">
        <v>-4.7</v>
      </c>
      <c r="X442" s="1027"/>
      <c r="Y442" s="1027">
        <f t="shared" si="69"/>
        <v>31</v>
      </c>
      <c r="Z442" s="1027">
        <f>Y442*(списки!$C$56-W442)</f>
        <v>765.69999999999993</v>
      </c>
      <c r="AA442" s="1028">
        <v>-19.899999999999999</v>
      </c>
      <c r="AB442" s="1028"/>
      <c r="AC442" s="1028">
        <f t="shared" si="70"/>
        <v>30</v>
      </c>
      <c r="AD442" s="1028">
        <f>AC442*(списки!$C$56-AA442)</f>
        <v>1197</v>
      </c>
      <c r="AE442" s="1029">
        <v>-30</v>
      </c>
      <c r="AF442" s="1029"/>
      <c r="AG442" s="1029">
        <v>31</v>
      </c>
      <c r="AH442" s="1029">
        <f>AG442*(списки!$C$56-AE442)</f>
        <v>1550</v>
      </c>
      <c r="AI442" s="1030">
        <v>-31.1</v>
      </c>
      <c r="AJ442" s="1030"/>
      <c r="AK442" s="1030">
        <v>31</v>
      </c>
      <c r="AL442" s="1030">
        <f>AK442*(списки!$C$56-AI442)</f>
        <v>1584.1000000000001</v>
      </c>
      <c r="AM442" s="1031">
        <v>-25.8</v>
      </c>
      <c r="AN442" s="1031"/>
      <c r="AO442" s="1031">
        <v>28</v>
      </c>
      <c r="AP442" s="1031">
        <f>AO442*(списки!$C$56-AM442)</f>
        <v>1282.3999999999999</v>
      </c>
      <c r="AQ442" s="1026">
        <v>-15.8</v>
      </c>
      <c r="AR442" s="1026"/>
      <c r="AS442" s="1026">
        <f t="shared" si="71"/>
        <v>31</v>
      </c>
      <c r="AT442" s="1026">
        <f>AS442*(списки!$C$56-AQ442)</f>
        <v>1109.8</v>
      </c>
      <c r="AU442" s="1032">
        <v>-3.9</v>
      </c>
      <c r="AV442" s="1032"/>
      <c r="AW442" s="1032">
        <f t="shared" si="72"/>
        <v>30</v>
      </c>
      <c r="AX442" s="1032">
        <f>AW442*(списки!$C$56-AU442)</f>
        <v>717</v>
      </c>
      <c r="AY442" s="1033">
        <v>5.2</v>
      </c>
      <c r="AZ442" s="1033"/>
      <c r="BA442" s="1033">
        <f t="shared" si="73"/>
        <v>25</v>
      </c>
      <c r="BB442" s="1033">
        <f>BA442*(списки!$C$56-AY442)</f>
        <v>370</v>
      </c>
      <c r="BC442" s="1034">
        <v>12.2</v>
      </c>
      <c r="BD442" s="1034"/>
      <c r="BE442" s="1034">
        <f t="shared" si="74"/>
        <v>0</v>
      </c>
      <c r="BF442" s="1035">
        <f>BE442*(списки!$C$56-BC442)</f>
        <v>0</v>
      </c>
      <c r="BG442" s="1424" t="e">
        <v>#N/A</v>
      </c>
      <c r="BH442" s="1424" t="e">
        <v>#N/A</v>
      </c>
    </row>
    <row r="443" spans="2:60" ht="15.75" customHeight="1" x14ac:dyDescent="0.25">
      <c r="B443" s="1014" t="s">
        <v>121</v>
      </c>
      <c r="C443" s="1014" t="s">
        <v>139</v>
      </c>
      <c r="D443" s="1015" t="str">
        <f t="shared" si="76"/>
        <v>Хабаровский крайСредний Ургал</v>
      </c>
      <c r="E443" s="1016">
        <v>238</v>
      </c>
      <c r="F443" s="1017">
        <v>-13.3</v>
      </c>
      <c r="G443" s="1017">
        <v>-40</v>
      </c>
      <c r="H443" s="1019">
        <f>H445</f>
        <v>3.9</v>
      </c>
      <c r="I443" s="1020">
        <f>E443*(списки!$C$56-F443)</f>
        <v>7925.4</v>
      </c>
      <c r="J443" s="1021" t="str">
        <f t="shared" si="66"/>
        <v>7000-8000</v>
      </c>
      <c r="K443" s="1022">
        <v>18.8</v>
      </c>
      <c r="L443" s="1022"/>
      <c r="M443" s="1023">
        <f t="shared" si="67"/>
        <v>0</v>
      </c>
      <c r="N443" s="1024">
        <f>M443*(списки!$C$56-K443)</f>
        <v>0</v>
      </c>
      <c r="O443" s="1025">
        <v>16.5</v>
      </c>
      <c r="P443" s="1025"/>
      <c r="Q443" s="1025">
        <f t="shared" si="68"/>
        <v>0</v>
      </c>
      <c r="R443" s="1025">
        <f>Q443*(списки!$C$56-O443)</f>
        <v>0</v>
      </c>
      <c r="S443" s="1026">
        <v>9.5</v>
      </c>
      <c r="T443" s="1026"/>
      <c r="U443" s="1026">
        <f t="shared" si="75"/>
        <v>13</v>
      </c>
      <c r="V443" s="1026">
        <f>U443*(списки!$C$56-S443)</f>
        <v>136.5</v>
      </c>
      <c r="W443" s="1027">
        <v>-0.8</v>
      </c>
      <c r="X443" s="1027"/>
      <c r="Y443" s="1027">
        <f t="shared" si="69"/>
        <v>31</v>
      </c>
      <c r="Z443" s="1027">
        <f>Y443*(списки!$C$56-W443)</f>
        <v>644.80000000000007</v>
      </c>
      <c r="AA443" s="1028">
        <v>-16.600000000000001</v>
      </c>
      <c r="AB443" s="1028"/>
      <c r="AC443" s="1028">
        <f t="shared" si="70"/>
        <v>30</v>
      </c>
      <c r="AD443" s="1028">
        <f>AC443*(списки!$C$56-AA443)</f>
        <v>1098</v>
      </c>
      <c r="AE443" s="1029">
        <v>-28.6</v>
      </c>
      <c r="AF443" s="1029"/>
      <c r="AG443" s="1029">
        <v>31</v>
      </c>
      <c r="AH443" s="1029">
        <f>AG443*(списки!$C$56-AE443)</f>
        <v>1506.6000000000001</v>
      </c>
      <c r="AI443" s="1030">
        <v>-31.1</v>
      </c>
      <c r="AJ443" s="1030"/>
      <c r="AK443" s="1030">
        <v>31</v>
      </c>
      <c r="AL443" s="1030">
        <f>AK443*(списки!$C$56-AI443)</f>
        <v>1584.1000000000001</v>
      </c>
      <c r="AM443" s="1031">
        <v>-23</v>
      </c>
      <c r="AN443" s="1031"/>
      <c r="AO443" s="1031">
        <v>28</v>
      </c>
      <c r="AP443" s="1031">
        <f>AO443*(списки!$C$56-AM443)</f>
        <v>1204</v>
      </c>
      <c r="AQ443" s="1026">
        <v>-12.1</v>
      </c>
      <c r="AR443" s="1026"/>
      <c r="AS443" s="1026">
        <f t="shared" si="71"/>
        <v>31</v>
      </c>
      <c r="AT443" s="1026">
        <f>AS443*(списки!$C$56-AQ443)</f>
        <v>995.1</v>
      </c>
      <c r="AU443" s="1032">
        <v>0.2</v>
      </c>
      <c r="AV443" s="1032"/>
      <c r="AW443" s="1032">
        <f t="shared" si="72"/>
        <v>30</v>
      </c>
      <c r="AX443" s="1032">
        <f>AW443*(списки!$C$56-AU443)</f>
        <v>594</v>
      </c>
      <c r="AY443" s="1033">
        <v>8.1</v>
      </c>
      <c r="AZ443" s="1033"/>
      <c r="BA443" s="1033">
        <f t="shared" si="73"/>
        <v>13</v>
      </c>
      <c r="BB443" s="1033">
        <f>BA443*(списки!$C$56-AY443)</f>
        <v>154.70000000000002</v>
      </c>
      <c r="BC443" s="1034">
        <v>14.8</v>
      </c>
      <c r="BD443" s="1034"/>
      <c r="BE443" s="1034">
        <f t="shared" si="74"/>
        <v>0</v>
      </c>
      <c r="BF443" s="1035">
        <f>BE443*(списки!$C$56-BC443)</f>
        <v>0</v>
      </c>
      <c r="BG443" s="1424" t="e">
        <v>#N/A</v>
      </c>
      <c r="BH443" s="1424" t="e">
        <v>#N/A</v>
      </c>
    </row>
    <row r="444" spans="2:60" ht="15.75" customHeight="1" x14ac:dyDescent="0.25">
      <c r="B444" s="1038" t="s">
        <v>121</v>
      </c>
      <c r="C444" s="1038" t="s">
        <v>140</v>
      </c>
      <c r="D444" s="1015" t="str">
        <f t="shared" si="76"/>
        <v>Хабаровский крайТроицкое</v>
      </c>
      <c r="E444" s="1016">
        <v>217</v>
      </c>
      <c r="F444" s="1017">
        <v>-9.6999999999999993</v>
      </c>
      <c r="G444" s="1017">
        <v>-31</v>
      </c>
      <c r="H444" s="1019">
        <f>H443</f>
        <v>3.9</v>
      </c>
      <c r="I444" s="1020">
        <f>E444*(списки!$C$56-F444)</f>
        <v>6444.9</v>
      </c>
      <c r="J444" s="1021" t="str">
        <f t="shared" si="66"/>
        <v>6000-7000</v>
      </c>
      <c r="K444" s="1022">
        <v>17.5</v>
      </c>
      <c r="L444" s="1022"/>
      <c r="M444" s="1023">
        <f t="shared" si="67"/>
        <v>0</v>
      </c>
      <c r="N444" s="1024">
        <f>M444*(списки!$C$56-K444)</f>
        <v>0</v>
      </c>
      <c r="O444" s="1025">
        <v>14</v>
      </c>
      <c r="P444" s="1025"/>
      <c r="Q444" s="1025">
        <f t="shared" si="68"/>
        <v>0</v>
      </c>
      <c r="R444" s="1025">
        <f>Q444*(списки!$C$56-O444)</f>
        <v>0</v>
      </c>
      <c r="S444" s="1026">
        <v>7</v>
      </c>
      <c r="T444" s="1026"/>
      <c r="U444" s="1026">
        <f t="shared" si="75"/>
        <v>2.5</v>
      </c>
      <c r="V444" s="1026">
        <f>U444*(списки!$C$56-S444)</f>
        <v>32.5</v>
      </c>
      <c r="W444" s="1027">
        <v>3.9</v>
      </c>
      <c r="X444" s="1027"/>
      <c r="Y444" s="1027">
        <f t="shared" si="69"/>
        <v>31</v>
      </c>
      <c r="Z444" s="1027">
        <f>Y444*(списки!$C$56-W444)</f>
        <v>499.1</v>
      </c>
      <c r="AA444" s="1028">
        <v>-8.6999999999999993</v>
      </c>
      <c r="AB444" s="1028"/>
      <c r="AC444" s="1028">
        <f t="shared" si="70"/>
        <v>30</v>
      </c>
      <c r="AD444" s="1028">
        <f>AC444*(списки!$C$56-AA444)</f>
        <v>861</v>
      </c>
      <c r="AE444" s="1029">
        <v>-19.2</v>
      </c>
      <c r="AF444" s="1029"/>
      <c r="AG444" s="1029">
        <v>31</v>
      </c>
      <c r="AH444" s="1029">
        <f>AG444*(списки!$C$56-AE444)</f>
        <v>1215.2</v>
      </c>
      <c r="AI444" s="1030">
        <v>-23.3</v>
      </c>
      <c r="AJ444" s="1030"/>
      <c r="AK444" s="1030">
        <v>31</v>
      </c>
      <c r="AL444" s="1030">
        <f>AK444*(списки!$C$56-AI444)</f>
        <v>1342.3</v>
      </c>
      <c r="AM444" s="1031">
        <v>-18.2</v>
      </c>
      <c r="AN444" s="1031"/>
      <c r="AO444" s="1031">
        <v>28</v>
      </c>
      <c r="AP444" s="1031">
        <f>AO444*(списки!$C$56-AM444)</f>
        <v>1069.6000000000001</v>
      </c>
      <c r="AQ444" s="1026">
        <v>-9.4</v>
      </c>
      <c r="AR444" s="1026"/>
      <c r="AS444" s="1026">
        <f t="shared" si="71"/>
        <v>31</v>
      </c>
      <c r="AT444" s="1026">
        <f>AS444*(списки!$C$56-AQ444)</f>
        <v>911.4</v>
      </c>
      <c r="AU444" s="1032">
        <v>2.1</v>
      </c>
      <c r="AV444" s="1032"/>
      <c r="AW444" s="1032">
        <f t="shared" si="72"/>
        <v>30</v>
      </c>
      <c r="AX444" s="1032">
        <f>AW444*(списки!$C$56-AU444)</f>
        <v>537</v>
      </c>
      <c r="AY444" s="1033">
        <v>6.9</v>
      </c>
      <c r="AZ444" s="1033"/>
      <c r="BA444" s="1033">
        <f t="shared" si="73"/>
        <v>2.5</v>
      </c>
      <c r="BB444" s="1033">
        <f>BA444*(списки!$C$56-AY444)</f>
        <v>32.75</v>
      </c>
      <c r="BC444" s="1034">
        <v>14.5</v>
      </c>
      <c r="BD444" s="1034"/>
      <c r="BE444" s="1034">
        <f t="shared" si="74"/>
        <v>0</v>
      </c>
      <c r="BF444" s="1035">
        <f>BE444*(списки!$C$56-BC444)</f>
        <v>0</v>
      </c>
      <c r="BG444" s="1424">
        <v>6372.0464285714243</v>
      </c>
      <c r="BH444" s="1424">
        <v>6112.6035714285699</v>
      </c>
    </row>
    <row r="445" spans="2:60" ht="15.75" customHeight="1" x14ac:dyDescent="0.25">
      <c r="B445" s="1014" t="s">
        <v>121</v>
      </c>
      <c r="C445" s="1014" t="s">
        <v>133</v>
      </c>
      <c r="D445" s="1015" t="str">
        <f t="shared" si="76"/>
        <v>Хабаровский крайХабаровск</v>
      </c>
      <c r="E445" s="1016">
        <v>204</v>
      </c>
      <c r="F445" s="1017">
        <v>-9.5</v>
      </c>
      <c r="G445" s="1017">
        <v>-29</v>
      </c>
      <c r="H445" s="1019">
        <v>3.9</v>
      </c>
      <c r="I445" s="1020">
        <f>E445*(списки!$C$56-F445)</f>
        <v>6018</v>
      </c>
      <c r="J445" s="1021" t="str">
        <f t="shared" si="66"/>
        <v>6000-7000</v>
      </c>
      <c r="K445" s="1022">
        <v>21.3</v>
      </c>
      <c r="L445" s="1022"/>
      <c r="M445" s="1023">
        <f t="shared" si="67"/>
        <v>0</v>
      </c>
      <c r="N445" s="1024">
        <f>M445*(списки!$C$56-K445)</f>
        <v>0</v>
      </c>
      <c r="O445" s="1025">
        <v>19.600000000000001</v>
      </c>
      <c r="P445" s="1025"/>
      <c r="Q445" s="1025">
        <f t="shared" si="68"/>
        <v>0</v>
      </c>
      <c r="R445" s="1025">
        <f>Q445*(списки!$C$56-O445)</f>
        <v>0</v>
      </c>
      <c r="S445" s="1026">
        <v>13.5</v>
      </c>
      <c r="T445" s="1026"/>
      <c r="U445" s="1026">
        <f t="shared" si="75"/>
        <v>0</v>
      </c>
      <c r="V445" s="1026">
        <f>U445*(списки!$C$56-S445)</f>
        <v>0</v>
      </c>
      <c r="W445" s="1027">
        <v>4.9000000000000004</v>
      </c>
      <c r="X445" s="1027"/>
      <c r="Y445" s="1027">
        <f t="shared" si="69"/>
        <v>26.5</v>
      </c>
      <c r="Z445" s="1027">
        <f>Y445*(списки!$C$56-W445)</f>
        <v>400.15</v>
      </c>
      <c r="AA445" s="1028">
        <v>-7.3</v>
      </c>
      <c r="AB445" s="1028"/>
      <c r="AC445" s="1028">
        <f t="shared" si="70"/>
        <v>30</v>
      </c>
      <c r="AD445" s="1028">
        <f>AC445*(списки!$C$56-AA445)</f>
        <v>819</v>
      </c>
      <c r="AE445" s="1029">
        <v>-17.7</v>
      </c>
      <c r="AF445" s="1029"/>
      <c r="AG445" s="1029">
        <v>31</v>
      </c>
      <c r="AH445" s="1029">
        <f>AG445*(списки!$C$56-AE445)</f>
        <v>1168.7</v>
      </c>
      <c r="AI445" s="1030">
        <v>-20.2</v>
      </c>
      <c r="AJ445" s="1030"/>
      <c r="AK445" s="1030">
        <v>31</v>
      </c>
      <c r="AL445" s="1030">
        <f>AK445*(списки!$C$56-AI445)</f>
        <v>1246.2</v>
      </c>
      <c r="AM445" s="1031">
        <v>-16.100000000000001</v>
      </c>
      <c r="AN445" s="1031"/>
      <c r="AO445" s="1031">
        <v>28</v>
      </c>
      <c r="AP445" s="1031">
        <f>AO445*(списки!$C$56-AM445)</f>
        <v>1010.8000000000001</v>
      </c>
      <c r="AQ445" s="1026">
        <v>-6.8</v>
      </c>
      <c r="AR445" s="1026"/>
      <c r="AS445" s="1026">
        <f t="shared" si="71"/>
        <v>31</v>
      </c>
      <c r="AT445" s="1026">
        <f>AS445*(списки!$C$56-AQ445)</f>
        <v>830.80000000000007</v>
      </c>
      <c r="AU445" s="1032">
        <v>4.5</v>
      </c>
      <c r="AV445" s="1032"/>
      <c r="AW445" s="1032">
        <f t="shared" si="72"/>
        <v>26.5</v>
      </c>
      <c r="AX445" s="1032">
        <f>AW445*(списки!$C$56-AU445)</f>
        <v>410.75</v>
      </c>
      <c r="AY445" s="1033">
        <v>12.3</v>
      </c>
      <c r="AZ445" s="1033"/>
      <c r="BA445" s="1033">
        <f t="shared" si="73"/>
        <v>0</v>
      </c>
      <c r="BB445" s="1033">
        <f>BA445*(списки!$C$56-AY445)</f>
        <v>0</v>
      </c>
      <c r="BC445" s="1034">
        <v>18</v>
      </c>
      <c r="BD445" s="1034"/>
      <c r="BE445" s="1034">
        <f t="shared" si="74"/>
        <v>0</v>
      </c>
      <c r="BF445" s="1035">
        <f>BE445*(списки!$C$56-BC445)</f>
        <v>0</v>
      </c>
      <c r="BG445" s="1424">
        <v>6191.8887692076323</v>
      </c>
      <c r="BH445" s="1424">
        <v>5906.539026693149</v>
      </c>
    </row>
    <row r="446" spans="2:60" ht="15.75" customHeight="1" x14ac:dyDescent="0.25">
      <c r="B446" s="1038" t="s">
        <v>121</v>
      </c>
      <c r="C446" s="1038" t="s">
        <v>126</v>
      </c>
      <c r="D446" s="1015" t="str">
        <f t="shared" si="76"/>
        <v>Хабаровский крайЧумикан</v>
      </c>
      <c r="E446" s="1016">
        <v>274</v>
      </c>
      <c r="F446" s="1017">
        <v>-8.8000000000000007</v>
      </c>
      <c r="G446" s="1017">
        <v>-32</v>
      </c>
      <c r="H446" s="1019">
        <v>10.3</v>
      </c>
      <c r="I446" s="1020">
        <f>E446*(списки!$C$56-F446)</f>
        <v>7891.2</v>
      </c>
      <c r="J446" s="1021" t="str">
        <f t="shared" si="66"/>
        <v>7000-8000</v>
      </c>
      <c r="K446" s="1022">
        <v>12</v>
      </c>
      <c r="L446" s="1022"/>
      <c r="M446" s="1023">
        <f t="shared" si="67"/>
        <v>0</v>
      </c>
      <c r="N446" s="1024">
        <f>M446*(списки!$C$56-K446)</f>
        <v>0</v>
      </c>
      <c r="O446" s="1025">
        <v>13.5</v>
      </c>
      <c r="P446" s="1025"/>
      <c r="Q446" s="1025">
        <f t="shared" si="68"/>
        <v>0.5</v>
      </c>
      <c r="R446" s="1025">
        <f>Q446*(списки!$C$56-O446)</f>
        <v>3.25</v>
      </c>
      <c r="S446" s="1026">
        <v>10</v>
      </c>
      <c r="T446" s="1026"/>
      <c r="U446" s="1026">
        <f t="shared" si="75"/>
        <v>30</v>
      </c>
      <c r="V446" s="1026">
        <f>U446*(списки!$C$56-S446)</f>
        <v>300</v>
      </c>
      <c r="W446" s="1027">
        <v>0.7</v>
      </c>
      <c r="X446" s="1027"/>
      <c r="Y446" s="1027">
        <f t="shared" si="69"/>
        <v>31</v>
      </c>
      <c r="Z446" s="1027">
        <f>Y446*(списки!$C$56-W446)</f>
        <v>598.30000000000007</v>
      </c>
      <c r="AA446" s="1028">
        <v>-12.9</v>
      </c>
      <c r="AB446" s="1028"/>
      <c r="AC446" s="1028">
        <f t="shared" si="70"/>
        <v>30</v>
      </c>
      <c r="AD446" s="1028">
        <f>AC446*(списки!$C$56-AA446)</f>
        <v>987</v>
      </c>
      <c r="AE446" s="1029">
        <v>-21.3</v>
      </c>
      <c r="AF446" s="1029"/>
      <c r="AG446" s="1029">
        <v>31</v>
      </c>
      <c r="AH446" s="1029">
        <f>AG446*(списки!$C$56-AE446)</f>
        <v>1280.3</v>
      </c>
      <c r="AI446" s="1030">
        <v>-23.7</v>
      </c>
      <c r="AJ446" s="1030"/>
      <c r="AK446" s="1030">
        <v>31</v>
      </c>
      <c r="AL446" s="1030">
        <f>AK446*(списки!$C$56-AI446)</f>
        <v>1354.7</v>
      </c>
      <c r="AM446" s="1031">
        <v>-18.899999999999999</v>
      </c>
      <c r="AN446" s="1031"/>
      <c r="AO446" s="1031">
        <v>28</v>
      </c>
      <c r="AP446" s="1031">
        <f>AO446*(списки!$C$56-AM446)</f>
        <v>1089.2</v>
      </c>
      <c r="AQ446" s="1026">
        <v>-11.6</v>
      </c>
      <c r="AR446" s="1026"/>
      <c r="AS446" s="1026">
        <f t="shared" si="71"/>
        <v>31</v>
      </c>
      <c r="AT446" s="1026">
        <f>AS446*(списки!$C$56-AQ446)</f>
        <v>979.6</v>
      </c>
      <c r="AU446" s="1032">
        <v>-2.7</v>
      </c>
      <c r="AV446" s="1032"/>
      <c r="AW446" s="1032">
        <f t="shared" si="72"/>
        <v>30</v>
      </c>
      <c r="AX446" s="1032">
        <f>AW446*(списки!$C$56-AU446)</f>
        <v>681</v>
      </c>
      <c r="AY446" s="1033">
        <v>1.9</v>
      </c>
      <c r="AZ446" s="1033"/>
      <c r="BA446" s="1033">
        <f t="shared" si="73"/>
        <v>31</v>
      </c>
      <c r="BB446" s="1033">
        <f>BA446*(списки!$C$56-AY446)</f>
        <v>561.1</v>
      </c>
      <c r="BC446" s="1034">
        <v>6.6</v>
      </c>
      <c r="BD446" s="1034"/>
      <c r="BE446" s="1034">
        <f t="shared" si="74"/>
        <v>0.5</v>
      </c>
      <c r="BF446" s="1035">
        <f>BE446*(списки!$C$56-BC446)</f>
        <v>6.7</v>
      </c>
      <c r="BG446" s="1424" t="e">
        <v>#N/A</v>
      </c>
      <c r="BH446" s="1424" t="e">
        <v>#N/A</v>
      </c>
    </row>
    <row r="447" spans="2:60" ht="15.75" customHeight="1" x14ac:dyDescent="0.25">
      <c r="B447" s="1014" t="s">
        <v>121</v>
      </c>
      <c r="C447" s="1014" t="s">
        <v>129</v>
      </c>
      <c r="D447" s="1015" t="str">
        <f t="shared" si="76"/>
        <v>Хабаровский крайЭнкэн</v>
      </c>
      <c r="E447" s="1016">
        <v>281</v>
      </c>
      <c r="F447" s="1017">
        <v>-7.7</v>
      </c>
      <c r="G447" s="1017">
        <v>-28</v>
      </c>
      <c r="H447" s="1019">
        <f>H445</f>
        <v>3.9</v>
      </c>
      <c r="I447" s="1020">
        <f>E447*(списки!$C$56-F447)</f>
        <v>7783.7</v>
      </c>
      <c r="J447" s="1021" t="str">
        <f t="shared" si="66"/>
        <v>7000-8000</v>
      </c>
      <c r="K447" s="1022">
        <v>11.5</v>
      </c>
      <c r="L447" s="1022"/>
      <c r="M447" s="1023">
        <f t="shared" si="67"/>
        <v>0</v>
      </c>
      <c r="N447" s="1024">
        <f>M447*(списки!$C$56-K447)</f>
        <v>0</v>
      </c>
      <c r="O447" s="1025">
        <v>13.3</v>
      </c>
      <c r="P447" s="1025"/>
      <c r="Q447" s="1025">
        <f t="shared" si="68"/>
        <v>4</v>
      </c>
      <c r="R447" s="1025">
        <f>Q447*(списки!$C$56-O447)</f>
        <v>26.799999999999997</v>
      </c>
      <c r="S447" s="1026">
        <v>8.9</v>
      </c>
      <c r="T447" s="1026"/>
      <c r="U447" s="1026">
        <f t="shared" si="75"/>
        <v>30</v>
      </c>
      <c r="V447" s="1026">
        <f>U447*(списки!$C$56-S447)</f>
        <v>333</v>
      </c>
      <c r="W447" s="1027">
        <v>-0.5</v>
      </c>
      <c r="X447" s="1027"/>
      <c r="Y447" s="1027">
        <f t="shared" si="69"/>
        <v>31</v>
      </c>
      <c r="Z447" s="1027">
        <f>Y447*(списки!$C$56-W447)</f>
        <v>635.5</v>
      </c>
      <c r="AA447" s="1028">
        <v>-11.4</v>
      </c>
      <c r="AB447" s="1028"/>
      <c r="AC447" s="1028">
        <f t="shared" si="70"/>
        <v>30</v>
      </c>
      <c r="AD447" s="1028">
        <f>AC447*(списки!$C$56-AA447)</f>
        <v>942</v>
      </c>
      <c r="AE447" s="1029">
        <v>-17.5</v>
      </c>
      <c r="AF447" s="1029"/>
      <c r="AG447" s="1029">
        <v>31</v>
      </c>
      <c r="AH447" s="1029">
        <f>AG447*(списки!$C$56-AE447)</f>
        <v>1162.5</v>
      </c>
      <c r="AI447" s="1030">
        <v>-20.2</v>
      </c>
      <c r="AJ447" s="1030"/>
      <c r="AK447" s="1030">
        <v>31</v>
      </c>
      <c r="AL447" s="1030">
        <f>AK447*(списки!$C$56-AI447)</f>
        <v>1246.2</v>
      </c>
      <c r="AM447" s="1031">
        <v>-17.3</v>
      </c>
      <c r="AN447" s="1031"/>
      <c r="AO447" s="1031">
        <v>28</v>
      </c>
      <c r="AP447" s="1031">
        <f>AO447*(списки!$C$56-AM447)</f>
        <v>1044.3999999999999</v>
      </c>
      <c r="AQ447" s="1026">
        <v>-11.3</v>
      </c>
      <c r="AR447" s="1026"/>
      <c r="AS447" s="1026">
        <f t="shared" si="71"/>
        <v>31</v>
      </c>
      <c r="AT447" s="1026">
        <f>AS447*(списки!$C$56-AQ447)</f>
        <v>970.30000000000007</v>
      </c>
      <c r="AU447" s="1032">
        <v>-4</v>
      </c>
      <c r="AV447" s="1032"/>
      <c r="AW447" s="1032">
        <f t="shared" si="72"/>
        <v>30</v>
      </c>
      <c r="AX447" s="1032">
        <f>AW447*(списки!$C$56-AU447)</f>
        <v>720</v>
      </c>
      <c r="AY447" s="1033">
        <v>1.4</v>
      </c>
      <c r="AZ447" s="1033"/>
      <c r="BA447" s="1033">
        <f t="shared" si="73"/>
        <v>31</v>
      </c>
      <c r="BB447" s="1033">
        <f>BA447*(списки!$C$56-AY447)</f>
        <v>576.6</v>
      </c>
      <c r="BC447" s="1034">
        <v>6.1</v>
      </c>
      <c r="BD447" s="1034"/>
      <c r="BE447" s="1034">
        <f t="shared" si="74"/>
        <v>4</v>
      </c>
      <c r="BF447" s="1035">
        <f>BE447*(списки!$C$56-BC447)</f>
        <v>55.6</v>
      </c>
      <c r="BG447" s="1424" t="e">
        <v>#N/A</v>
      </c>
      <c r="BH447" s="1424" t="e">
        <v>#N/A</v>
      </c>
    </row>
    <row r="448" spans="2:60" ht="15.75" customHeight="1" x14ac:dyDescent="0.25">
      <c r="B448" s="1038" t="s">
        <v>626</v>
      </c>
      <c r="C448" s="1038" t="s">
        <v>60</v>
      </c>
      <c r="D448" s="1015" t="str">
        <f t="shared" si="76"/>
        <v>Ханты-Мансийский автономный округ (Югра)Березово</v>
      </c>
      <c r="E448" s="1016">
        <v>266</v>
      </c>
      <c r="F448" s="1017">
        <v>-9.9</v>
      </c>
      <c r="G448" s="1017">
        <v>-42</v>
      </c>
      <c r="H448" s="1019">
        <v>3.9</v>
      </c>
      <c r="I448" s="1020">
        <f>E448*(списки!$C$56-F448)</f>
        <v>7953.4</v>
      </c>
      <c r="J448" s="1021" t="str">
        <f t="shared" si="66"/>
        <v>7000-8000</v>
      </c>
      <c r="K448" s="1022">
        <v>16.5</v>
      </c>
      <c r="L448" s="1022"/>
      <c r="M448" s="1023">
        <f t="shared" si="67"/>
        <v>0</v>
      </c>
      <c r="N448" s="1024">
        <f>M448*(списки!$C$56-K448)</f>
        <v>0</v>
      </c>
      <c r="O448" s="1025">
        <v>12.5</v>
      </c>
      <c r="P448" s="1025"/>
      <c r="Q448" s="1025">
        <f t="shared" si="68"/>
        <v>0</v>
      </c>
      <c r="R448" s="1025">
        <f>Q448*(списки!$C$56-O448)</f>
        <v>0</v>
      </c>
      <c r="S448" s="1026">
        <v>6.4</v>
      </c>
      <c r="T448" s="1026"/>
      <c r="U448" s="1026">
        <f t="shared" si="75"/>
        <v>27</v>
      </c>
      <c r="V448" s="1026">
        <f>U448*(списки!$C$56-S448)</f>
        <v>367.2</v>
      </c>
      <c r="W448" s="1027">
        <v>-2.2999999999999998</v>
      </c>
      <c r="X448" s="1027"/>
      <c r="Y448" s="1027">
        <f t="shared" si="69"/>
        <v>31</v>
      </c>
      <c r="Z448" s="1027">
        <f>Y448*(списки!$C$56-W448)</f>
        <v>691.30000000000007</v>
      </c>
      <c r="AA448" s="1028">
        <v>-13.1</v>
      </c>
      <c r="AB448" s="1028"/>
      <c r="AC448" s="1028">
        <f t="shared" si="70"/>
        <v>30</v>
      </c>
      <c r="AD448" s="1028">
        <f>AC448*(списки!$C$56-AA448)</f>
        <v>993</v>
      </c>
      <c r="AE448" s="1029">
        <v>-19</v>
      </c>
      <c r="AF448" s="1029"/>
      <c r="AG448" s="1029">
        <v>31</v>
      </c>
      <c r="AH448" s="1029">
        <f>AG448*(списки!$C$56-AE448)</f>
        <v>1209</v>
      </c>
      <c r="AI448" s="1030">
        <v>-22.1</v>
      </c>
      <c r="AJ448" s="1030"/>
      <c r="AK448" s="1030">
        <v>31</v>
      </c>
      <c r="AL448" s="1030">
        <f>AK448*(списки!$C$56-AI448)</f>
        <v>1305.1000000000001</v>
      </c>
      <c r="AM448" s="1031">
        <v>-20.3</v>
      </c>
      <c r="AN448" s="1031"/>
      <c r="AO448" s="1031">
        <v>28</v>
      </c>
      <c r="AP448" s="1031">
        <f>AO448*(списки!$C$56-AM448)</f>
        <v>1128.3999999999999</v>
      </c>
      <c r="AQ448" s="1026">
        <v>-10.7</v>
      </c>
      <c r="AR448" s="1026"/>
      <c r="AS448" s="1026">
        <f t="shared" si="71"/>
        <v>31</v>
      </c>
      <c r="AT448" s="1026">
        <f>AS448*(списки!$C$56-AQ448)</f>
        <v>951.69999999999993</v>
      </c>
      <c r="AU448" s="1032">
        <v>-4.3</v>
      </c>
      <c r="AV448" s="1032"/>
      <c r="AW448" s="1032">
        <f t="shared" si="72"/>
        <v>30</v>
      </c>
      <c r="AX448" s="1032">
        <f>AW448*(списки!$C$56-AU448)</f>
        <v>729</v>
      </c>
      <c r="AY448" s="1033">
        <v>3.6</v>
      </c>
      <c r="AZ448" s="1033"/>
      <c r="BA448" s="1033">
        <f t="shared" si="73"/>
        <v>27</v>
      </c>
      <c r="BB448" s="1033">
        <f>BA448*(списки!$C$56-AY448)</f>
        <v>442.79999999999995</v>
      </c>
      <c r="BC448" s="1034">
        <v>12</v>
      </c>
      <c r="BD448" s="1034"/>
      <c r="BE448" s="1034">
        <f t="shared" si="74"/>
        <v>0</v>
      </c>
      <c r="BF448" s="1035">
        <f>BE448*(списки!$C$56-BC448)</f>
        <v>0</v>
      </c>
      <c r="BG448" s="1424">
        <v>7024.6035714285763</v>
      </c>
      <c r="BH448" s="1424">
        <v>7152.7499999999982</v>
      </c>
    </row>
    <row r="449" spans="2:60" ht="15.75" customHeight="1" x14ac:dyDescent="0.25">
      <c r="B449" s="1014" t="s">
        <v>626</v>
      </c>
      <c r="C449" s="1014" t="s">
        <v>704</v>
      </c>
      <c r="D449" s="1015" t="str">
        <f t="shared" si="76"/>
        <v>Ханты-Мансийский автономный округ (Югра)Кондинское — Ханты Мансийский АО</v>
      </c>
      <c r="E449" s="1016">
        <v>238</v>
      </c>
      <c r="F449" s="1017">
        <v>-8.6</v>
      </c>
      <c r="G449" s="1017">
        <v>-40</v>
      </c>
      <c r="H449" s="1019">
        <v>4.7</v>
      </c>
      <c r="I449" s="1020">
        <f>E449*(списки!$C$56-F449)</f>
        <v>6806.8</v>
      </c>
      <c r="J449" s="1021" t="str">
        <f t="shared" si="66"/>
        <v>6000-7000</v>
      </c>
      <c r="K449" s="1022">
        <v>18.7</v>
      </c>
      <c r="L449" s="1022"/>
      <c r="M449" s="1023">
        <f t="shared" si="67"/>
        <v>0</v>
      </c>
      <c r="N449" s="1024">
        <f>M449*(списки!$C$56-K449)</f>
        <v>0</v>
      </c>
      <c r="O449" s="1025">
        <v>14.7</v>
      </c>
      <c r="P449" s="1025"/>
      <c r="Q449" s="1025">
        <f t="shared" si="68"/>
        <v>0</v>
      </c>
      <c r="R449" s="1025">
        <f>Q449*(списки!$C$56-O449)</f>
        <v>0</v>
      </c>
      <c r="S449" s="1026">
        <v>8.9</v>
      </c>
      <c r="T449" s="1026"/>
      <c r="U449" s="1026">
        <f t="shared" si="75"/>
        <v>13</v>
      </c>
      <c r="V449" s="1026">
        <f>U449*(списки!$C$56-S449)</f>
        <v>144.29999999999998</v>
      </c>
      <c r="W449" s="1027">
        <v>-0.6</v>
      </c>
      <c r="X449" s="1027"/>
      <c r="Y449" s="1027">
        <f t="shared" si="69"/>
        <v>31</v>
      </c>
      <c r="Z449" s="1027">
        <f>Y449*(списки!$C$56-W449)</f>
        <v>638.6</v>
      </c>
      <c r="AA449" s="1028">
        <v>-10.199999999999999</v>
      </c>
      <c r="AB449" s="1028"/>
      <c r="AC449" s="1028">
        <f t="shared" si="70"/>
        <v>30</v>
      </c>
      <c r="AD449" s="1028">
        <f>AC449*(списки!$C$56-AA449)</f>
        <v>906</v>
      </c>
      <c r="AE449" s="1029">
        <v>-16.3</v>
      </c>
      <c r="AF449" s="1029"/>
      <c r="AG449" s="1029">
        <v>31</v>
      </c>
      <c r="AH449" s="1029">
        <f>AG449*(списки!$C$56-AE449)</f>
        <v>1125.3</v>
      </c>
      <c r="AI449" s="1030">
        <v>-19.8</v>
      </c>
      <c r="AJ449" s="1030"/>
      <c r="AK449" s="1030">
        <v>31</v>
      </c>
      <c r="AL449" s="1030">
        <f>AK449*(списки!$C$56-AI449)</f>
        <v>1233.8</v>
      </c>
      <c r="AM449" s="1031">
        <v>-18.399999999999999</v>
      </c>
      <c r="AN449" s="1031"/>
      <c r="AO449" s="1031">
        <v>28</v>
      </c>
      <c r="AP449" s="1031">
        <f>AO449*(списки!$C$56-AM449)</f>
        <v>1075.2</v>
      </c>
      <c r="AQ449" s="1026">
        <v>-10.1</v>
      </c>
      <c r="AR449" s="1026"/>
      <c r="AS449" s="1026">
        <f t="shared" si="71"/>
        <v>31</v>
      </c>
      <c r="AT449" s="1026">
        <f>AS449*(списки!$C$56-AQ449)</f>
        <v>933.1</v>
      </c>
      <c r="AU449" s="1032">
        <v>0.1</v>
      </c>
      <c r="AV449" s="1032"/>
      <c r="AW449" s="1032">
        <f t="shared" si="72"/>
        <v>30</v>
      </c>
      <c r="AX449" s="1032">
        <f>AW449*(списки!$C$56-AU449)</f>
        <v>597</v>
      </c>
      <c r="AY449" s="1033">
        <v>8.4</v>
      </c>
      <c r="AZ449" s="1033"/>
      <c r="BA449" s="1033">
        <f t="shared" si="73"/>
        <v>13</v>
      </c>
      <c r="BB449" s="1033">
        <f>BA449*(списки!$C$56-AY449)</f>
        <v>150.79999999999998</v>
      </c>
      <c r="BC449" s="1034">
        <v>14.9</v>
      </c>
      <c r="BD449" s="1034"/>
      <c r="BE449" s="1034">
        <f t="shared" si="74"/>
        <v>0</v>
      </c>
      <c r="BF449" s="1035">
        <f>BE449*(списки!$C$56-BC449)</f>
        <v>0</v>
      </c>
      <c r="BG449" s="1424" t="e">
        <v>#N/A</v>
      </c>
      <c r="BH449" s="1424" t="e">
        <v>#N/A</v>
      </c>
    </row>
    <row r="450" spans="2:60" ht="15.75" customHeight="1" x14ac:dyDescent="0.25">
      <c r="B450" s="1038" t="s">
        <v>626</v>
      </c>
      <c r="C450" s="1038" t="s">
        <v>705</v>
      </c>
      <c r="D450" s="1015" t="str">
        <f t="shared" si="76"/>
        <v>Ханты-Мансийский автономный округ (Югра)Сургут — Ханты-Мансийский АО</v>
      </c>
      <c r="E450" s="1016">
        <v>257</v>
      </c>
      <c r="F450" s="1017">
        <v>-9.9</v>
      </c>
      <c r="G450" s="1017">
        <v>-43</v>
      </c>
      <c r="H450" s="1019">
        <v>5.3</v>
      </c>
      <c r="I450" s="1020">
        <f>E450*(списки!$C$56-F450)</f>
        <v>7684.2999999999993</v>
      </c>
      <c r="J450" s="1021" t="str">
        <f t="shared" si="66"/>
        <v>7000-8000</v>
      </c>
      <c r="K450" s="1022">
        <v>16.899999999999999</v>
      </c>
      <c r="L450" s="1022"/>
      <c r="M450" s="1023">
        <f t="shared" si="67"/>
        <v>0</v>
      </c>
      <c r="N450" s="1024">
        <f>M450*(списки!$C$56-K450)</f>
        <v>0</v>
      </c>
      <c r="O450" s="1025">
        <v>14</v>
      </c>
      <c r="P450" s="1025"/>
      <c r="Q450" s="1025">
        <f t="shared" si="68"/>
        <v>0</v>
      </c>
      <c r="R450" s="1025">
        <f>Q450*(списки!$C$56-O450)</f>
        <v>0</v>
      </c>
      <c r="S450" s="1026">
        <v>7.8</v>
      </c>
      <c r="T450" s="1026"/>
      <c r="U450" s="1026">
        <f t="shared" si="75"/>
        <v>22.5</v>
      </c>
      <c r="V450" s="1026">
        <f>U450*(списки!$C$56-S450)</f>
        <v>274.5</v>
      </c>
      <c r="W450" s="1027">
        <v>-1.4</v>
      </c>
      <c r="X450" s="1027"/>
      <c r="Y450" s="1027">
        <f t="shared" si="69"/>
        <v>31</v>
      </c>
      <c r="Z450" s="1027">
        <f>Y450*(списки!$C$56-W450)</f>
        <v>663.4</v>
      </c>
      <c r="AA450" s="1028">
        <v>-13.2</v>
      </c>
      <c r="AB450" s="1028"/>
      <c r="AC450" s="1028">
        <f t="shared" si="70"/>
        <v>30</v>
      </c>
      <c r="AD450" s="1028">
        <f>AC450*(списки!$C$56-AA450)</f>
        <v>996.00000000000011</v>
      </c>
      <c r="AE450" s="1029">
        <v>-20.3</v>
      </c>
      <c r="AF450" s="1029"/>
      <c r="AG450" s="1029">
        <v>31</v>
      </c>
      <c r="AH450" s="1029">
        <f>AG450*(списки!$C$56-AE450)</f>
        <v>1249.3</v>
      </c>
      <c r="AI450" s="1030">
        <v>-22</v>
      </c>
      <c r="AJ450" s="1030"/>
      <c r="AK450" s="1030">
        <v>31</v>
      </c>
      <c r="AL450" s="1030">
        <f>AK450*(списки!$C$56-AI450)</f>
        <v>1302</v>
      </c>
      <c r="AM450" s="1031">
        <v>-19.600000000000001</v>
      </c>
      <c r="AN450" s="1031"/>
      <c r="AO450" s="1031">
        <v>28</v>
      </c>
      <c r="AP450" s="1031">
        <f>AO450*(списки!$C$56-AM450)</f>
        <v>1108.8</v>
      </c>
      <c r="AQ450" s="1026">
        <v>-13.3</v>
      </c>
      <c r="AR450" s="1026"/>
      <c r="AS450" s="1026">
        <f t="shared" si="71"/>
        <v>31</v>
      </c>
      <c r="AT450" s="1026">
        <f>AS450*(списки!$C$56-AQ450)</f>
        <v>1032.3</v>
      </c>
      <c r="AU450" s="1032">
        <v>-3.5</v>
      </c>
      <c r="AV450" s="1032"/>
      <c r="AW450" s="1032">
        <f t="shared" si="72"/>
        <v>30</v>
      </c>
      <c r="AX450" s="1032">
        <f>AW450*(списки!$C$56-AU450)</f>
        <v>705</v>
      </c>
      <c r="AY450" s="1033">
        <v>4.0999999999999996</v>
      </c>
      <c r="AZ450" s="1033"/>
      <c r="BA450" s="1033">
        <f t="shared" si="73"/>
        <v>22.5</v>
      </c>
      <c r="BB450" s="1033">
        <f>BA450*(списки!$C$56-AY450)</f>
        <v>357.75</v>
      </c>
      <c r="BC450" s="1034">
        <v>13</v>
      </c>
      <c r="BD450" s="1034"/>
      <c r="BE450" s="1034">
        <f t="shared" si="74"/>
        <v>0</v>
      </c>
      <c r="BF450" s="1035">
        <f>BE450*(списки!$C$56-BC450)</f>
        <v>0</v>
      </c>
      <c r="BG450" s="1424">
        <v>6911.3575000000001</v>
      </c>
      <c r="BH450" s="1424">
        <v>6897.2821428571424</v>
      </c>
    </row>
    <row r="451" spans="2:60" ht="15.75" customHeight="1" x14ac:dyDescent="0.25">
      <c r="B451" s="1014" t="s">
        <v>626</v>
      </c>
      <c r="C451" s="1014" t="s">
        <v>706</v>
      </c>
      <c r="D451" s="1015" t="str">
        <f t="shared" si="76"/>
        <v>Ханты-Мансийский автономный округ (Югра)Ханты- Мансийск</v>
      </c>
      <c r="E451" s="1016">
        <v>247</v>
      </c>
      <c r="F451" s="1017">
        <v>-8.8000000000000007</v>
      </c>
      <c r="G451" s="1017">
        <v>-40</v>
      </c>
      <c r="H451" s="1019">
        <v>3.1</v>
      </c>
      <c r="I451" s="1020">
        <f>E451*(списки!$C$56-F451)</f>
        <v>7113.6</v>
      </c>
      <c r="J451" s="1021" t="str">
        <f t="shared" si="66"/>
        <v>7000-8000</v>
      </c>
      <c r="K451" s="1022">
        <v>18.100000000000001</v>
      </c>
      <c r="L451" s="1022"/>
      <c r="M451" s="1023">
        <f t="shared" si="67"/>
        <v>0</v>
      </c>
      <c r="N451" s="1024">
        <f>M451*(списки!$C$56-K451)</f>
        <v>0</v>
      </c>
      <c r="O451" s="1025">
        <v>14.1</v>
      </c>
      <c r="P451" s="1025"/>
      <c r="Q451" s="1025">
        <f t="shared" si="68"/>
        <v>0</v>
      </c>
      <c r="R451" s="1025">
        <f>Q451*(списки!$C$56-O451)</f>
        <v>0</v>
      </c>
      <c r="S451" s="1026">
        <v>7.9</v>
      </c>
      <c r="T451" s="1026"/>
      <c r="U451" s="1026">
        <f t="shared" si="75"/>
        <v>17.5</v>
      </c>
      <c r="V451" s="1026">
        <f>U451*(списки!$C$56-S451)</f>
        <v>211.75</v>
      </c>
      <c r="W451" s="1027">
        <v>-0.4</v>
      </c>
      <c r="X451" s="1027"/>
      <c r="Y451" s="1027">
        <f t="shared" si="69"/>
        <v>31</v>
      </c>
      <c r="Z451" s="1027">
        <f>Y451*(списки!$C$56-W451)</f>
        <v>632.4</v>
      </c>
      <c r="AA451" s="1028">
        <v>-10.4</v>
      </c>
      <c r="AB451" s="1028"/>
      <c r="AC451" s="1028">
        <f t="shared" si="70"/>
        <v>30</v>
      </c>
      <c r="AD451" s="1028">
        <f>AC451*(списки!$C$56-AA451)</f>
        <v>912</v>
      </c>
      <c r="AE451" s="1029">
        <v>-16.899999999999999</v>
      </c>
      <c r="AF451" s="1029"/>
      <c r="AG451" s="1029">
        <v>31</v>
      </c>
      <c r="AH451" s="1029">
        <f>AG451*(списки!$C$56-AE451)</f>
        <v>1143.8999999999999</v>
      </c>
      <c r="AI451" s="1030">
        <v>-19.8</v>
      </c>
      <c r="AJ451" s="1030"/>
      <c r="AK451" s="1030">
        <v>31</v>
      </c>
      <c r="AL451" s="1030">
        <f>AK451*(списки!$C$56-AI451)</f>
        <v>1233.8</v>
      </c>
      <c r="AM451" s="1031">
        <v>-18.3</v>
      </c>
      <c r="AN451" s="1031"/>
      <c r="AO451" s="1031">
        <v>28</v>
      </c>
      <c r="AP451" s="1031">
        <f>AO451*(списки!$C$56-AM451)</f>
        <v>1072.3999999999999</v>
      </c>
      <c r="AQ451" s="1026">
        <v>-8.5</v>
      </c>
      <c r="AR451" s="1026"/>
      <c r="AS451" s="1026">
        <f t="shared" si="71"/>
        <v>31</v>
      </c>
      <c r="AT451" s="1026">
        <f>AS451*(списки!$C$56-AQ451)</f>
        <v>883.5</v>
      </c>
      <c r="AU451" s="1032">
        <v>-1.2</v>
      </c>
      <c r="AV451" s="1032"/>
      <c r="AW451" s="1032">
        <f t="shared" si="72"/>
        <v>30</v>
      </c>
      <c r="AX451" s="1032">
        <f>AW451*(списки!$C$56-AU451)</f>
        <v>636</v>
      </c>
      <c r="AY451" s="1033">
        <v>6.9</v>
      </c>
      <c r="AZ451" s="1033"/>
      <c r="BA451" s="1033">
        <f t="shared" si="73"/>
        <v>17.5</v>
      </c>
      <c r="BB451" s="1033">
        <f>BA451*(списки!$C$56-AY451)</f>
        <v>229.25</v>
      </c>
      <c r="BC451" s="1034">
        <v>14.5</v>
      </c>
      <c r="BD451" s="1034"/>
      <c r="BE451" s="1034">
        <f t="shared" si="74"/>
        <v>0</v>
      </c>
      <c r="BF451" s="1035">
        <f>BE451*(списки!$C$56-BC451)</f>
        <v>0</v>
      </c>
      <c r="BG451" s="1424">
        <v>6737.4428571428543</v>
      </c>
      <c r="BH451" s="1424">
        <v>6698.8857142857114</v>
      </c>
    </row>
    <row r="452" spans="2:60" ht="15.75" customHeight="1" x14ac:dyDescent="0.25">
      <c r="B452" s="1038" t="s">
        <v>53</v>
      </c>
      <c r="C452" s="1038" t="s">
        <v>57</v>
      </c>
      <c r="D452" s="1015" t="str">
        <f t="shared" si="76"/>
        <v>Челябинская областьВерхнеуральск</v>
      </c>
      <c r="E452" s="1016">
        <v>221</v>
      </c>
      <c r="F452" s="1017">
        <v>-7.5</v>
      </c>
      <c r="G452" s="1017">
        <v>-34</v>
      </c>
      <c r="H452" s="1019">
        <f>H453</f>
        <v>4.5</v>
      </c>
      <c r="I452" s="1020">
        <f>E452*(списки!$C$56-F452)</f>
        <v>6077.5</v>
      </c>
      <c r="J452" s="1021" t="str">
        <f t="shared" si="66"/>
        <v>6000-7000</v>
      </c>
      <c r="K452" s="1022">
        <v>17.600000000000001</v>
      </c>
      <c r="L452" s="1022"/>
      <c r="M452" s="1023">
        <f t="shared" si="67"/>
        <v>0</v>
      </c>
      <c r="N452" s="1024">
        <f>M452*(списки!$C$56-K452)</f>
        <v>0</v>
      </c>
      <c r="O452" s="1025">
        <v>15.5</v>
      </c>
      <c r="P452" s="1025"/>
      <c r="Q452" s="1025">
        <f t="shared" si="68"/>
        <v>0</v>
      </c>
      <c r="R452" s="1025">
        <f>Q452*(списки!$C$56-O452)</f>
        <v>0</v>
      </c>
      <c r="S452" s="1026">
        <v>9.8000000000000007</v>
      </c>
      <c r="T452" s="1026"/>
      <c r="U452" s="1026">
        <f t="shared" si="75"/>
        <v>4.5</v>
      </c>
      <c r="V452" s="1026">
        <f>U452*(списки!$C$56-S452)</f>
        <v>45.9</v>
      </c>
      <c r="W452" s="1027">
        <v>1.5</v>
      </c>
      <c r="X452" s="1027"/>
      <c r="Y452" s="1027">
        <f t="shared" si="69"/>
        <v>31</v>
      </c>
      <c r="Z452" s="1027">
        <f>Y452*(списки!$C$56-W452)</f>
        <v>573.5</v>
      </c>
      <c r="AA452" s="1028">
        <v>-6.5</v>
      </c>
      <c r="AB452" s="1028"/>
      <c r="AC452" s="1028">
        <f t="shared" si="70"/>
        <v>30</v>
      </c>
      <c r="AD452" s="1028">
        <f>AC452*(списки!$C$56-AA452)</f>
        <v>795</v>
      </c>
      <c r="AE452" s="1029">
        <v>-14</v>
      </c>
      <c r="AF452" s="1029"/>
      <c r="AG452" s="1029">
        <v>31</v>
      </c>
      <c r="AH452" s="1029">
        <f>AG452*(списки!$C$56-AE452)</f>
        <v>1054</v>
      </c>
      <c r="AI452" s="1030">
        <v>-16.399999999999999</v>
      </c>
      <c r="AJ452" s="1030"/>
      <c r="AK452" s="1030">
        <v>31</v>
      </c>
      <c r="AL452" s="1030">
        <f>AK452*(списки!$C$56-AI452)</f>
        <v>1128.3999999999999</v>
      </c>
      <c r="AM452" s="1031">
        <v>-15.9</v>
      </c>
      <c r="AN452" s="1031"/>
      <c r="AO452" s="1031">
        <v>28</v>
      </c>
      <c r="AP452" s="1031">
        <f>AO452*(списки!$C$56-AM452)</f>
        <v>1005.1999999999999</v>
      </c>
      <c r="AQ452" s="1026">
        <v>9</v>
      </c>
      <c r="AR452" s="1026"/>
      <c r="AS452" s="1026">
        <f t="shared" si="71"/>
        <v>31</v>
      </c>
      <c r="AT452" s="1026">
        <f>AS452*(списки!$C$56-AQ452)</f>
        <v>341</v>
      </c>
      <c r="AU452" s="1032">
        <v>2.9</v>
      </c>
      <c r="AV452" s="1032"/>
      <c r="AW452" s="1032">
        <f t="shared" si="72"/>
        <v>30</v>
      </c>
      <c r="AX452" s="1032">
        <f>AW452*(списки!$C$56-AU452)</f>
        <v>513</v>
      </c>
      <c r="AY452" s="1033">
        <v>11.1</v>
      </c>
      <c r="AZ452" s="1033"/>
      <c r="BA452" s="1033">
        <f t="shared" si="73"/>
        <v>4.5</v>
      </c>
      <c r="BB452" s="1033">
        <f>BA452*(списки!$C$56-AY452)</f>
        <v>40.050000000000004</v>
      </c>
      <c r="BC452" s="1034">
        <v>15.9</v>
      </c>
      <c r="BD452" s="1034"/>
      <c r="BE452" s="1034">
        <f t="shared" si="74"/>
        <v>0</v>
      </c>
      <c r="BF452" s="1035">
        <f>BE452*(списки!$C$56-BC452)</f>
        <v>0</v>
      </c>
      <c r="BG452" s="1424" t="e">
        <v>#N/A</v>
      </c>
      <c r="BH452" s="1424" t="e">
        <v>#N/A</v>
      </c>
    </row>
    <row r="453" spans="2:60" ht="15.75" customHeight="1" x14ac:dyDescent="0.25">
      <c r="B453" s="1014" t="s">
        <v>53</v>
      </c>
      <c r="C453" s="1014" t="s">
        <v>56</v>
      </c>
      <c r="D453" s="1015" t="str">
        <f t="shared" si="76"/>
        <v>Челябинская областьНязепетровск</v>
      </c>
      <c r="E453" s="1016">
        <v>229</v>
      </c>
      <c r="F453" s="1017">
        <v>-6.8</v>
      </c>
      <c r="G453" s="1017">
        <v>-35</v>
      </c>
      <c r="H453" s="1019">
        <f>H454</f>
        <v>4.5</v>
      </c>
      <c r="I453" s="1020">
        <f>E453*(списки!$C$56-F453)</f>
        <v>6137.2</v>
      </c>
      <c r="J453" s="1021" t="str">
        <f t="shared" si="66"/>
        <v>6000-7000</v>
      </c>
      <c r="K453" s="1022">
        <v>16.600000000000001</v>
      </c>
      <c r="L453" s="1022"/>
      <c r="M453" s="1023">
        <f t="shared" si="67"/>
        <v>0</v>
      </c>
      <c r="N453" s="1024">
        <f>M453*(списки!$C$56-K453)</f>
        <v>0</v>
      </c>
      <c r="O453" s="1025">
        <v>14.2</v>
      </c>
      <c r="P453" s="1025"/>
      <c r="Q453" s="1025">
        <f t="shared" si="68"/>
        <v>0</v>
      </c>
      <c r="R453" s="1025">
        <f>Q453*(списки!$C$56-O453)</f>
        <v>0</v>
      </c>
      <c r="S453" s="1026">
        <v>8.6</v>
      </c>
      <c r="T453" s="1026"/>
      <c r="U453" s="1026">
        <f t="shared" si="75"/>
        <v>8.5</v>
      </c>
      <c r="V453" s="1026">
        <f>U453*(списки!$C$56-S453)</f>
        <v>96.9</v>
      </c>
      <c r="W453" s="1027">
        <v>1.2</v>
      </c>
      <c r="X453" s="1027"/>
      <c r="Y453" s="1027">
        <f t="shared" si="69"/>
        <v>31</v>
      </c>
      <c r="Z453" s="1027">
        <f>Y453*(списки!$C$56-W453)</f>
        <v>582.80000000000007</v>
      </c>
      <c r="AA453" s="1028">
        <v>-7</v>
      </c>
      <c r="AB453" s="1028"/>
      <c r="AC453" s="1028">
        <f t="shared" si="70"/>
        <v>30</v>
      </c>
      <c r="AD453" s="1028">
        <f>AC453*(списки!$C$56-AA453)</f>
        <v>810</v>
      </c>
      <c r="AE453" s="1029">
        <v>-14</v>
      </c>
      <c r="AF453" s="1029"/>
      <c r="AG453" s="1029">
        <v>31</v>
      </c>
      <c r="AH453" s="1029">
        <f>AG453*(списки!$C$56-AE453)</f>
        <v>1054</v>
      </c>
      <c r="AI453" s="1030">
        <v>-16.3</v>
      </c>
      <c r="AJ453" s="1030"/>
      <c r="AK453" s="1030">
        <v>31</v>
      </c>
      <c r="AL453" s="1030">
        <f>AK453*(списки!$C$56-AI453)</f>
        <v>1125.3</v>
      </c>
      <c r="AM453" s="1031">
        <v>-14.8</v>
      </c>
      <c r="AN453" s="1031"/>
      <c r="AO453" s="1031">
        <v>28</v>
      </c>
      <c r="AP453" s="1031">
        <f>AO453*(списки!$C$56-AM453)</f>
        <v>974.39999999999986</v>
      </c>
      <c r="AQ453" s="1026">
        <v>-7.6</v>
      </c>
      <c r="AR453" s="1026"/>
      <c r="AS453" s="1026">
        <f t="shared" si="71"/>
        <v>31</v>
      </c>
      <c r="AT453" s="1026">
        <f>AS453*(списки!$C$56-AQ453)</f>
        <v>855.6</v>
      </c>
      <c r="AU453" s="1032">
        <v>2.6</v>
      </c>
      <c r="AV453" s="1032"/>
      <c r="AW453" s="1032">
        <f t="shared" si="72"/>
        <v>30</v>
      </c>
      <c r="AX453" s="1032">
        <f>AW453*(списки!$C$56-AU453)</f>
        <v>522</v>
      </c>
      <c r="AY453" s="1033">
        <v>10</v>
      </c>
      <c r="AZ453" s="1033"/>
      <c r="BA453" s="1033">
        <f t="shared" si="73"/>
        <v>8.5</v>
      </c>
      <c r="BB453" s="1033">
        <f>BA453*(списки!$C$56-AY453)</f>
        <v>85</v>
      </c>
      <c r="BC453" s="1034">
        <v>14.6</v>
      </c>
      <c r="BD453" s="1034"/>
      <c r="BE453" s="1034">
        <f t="shared" si="74"/>
        <v>0</v>
      </c>
      <c r="BF453" s="1035">
        <f>BE453*(списки!$C$56-BC453)</f>
        <v>0</v>
      </c>
      <c r="BG453" s="1424" t="e">
        <v>#N/A</v>
      </c>
      <c r="BH453" s="1424" t="e">
        <v>#N/A</v>
      </c>
    </row>
    <row r="454" spans="2:60" ht="15.75" customHeight="1" x14ac:dyDescent="0.25">
      <c r="B454" s="1038" t="s">
        <v>53</v>
      </c>
      <c r="C454" s="1038" t="s">
        <v>54</v>
      </c>
      <c r="D454" s="1015" t="str">
        <f t="shared" si="76"/>
        <v>Челябинская областьЧелябинск</v>
      </c>
      <c r="E454" s="1016">
        <v>218</v>
      </c>
      <c r="F454" s="1017">
        <v>-6.5</v>
      </c>
      <c r="G454" s="1017">
        <v>-34</v>
      </c>
      <c r="H454" s="1019">
        <v>4.5</v>
      </c>
      <c r="I454" s="1020">
        <f>E454*(списки!$C$56-F454)</f>
        <v>5777</v>
      </c>
      <c r="J454" s="1021" t="str">
        <f t="shared" si="66"/>
        <v>5000-6000</v>
      </c>
      <c r="K454" s="1022">
        <v>18.399999999999999</v>
      </c>
      <c r="L454" s="1022"/>
      <c r="M454" s="1023">
        <f t="shared" si="67"/>
        <v>0</v>
      </c>
      <c r="N454" s="1024">
        <f>M454*(списки!$C$56-K454)</f>
        <v>0</v>
      </c>
      <c r="O454" s="1025">
        <v>16.2</v>
      </c>
      <c r="P454" s="1025"/>
      <c r="Q454" s="1025">
        <f t="shared" si="68"/>
        <v>0</v>
      </c>
      <c r="R454" s="1025">
        <f>Q454*(списки!$C$56-O454)</f>
        <v>0</v>
      </c>
      <c r="S454" s="1026">
        <v>10.7</v>
      </c>
      <c r="T454" s="1026"/>
      <c r="U454" s="1026">
        <f t="shared" si="75"/>
        <v>3</v>
      </c>
      <c r="V454" s="1026">
        <f>U454*(списки!$C$56-S454)</f>
        <v>27.900000000000002</v>
      </c>
      <c r="W454" s="1027">
        <v>2.4</v>
      </c>
      <c r="X454" s="1027"/>
      <c r="Y454" s="1027">
        <f t="shared" si="69"/>
        <v>31</v>
      </c>
      <c r="Z454" s="1027">
        <f>Y454*(списки!$C$56-W454)</f>
        <v>545.6</v>
      </c>
      <c r="AA454" s="1028">
        <v>-6.2</v>
      </c>
      <c r="AB454" s="1028"/>
      <c r="AC454" s="1028">
        <f t="shared" si="70"/>
        <v>30</v>
      </c>
      <c r="AD454" s="1028">
        <f>AC454*(списки!$C$56-AA454)</f>
        <v>786</v>
      </c>
      <c r="AE454" s="1029">
        <v>-12.9</v>
      </c>
      <c r="AF454" s="1029"/>
      <c r="AG454" s="1029">
        <v>31</v>
      </c>
      <c r="AH454" s="1029">
        <f>AG454*(списки!$C$56-AE454)</f>
        <v>1019.9</v>
      </c>
      <c r="AI454" s="1030">
        <v>-15.8</v>
      </c>
      <c r="AJ454" s="1030"/>
      <c r="AK454" s="1030">
        <v>31</v>
      </c>
      <c r="AL454" s="1030">
        <f>AK454*(списки!$C$56-AI454)</f>
        <v>1109.8</v>
      </c>
      <c r="AM454" s="1031">
        <v>-14.3</v>
      </c>
      <c r="AN454" s="1031"/>
      <c r="AO454" s="1031">
        <v>28</v>
      </c>
      <c r="AP454" s="1031">
        <f>AO454*(списки!$C$56-AM454)</f>
        <v>960.39999999999986</v>
      </c>
      <c r="AQ454" s="1026">
        <v>-7.4</v>
      </c>
      <c r="AR454" s="1026"/>
      <c r="AS454" s="1026">
        <f t="shared" si="71"/>
        <v>31</v>
      </c>
      <c r="AT454" s="1026">
        <f>AS454*(списки!$C$56-AQ454)</f>
        <v>849.4</v>
      </c>
      <c r="AU454" s="1032">
        <v>3.9</v>
      </c>
      <c r="AV454" s="1032"/>
      <c r="AW454" s="1032">
        <f t="shared" si="72"/>
        <v>30</v>
      </c>
      <c r="AX454" s="1032">
        <f>AW454*(списки!$C$56-AU454)</f>
        <v>483.00000000000006</v>
      </c>
      <c r="AY454" s="1033">
        <v>11.9</v>
      </c>
      <c r="AZ454" s="1033"/>
      <c r="BA454" s="1033">
        <f t="shared" si="73"/>
        <v>3</v>
      </c>
      <c r="BB454" s="1033">
        <f>BA454*(списки!$C$56-AY454)</f>
        <v>24.299999999999997</v>
      </c>
      <c r="BC454" s="1034">
        <v>16.8</v>
      </c>
      <c r="BD454" s="1034"/>
      <c r="BE454" s="1034">
        <f t="shared" si="74"/>
        <v>0</v>
      </c>
      <c r="BF454" s="1035">
        <f>BE454*(списки!$C$56-BC454)</f>
        <v>0</v>
      </c>
      <c r="BG454" s="1424">
        <v>5318.5392857142842</v>
      </c>
      <c r="BH454" s="1424">
        <v>5342.3214285714303</v>
      </c>
    </row>
    <row r="455" spans="2:60" ht="15.75" customHeight="1" x14ac:dyDescent="0.25">
      <c r="B455" s="1014" t="s">
        <v>627</v>
      </c>
      <c r="C455" s="1014" t="s">
        <v>328</v>
      </c>
      <c r="D455" s="1015" t="str">
        <f t="shared" si="76"/>
        <v>Чеченская РеспубликаГрозный</v>
      </c>
      <c r="E455" s="1016">
        <v>159</v>
      </c>
      <c r="F455" s="1017">
        <v>0.9</v>
      </c>
      <c r="G455" s="1017">
        <v>-17</v>
      </c>
      <c r="H455" s="1019">
        <v>3.8</v>
      </c>
      <c r="I455" s="1020">
        <f>E455*(списки!$C$56-F455)</f>
        <v>3036.9</v>
      </c>
      <c r="J455" s="1021" t="str">
        <f t="shared" si="66"/>
        <v>3000-4000</v>
      </c>
      <c r="K455" s="1022">
        <v>24</v>
      </c>
      <c r="L455" s="1022"/>
      <c r="M455" s="1023">
        <f t="shared" si="67"/>
        <v>0</v>
      </c>
      <c r="N455" s="1024">
        <f>M455*(списки!$C$56-K455)</f>
        <v>0</v>
      </c>
      <c r="O455" s="1025">
        <v>22.9</v>
      </c>
      <c r="P455" s="1025"/>
      <c r="Q455" s="1025">
        <f t="shared" si="68"/>
        <v>0</v>
      </c>
      <c r="R455" s="1025">
        <f>Q455*(списки!$C$56-O455)</f>
        <v>0</v>
      </c>
      <c r="S455" s="1026">
        <v>18</v>
      </c>
      <c r="T455" s="1026"/>
      <c r="U455" s="1026">
        <f t="shared" si="75"/>
        <v>0</v>
      </c>
      <c r="V455" s="1026">
        <f>U455*(списки!$C$56-S455)</f>
        <v>0</v>
      </c>
      <c r="W455" s="1027">
        <v>10.8</v>
      </c>
      <c r="X455" s="1027"/>
      <c r="Y455" s="1027">
        <f t="shared" si="69"/>
        <v>4</v>
      </c>
      <c r="Z455" s="1027">
        <f>Y455*(списки!$C$56-W455)</f>
        <v>36.799999999999997</v>
      </c>
      <c r="AA455" s="1028">
        <v>4.7</v>
      </c>
      <c r="AB455" s="1028"/>
      <c r="AC455" s="1028">
        <f t="shared" si="70"/>
        <v>30</v>
      </c>
      <c r="AD455" s="1028">
        <f>AC455*(списки!$C$56-AA455)</f>
        <v>459</v>
      </c>
      <c r="AE455" s="1029">
        <v>-0.3</v>
      </c>
      <c r="AF455" s="1029"/>
      <c r="AG455" s="1029">
        <v>31</v>
      </c>
      <c r="AH455" s="1029">
        <f>AG455*(списки!$C$56-AE455)</f>
        <v>629.30000000000007</v>
      </c>
      <c r="AI455" s="1030">
        <v>-2.2000000000000002</v>
      </c>
      <c r="AJ455" s="1030"/>
      <c r="AK455" s="1030">
        <v>31</v>
      </c>
      <c r="AL455" s="1030">
        <f>AK455*(списки!$C$56-AI455)</f>
        <v>688.19999999999993</v>
      </c>
      <c r="AM455" s="1031">
        <v>-1.9</v>
      </c>
      <c r="AN455" s="1031"/>
      <c r="AO455" s="1031">
        <v>28</v>
      </c>
      <c r="AP455" s="1031">
        <f>AO455*(списки!$C$56-AM455)</f>
        <v>613.19999999999993</v>
      </c>
      <c r="AQ455" s="1026">
        <v>3.5</v>
      </c>
      <c r="AR455" s="1026"/>
      <c r="AS455" s="1026">
        <f t="shared" si="71"/>
        <v>31</v>
      </c>
      <c r="AT455" s="1026">
        <f>AS455*(списки!$C$56-AQ455)</f>
        <v>511.5</v>
      </c>
      <c r="AU455" s="1032">
        <v>10.9</v>
      </c>
      <c r="AV455" s="1032"/>
      <c r="AW455" s="1032">
        <f t="shared" si="72"/>
        <v>4</v>
      </c>
      <c r="AX455" s="1032">
        <f>AW455*(списки!$C$56-AU455)</f>
        <v>36.4</v>
      </c>
      <c r="AY455" s="1033">
        <v>16.5</v>
      </c>
      <c r="AZ455" s="1033"/>
      <c r="BA455" s="1033">
        <f t="shared" si="73"/>
        <v>0</v>
      </c>
      <c r="BB455" s="1033">
        <f>BA455*(списки!$C$56-AY455)</f>
        <v>0</v>
      </c>
      <c r="BC455" s="1034">
        <v>21</v>
      </c>
      <c r="BD455" s="1034"/>
      <c r="BE455" s="1034">
        <f t="shared" si="74"/>
        <v>0</v>
      </c>
      <c r="BF455" s="1035">
        <f>BE455*(списки!$C$56-BC455)</f>
        <v>0</v>
      </c>
      <c r="BG455" s="1424">
        <v>3078.9178571428565</v>
      </c>
      <c r="BH455" s="1424">
        <v>2885.5928571428567</v>
      </c>
    </row>
    <row r="456" spans="2:60" ht="15.75" customHeight="1" x14ac:dyDescent="0.25">
      <c r="B456" s="1038" t="s">
        <v>628</v>
      </c>
      <c r="C456" s="1038" t="s">
        <v>707</v>
      </c>
      <c r="D456" s="1015" t="str">
        <f t="shared" si="76"/>
        <v>Чувашская Республика Порецкое</v>
      </c>
      <c r="E456" s="1016">
        <v>207</v>
      </c>
      <c r="F456" s="1017">
        <v>-4.5</v>
      </c>
      <c r="G456" s="1017">
        <v>-30</v>
      </c>
      <c r="H456" s="1019">
        <v>5.6</v>
      </c>
      <c r="I456" s="1020">
        <f>E456*(списки!$C$56-F456)</f>
        <v>5071.5</v>
      </c>
      <c r="J456" s="1021" t="str">
        <f t="shared" si="66"/>
        <v>5000-6000</v>
      </c>
      <c r="K456" s="1022">
        <v>18.899999999999999</v>
      </c>
      <c r="L456" s="1022"/>
      <c r="M456" s="1023">
        <f t="shared" si="67"/>
        <v>0</v>
      </c>
      <c r="N456" s="1024">
        <f>M456*(списки!$C$56-K456)</f>
        <v>0</v>
      </c>
      <c r="O456" s="1025">
        <v>16.899999999999999</v>
      </c>
      <c r="P456" s="1025"/>
      <c r="Q456" s="1025">
        <f t="shared" si="68"/>
        <v>0</v>
      </c>
      <c r="R456" s="1025">
        <f>Q456*(списки!$C$56-O456)</f>
        <v>0</v>
      </c>
      <c r="S456" s="1026">
        <v>11.2</v>
      </c>
      <c r="T456" s="1026"/>
      <c r="U456" s="1026">
        <f t="shared" si="75"/>
        <v>0</v>
      </c>
      <c r="V456" s="1026">
        <f>U456*(списки!$C$56-S456)</f>
        <v>0</v>
      </c>
      <c r="W456" s="1027">
        <v>4.0999999999999996</v>
      </c>
      <c r="X456" s="1027"/>
      <c r="Y456" s="1027">
        <f t="shared" si="69"/>
        <v>28</v>
      </c>
      <c r="Z456" s="1027">
        <f>Y456*(списки!$C$56-W456)</f>
        <v>445.2</v>
      </c>
      <c r="AA456" s="1028">
        <v>-3</v>
      </c>
      <c r="AB456" s="1028"/>
      <c r="AC456" s="1028">
        <f t="shared" si="70"/>
        <v>30</v>
      </c>
      <c r="AD456" s="1028">
        <f>AC456*(списки!$C$56-AA456)</f>
        <v>690</v>
      </c>
      <c r="AE456" s="1029">
        <v>-8.5</v>
      </c>
      <c r="AF456" s="1029"/>
      <c r="AG456" s="1029">
        <v>31</v>
      </c>
      <c r="AH456" s="1029">
        <f>AG456*(списки!$C$56-AE456)</f>
        <v>883.5</v>
      </c>
      <c r="AI456" s="1030">
        <v>-10.8</v>
      </c>
      <c r="AJ456" s="1030"/>
      <c r="AK456" s="1030">
        <v>31</v>
      </c>
      <c r="AL456" s="1030">
        <f>AK456*(списки!$C$56-AI456)</f>
        <v>954.80000000000007</v>
      </c>
      <c r="AM456" s="1031">
        <v>-10.5</v>
      </c>
      <c r="AN456" s="1031"/>
      <c r="AO456" s="1031">
        <v>28</v>
      </c>
      <c r="AP456" s="1031">
        <f>AO456*(списки!$C$56-AM456)</f>
        <v>854</v>
      </c>
      <c r="AQ456" s="1026">
        <v>-4.3</v>
      </c>
      <c r="AR456" s="1026"/>
      <c r="AS456" s="1026">
        <f t="shared" si="71"/>
        <v>31</v>
      </c>
      <c r="AT456" s="1026">
        <f>AS456*(списки!$C$56-AQ456)</f>
        <v>753.30000000000007</v>
      </c>
      <c r="AU456" s="1032">
        <v>5.7</v>
      </c>
      <c r="AV456" s="1032"/>
      <c r="AW456" s="1032">
        <f t="shared" si="72"/>
        <v>28</v>
      </c>
      <c r="AX456" s="1032">
        <f>AW456*(списки!$C$56-AU456)</f>
        <v>400.40000000000003</v>
      </c>
      <c r="AY456" s="1033">
        <v>13.2</v>
      </c>
      <c r="AZ456" s="1033"/>
      <c r="BA456" s="1033">
        <f t="shared" si="73"/>
        <v>0</v>
      </c>
      <c r="BB456" s="1033">
        <f>BA456*(списки!$C$56-AY456)</f>
        <v>0</v>
      </c>
      <c r="BC456" s="1034">
        <v>17</v>
      </c>
      <c r="BD456" s="1034"/>
      <c r="BE456" s="1034">
        <f t="shared" si="74"/>
        <v>0</v>
      </c>
      <c r="BF456" s="1035">
        <f>BE456*(списки!$C$56-BC456)</f>
        <v>0</v>
      </c>
      <c r="BG456" s="1424">
        <v>4634.6517857142853</v>
      </c>
      <c r="BH456" s="1424">
        <v>4714.3374999999987</v>
      </c>
    </row>
    <row r="457" spans="2:60" ht="15.75" customHeight="1" x14ac:dyDescent="0.25">
      <c r="B457" s="1014" t="s">
        <v>628</v>
      </c>
      <c r="C457" s="1014" t="s">
        <v>66</v>
      </c>
      <c r="D457" s="1015" t="str">
        <f t="shared" si="76"/>
        <v>Чувашская Республика Чебоксары</v>
      </c>
      <c r="E457" s="1016">
        <v>217</v>
      </c>
      <c r="F457" s="1017">
        <v>-4.9000000000000004</v>
      </c>
      <c r="G457" s="1017">
        <v>-32</v>
      </c>
      <c r="H457" s="1019">
        <f>H456</f>
        <v>5.6</v>
      </c>
      <c r="I457" s="1020">
        <f>E457*(списки!$C$56-F457)</f>
        <v>5403.2999999999993</v>
      </c>
      <c r="J457" s="1021" t="str">
        <f t="shared" ref="J457:J475" si="77">CONCATENATE(ROUNDDOWN(I457/1000,0)*1000,"-",ROUNDUP(I457/1000,0)*1000)</f>
        <v>5000-6000</v>
      </c>
      <c r="K457" s="1022">
        <v>18.600000000000001</v>
      </c>
      <c r="L457" s="1022"/>
      <c r="M457" s="1023">
        <f t="shared" ref="M457:M520" si="78">MAX(0,E457-Q457-U457-Y457-AC457-AG457-AK457-AO457-AS457-AW457-BA457-BE457)</f>
        <v>0</v>
      </c>
      <c r="N457" s="1024">
        <f>M457*(списки!$C$56-K457)</f>
        <v>0</v>
      </c>
      <c r="O457" s="1025">
        <v>16.899999999999999</v>
      </c>
      <c r="P457" s="1025"/>
      <c r="Q457" s="1025">
        <f t="shared" ref="Q457:Q520" si="79">IF((E457-273)&gt;0,IF((E457-273)/2&gt;31,31,(E457-273)/2),0)</f>
        <v>0</v>
      </c>
      <c r="R457" s="1025">
        <f>Q457*(списки!$C$56-O457)</f>
        <v>0</v>
      </c>
      <c r="S457" s="1026">
        <v>10.8</v>
      </c>
      <c r="T457" s="1026"/>
      <c r="U457" s="1026">
        <f t="shared" si="75"/>
        <v>2.5</v>
      </c>
      <c r="V457" s="1026">
        <f>U457*(списки!$C$56-S457)</f>
        <v>23</v>
      </c>
      <c r="W457" s="1027">
        <v>3.3</v>
      </c>
      <c r="X457" s="1027"/>
      <c r="Y457" s="1027">
        <f t="shared" ref="Y457:Y520" si="80">IF((E457-151)&gt;0,IF((E457-151)/2&gt;31,31,(E457-151)/2),0)</f>
        <v>31</v>
      </c>
      <c r="Z457" s="1027">
        <f>Y457*(списки!$C$56-W457)</f>
        <v>517.69999999999993</v>
      </c>
      <c r="AA457" s="1028">
        <v>-3.7</v>
      </c>
      <c r="AB457" s="1028"/>
      <c r="AC457" s="1028">
        <f t="shared" ref="AC457:AC520" si="81">IF((E457-90)/2&gt;30,30,(E457-90)/2)</f>
        <v>30</v>
      </c>
      <c r="AD457" s="1028">
        <f>AC457*(списки!$C$56-AA457)</f>
        <v>711</v>
      </c>
      <c r="AE457" s="1029">
        <v>-10</v>
      </c>
      <c r="AF457" s="1029"/>
      <c r="AG457" s="1029">
        <v>31</v>
      </c>
      <c r="AH457" s="1029">
        <f>AG457*(списки!$C$56-AE457)</f>
        <v>930</v>
      </c>
      <c r="AI457" s="1030">
        <v>-13</v>
      </c>
      <c r="AJ457" s="1030"/>
      <c r="AK457" s="1030">
        <v>31</v>
      </c>
      <c r="AL457" s="1030">
        <f>AK457*(списки!$C$56-AI457)</f>
        <v>1023</v>
      </c>
      <c r="AM457" s="1031">
        <v>-12.4</v>
      </c>
      <c r="AN457" s="1031"/>
      <c r="AO457" s="1031">
        <v>28</v>
      </c>
      <c r="AP457" s="1031">
        <f>AO457*(списки!$C$56-AM457)</f>
        <v>907.19999999999993</v>
      </c>
      <c r="AQ457" s="1026">
        <v>-6</v>
      </c>
      <c r="AR457" s="1026"/>
      <c r="AS457" s="1026">
        <f t="shared" ref="AS457:AS520" si="82">IF((E457-90)/2&gt;31,31,(E457-90)/2)</f>
        <v>31</v>
      </c>
      <c r="AT457" s="1026">
        <f>AS457*(списки!$C$56-AQ457)</f>
        <v>806</v>
      </c>
      <c r="AU457" s="1032">
        <v>3.6</v>
      </c>
      <c r="AV457" s="1032"/>
      <c r="AW457" s="1032">
        <f t="shared" ref="AW457:AW520" si="83">IF((E457-151)&gt;0,IF((E457-151)/2&gt;30,30,(E457-151)/2),0)</f>
        <v>30</v>
      </c>
      <c r="AX457" s="1032">
        <f>AW457*(списки!$C$56-AU457)</f>
        <v>491.99999999999994</v>
      </c>
      <c r="AY457" s="1033">
        <v>12</v>
      </c>
      <c r="AZ457" s="1033"/>
      <c r="BA457" s="1033">
        <f t="shared" ref="BA457:BA520" si="84">IF((E457-212)&gt;0,IF((E457-212)/2&gt;31,31,(E457-212)/2),0)</f>
        <v>2.5</v>
      </c>
      <c r="BB457" s="1033">
        <f>BA457*(списки!$C$56-AY457)</f>
        <v>20</v>
      </c>
      <c r="BC457" s="1034">
        <v>16.5</v>
      </c>
      <c r="BD457" s="1034"/>
      <c r="BE457" s="1034">
        <f t="shared" ref="BE457:BE476" si="85">IF((E457-273)&gt;0,IF((E457-273)/2&gt;30,30,(E457-273)/2),0)</f>
        <v>0</v>
      </c>
      <c r="BF457" s="1035">
        <f>BE457*(списки!$C$56-BC457)</f>
        <v>0</v>
      </c>
      <c r="BG457" s="1424" t="e">
        <v>#N/A</v>
      </c>
      <c r="BH457" s="1424" t="e">
        <v>#N/A</v>
      </c>
    </row>
    <row r="458" spans="2:60" ht="15.75" customHeight="1" x14ac:dyDescent="0.25">
      <c r="B458" s="1038" t="s">
        <v>58</v>
      </c>
      <c r="C458" s="1038" t="s">
        <v>59</v>
      </c>
      <c r="D458" s="1015" t="str">
        <f t="shared" si="76"/>
        <v>Чукотский автономный округАнадырь</v>
      </c>
      <c r="E458" s="1016">
        <v>299</v>
      </c>
      <c r="F458" s="1017">
        <v>-11.3</v>
      </c>
      <c r="G458" s="1017">
        <v>-38</v>
      </c>
      <c r="H458" s="1019">
        <v>6.3</v>
      </c>
      <c r="I458" s="1020">
        <f>E458*(списки!$C$56-F458)</f>
        <v>9358.7000000000007</v>
      </c>
      <c r="J458" s="1021" t="str">
        <f t="shared" si="77"/>
        <v>9000-10000</v>
      </c>
      <c r="K458" s="1022">
        <v>11.2</v>
      </c>
      <c r="L458" s="1022"/>
      <c r="M458" s="1023">
        <f t="shared" si="78"/>
        <v>0</v>
      </c>
      <c r="N458" s="1024">
        <f>M458*(списки!$C$56-K458)</f>
        <v>0</v>
      </c>
      <c r="O458" s="1025">
        <v>10</v>
      </c>
      <c r="P458" s="1025"/>
      <c r="Q458" s="1025">
        <f t="shared" si="79"/>
        <v>13</v>
      </c>
      <c r="R458" s="1025">
        <f>Q458*(списки!$C$56-O458)</f>
        <v>130</v>
      </c>
      <c r="S458" s="1026">
        <v>4.5</v>
      </c>
      <c r="T458" s="1026"/>
      <c r="U458" s="1026">
        <f t="shared" ref="U458:U521" si="86">IF((E458-212)&gt;0,IF((E458-212)/2&gt;30,30,(E458-212)/2),0)</f>
        <v>30</v>
      </c>
      <c r="V458" s="1026">
        <f>U458*(списки!$C$56-S458)</f>
        <v>465</v>
      </c>
      <c r="W458" s="1027">
        <v>-5.3</v>
      </c>
      <c r="X458" s="1027"/>
      <c r="Y458" s="1027">
        <f t="shared" si="80"/>
        <v>31</v>
      </c>
      <c r="Z458" s="1027">
        <f>Y458*(списки!$C$56-W458)</f>
        <v>784.30000000000007</v>
      </c>
      <c r="AA458" s="1028">
        <v>-14.1</v>
      </c>
      <c r="AB458" s="1028"/>
      <c r="AC458" s="1028">
        <f t="shared" si="81"/>
        <v>30</v>
      </c>
      <c r="AD458" s="1028">
        <f>AC458*(списки!$C$56-AA458)</f>
        <v>1023</v>
      </c>
      <c r="AE458" s="1029">
        <v>-20.100000000000001</v>
      </c>
      <c r="AF458" s="1029"/>
      <c r="AG458" s="1029">
        <v>31</v>
      </c>
      <c r="AH458" s="1029">
        <f>AG458*(списки!$C$56-AE458)</f>
        <v>1243.1000000000001</v>
      </c>
      <c r="AI458" s="1030">
        <v>-21.1</v>
      </c>
      <c r="AJ458" s="1030"/>
      <c r="AK458" s="1030">
        <v>31</v>
      </c>
      <c r="AL458" s="1030">
        <f>AK458*(списки!$C$56-AI458)</f>
        <v>1274.1000000000001</v>
      </c>
      <c r="AM458" s="1031">
        <v>-22.2</v>
      </c>
      <c r="AN458" s="1031"/>
      <c r="AO458" s="1031">
        <v>28</v>
      </c>
      <c r="AP458" s="1031">
        <f>AO458*(списки!$C$56-AM458)</f>
        <v>1181.6000000000001</v>
      </c>
      <c r="AQ458" s="1026">
        <v>-19.600000000000001</v>
      </c>
      <c r="AR458" s="1026"/>
      <c r="AS458" s="1026">
        <f t="shared" si="82"/>
        <v>31</v>
      </c>
      <c r="AT458" s="1026">
        <f>AS458*(списки!$C$56-AQ458)</f>
        <v>1227.6000000000001</v>
      </c>
      <c r="AU458" s="1032">
        <v>-13.4</v>
      </c>
      <c r="AV458" s="1032"/>
      <c r="AW458" s="1032">
        <f t="shared" si="83"/>
        <v>30</v>
      </c>
      <c r="AX458" s="1032">
        <f>AW458*(списки!$C$56-AU458)</f>
        <v>1002</v>
      </c>
      <c r="AY458" s="1033">
        <v>-2.1</v>
      </c>
      <c r="AZ458" s="1033"/>
      <c r="BA458" s="1033">
        <f t="shared" si="84"/>
        <v>31</v>
      </c>
      <c r="BB458" s="1033">
        <f>BA458*(списки!$C$56-AY458)</f>
        <v>685.1</v>
      </c>
      <c r="BC458" s="1034">
        <v>5.9</v>
      </c>
      <c r="BD458" s="1034"/>
      <c r="BE458" s="1034">
        <f t="shared" si="85"/>
        <v>13</v>
      </c>
      <c r="BF458" s="1035">
        <f>BE458*(списки!$C$56-BC458)</f>
        <v>183.29999999999998</v>
      </c>
      <c r="BG458" s="1424">
        <v>7949.7125000000005</v>
      </c>
      <c r="BH458" s="1424">
        <v>8110.3625000000038</v>
      </c>
    </row>
    <row r="459" spans="2:60" ht="15.75" customHeight="1" x14ac:dyDescent="0.25">
      <c r="B459" s="1014" t="s">
        <v>58</v>
      </c>
      <c r="C459" s="1014" t="s">
        <v>60</v>
      </c>
      <c r="D459" s="1015" t="str">
        <f t="shared" si="76"/>
        <v>Чукотский автономный округБерезово</v>
      </c>
      <c r="E459" s="1016">
        <v>296</v>
      </c>
      <c r="F459" s="1017">
        <v>-13.6</v>
      </c>
      <c r="G459" s="1017">
        <v>-50</v>
      </c>
      <c r="H459" s="1019">
        <f>H460</f>
        <v>4</v>
      </c>
      <c r="I459" s="1020">
        <f>E459*(списки!$C$56-F459)</f>
        <v>9945.6</v>
      </c>
      <c r="J459" s="1021" t="str">
        <f t="shared" si="77"/>
        <v>9000-10000</v>
      </c>
      <c r="K459" s="1022">
        <v>12.1</v>
      </c>
      <c r="L459" s="1022"/>
      <c r="M459" s="1023">
        <f t="shared" si="78"/>
        <v>0</v>
      </c>
      <c r="N459" s="1024">
        <f>M459*(списки!$C$56-K459)</f>
        <v>0</v>
      </c>
      <c r="O459" s="1025">
        <v>9.5</v>
      </c>
      <c r="P459" s="1025"/>
      <c r="Q459" s="1025">
        <f t="shared" si="79"/>
        <v>11.5</v>
      </c>
      <c r="R459" s="1025">
        <f>Q459*(списки!$C$56-O459)</f>
        <v>120.75</v>
      </c>
      <c r="S459" s="1026">
        <v>3.1</v>
      </c>
      <c r="T459" s="1026"/>
      <c r="U459" s="1026">
        <f t="shared" si="86"/>
        <v>30</v>
      </c>
      <c r="V459" s="1026">
        <f>U459*(списки!$C$56-S459)</f>
        <v>506.99999999999994</v>
      </c>
      <c r="W459" s="1027">
        <v>-8.6999999999999993</v>
      </c>
      <c r="X459" s="1027"/>
      <c r="Y459" s="1027">
        <f t="shared" si="80"/>
        <v>31</v>
      </c>
      <c r="Z459" s="1027">
        <f>Y459*(списки!$C$56-W459)</f>
        <v>889.69999999999993</v>
      </c>
      <c r="AA459" s="1028">
        <v>-18.7</v>
      </c>
      <c r="AB459" s="1028"/>
      <c r="AC459" s="1028">
        <f t="shared" si="81"/>
        <v>30</v>
      </c>
      <c r="AD459" s="1028">
        <f>AC459*(списки!$C$56-AA459)</f>
        <v>1161</v>
      </c>
      <c r="AE459" s="1029">
        <v>-25.3</v>
      </c>
      <c r="AF459" s="1029"/>
      <c r="AG459" s="1029">
        <v>31</v>
      </c>
      <c r="AH459" s="1029">
        <f>AG459*(списки!$C$56-AE459)</f>
        <v>1404.3</v>
      </c>
      <c r="AI459" s="1030">
        <v>-22.7</v>
      </c>
      <c r="AJ459" s="1030"/>
      <c r="AK459" s="1030">
        <v>31</v>
      </c>
      <c r="AL459" s="1030">
        <f>AK459*(списки!$C$56-AI459)</f>
        <v>1323.7</v>
      </c>
      <c r="AM459" s="1031">
        <v>-26.2</v>
      </c>
      <c r="AN459" s="1031"/>
      <c r="AO459" s="1031">
        <v>28</v>
      </c>
      <c r="AP459" s="1031">
        <f>AO459*(списки!$C$56-AM459)</f>
        <v>1293.6000000000001</v>
      </c>
      <c r="AQ459" s="1026">
        <v>-23.4</v>
      </c>
      <c r="AR459" s="1026"/>
      <c r="AS459" s="1026">
        <f t="shared" si="82"/>
        <v>31</v>
      </c>
      <c r="AT459" s="1026">
        <f>AS459*(списки!$C$56-AQ459)</f>
        <v>1345.3999999999999</v>
      </c>
      <c r="AU459" s="1032">
        <v>-14.4</v>
      </c>
      <c r="AV459" s="1032"/>
      <c r="AW459" s="1032">
        <f t="shared" si="83"/>
        <v>30</v>
      </c>
      <c r="AX459" s="1032">
        <f>AW459*(списки!$C$56-AU459)</f>
        <v>1032</v>
      </c>
      <c r="AY459" s="1033">
        <v>-2</v>
      </c>
      <c r="AZ459" s="1033"/>
      <c r="BA459" s="1033">
        <f t="shared" si="84"/>
        <v>31</v>
      </c>
      <c r="BB459" s="1033">
        <f>BA459*(списки!$C$56-AY459)</f>
        <v>682</v>
      </c>
      <c r="BC459" s="1034">
        <v>8.6</v>
      </c>
      <c r="BD459" s="1034"/>
      <c r="BE459" s="1034">
        <f t="shared" si="85"/>
        <v>11.5</v>
      </c>
      <c r="BF459" s="1035">
        <f>BE459*(списки!$C$56-BC459)</f>
        <v>131.1</v>
      </c>
      <c r="BG459" s="1424" t="e">
        <v>#N/A</v>
      </c>
      <c r="BH459" s="1424" t="e">
        <v>#N/A</v>
      </c>
    </row>
    <row r="460" spans="2:60" ht="15.75" customHeight="1" x14ac:dyDescent="0.25">
      <c r="B460" s="1038" t="s">
        <v>58</v>
      </c>
      <c r="C460" s="1038" t="s">
        <v>62</v>
      </c>
      <c r="D460" s="1015" t="str">
        <f t="shared" si="76"/>
        <v>Чукотский автономный округМарково</v>
      </c>
      <c r="E460" s="1016">
        <v>274</v>
      </c>
      <c r="F460" s="1017">
        <v>-15.3</v>
      </c>
      <c r="G460" s="1017">
        <v>-47</v>
      </c>
      <c r="H460" s="1019">
        <v>4</v>
      </c>
      <c r="I460" s="1020">
        <f>E460*(списки!$C$56-F460)</f>
        <v>9672.1999999999989</v>
      </c>
      <c r="J460" s="1021" t="str">
        <f t="shared" si="77"/>
        <v>9000-10000</v>
      </c>
      <c r="K460" s="1022">
        <v>18</v>
      </c>
      <c r="L460" s="1022"/>
      <c r="M460" s="1023">
        <f t="shared" si="78"/>
        <v>0</v>
      </c>
      <c r="N460" s="1024">
        <f>M460*(списки!$C$56-K460)</f>
        <v>0</v>
      </c>
      <c r="O460" s="1025">
        <v>14.7</v>
      </c>
      <c r="P460" s="1025"/>
      <c r="Q460" s="1025">
        <f t="shared" si="79"/>
        <v>0.5</v>
      </c>
      <c r="R460" s="1025">
        <f>Q460*(списки!$C$56-O460)</f>
        <v>2.6500000000000004</v>
      </c>
      <c r="S460" s="1026">
        <v>7.1</v>
      </c>
      <c r="T460" s="1026"/>
      <c r="U460" s="1026">
        <f t="shared" si="86"/>
        <v>30</v>
      </c>
      <c r="V460" s="1026">
        <f>U460*(списки!$C$56-S460)</f>
        <v>387</v>
      </c>
      <c r="W460" s="1027">
        <v>-7.9</v>
      </c>
      <c r="X460" s="1027"/>
      <c r="Y460" s="1027">
        <f t="shared" si="80"/>
        <v>31</v>
      </c>
      <c r="Z460" s="1027">
        <f>Y460*(списки!$C$56-W460)</f>
        <v>864.9</v>
      </c>
      <c r="AA460" s="1028">
        <v>-19</v>
      </c>
      <c r="AB460" s="1028"/>
      <c r="AC460" s="1028">
        <f t="shared" si="81"/>
        <v>30</v>
      </c>
      <c r="AD460" s="1028">
        <f>AC460*(списки!$C$56-AA460)</f>
        <v>1170</v>
      </c>
      <c r="AE460" s="1029">
        <v>-25.4</v>
      </c>
      <c r="AF460" s="1029"/>
      <c r="AG460" s="1029">
        <v>31</v>
      </c>
      <c r="AH460" s="1029">
        <f>AG460*(списки!$C$56-AE460)</f>
        <v>1407.3999999999999</v>
      </c>
      <c r="AI460" s="1030">
        <v>-25.9</v>
      </c>
      <c r="AJ460" s="1030"/>
      <c r="AK460" s="1030">
        <v>31</v>
      </c>
      <c r="AL460" s="1030">
        <f>AK460*(списки!$C$56-AI460)</f>
        <v>1422.8999999999999</v>
      </c>
      <c r="AM460" s="1031">
        <v>-25.4</v>
      </c>
      <c r="AN460" s="1031"/>
      <c r="AO460" s="1031">
        <v>28</v>
      </c>
      <c r="AP460" s="1031">
        <f>AO460*(списки!$C$56-AM460)</f>
        <v>1271.2</v>
      </c>
      <c r="AQ460" s="1026">
        <v>-21.5</v>
      </c>
      <c r="AR460" s="1026"/>
      <c r="AS460" s="1026">
        <f t="shared" si="82"/>
        <v>31</v>
      </c>
      <c r="AT460" s="1026">
        <f>AS460*(списки!$C$56-AQ460)</f>
        <v>1286.5</v>
      </c>
      <c r="AU460" s="1032">
        <v>-14.1</v>
      </c>
      <c r="AV460" s="1032"/>
      <c r="AW460" s="1032">
        <f t="shared" si="83"/>
        <v>30</v>
      </c>
      <c r="AX460" s="1032">
        <f>AW460*(списки!$C$56-AU460)</f>
        <v>1023</v>
      </c>
      <c r="AY460" s="1033">
        <v>7.1</v>
      </c>
      <c r="AZ460" s="1033"/>
      <c r="BA460" s="1033">
        <f t="shared" si="84"/>
        <v>31</v>
      </c>
      <c r="BB460" s="1033">
        <f>BA460*(списки!$C$56-AY460)</f>
        <v>399.90000000000003</v>
      </c>
      <c r="BC460" s="1034">
        <v>15.2</v>
      </c>
      <c r="BD460" s="1034"/>
      <c r="BE460" s="1034">
        <f t="shared" si="85"/>
        <v>0.5</v>
      </c>
      <c r="BF460" s="1035">
        <f>BE460*(списки!$C$56-BC460)</f>
        <v>2.4000000000000004</v>
      </c>
      <c r="BG460" s="1424">
        <v>8275.8964285714246</v>
      </c>
      <c r="BH460" s="1424">
        <v>8509.5375000000004</v>
      </c>
    </row>
    <row r="461" spans="2:60" ht="15.75" customHeight="1" x14ac:dyDescent="0.25">
      <c r="B461" s="1014" t="s">
        <v>58</v>
      </c>
      <c r="C461" s="1014" t="s">
        <v>63</v>
      </c>
      <c r="D461" s="1015" t="str">
        <f t="shared" ref="D461:D475" si="87">CONCATENATE(B461,C461)</f>
        <v>Чукотский автономный округОмолон</v>
      </c>
      <c r="E461" s="1016">
        <v>283</v>
      </c>
      <c r="F461" s="1017">
        <v>-19.8</v>
      </c>
      <c r="G461" s="1017">
        <v>-47</v>
      </c>
      <c r="H461" s="1019">
        <v>4.2</v>
      </c>
      <c r="I461" s="1020">
        <f>E461*(списки!$C$56-F461)</f>
        <v>11263.4</v>
      </c>
      <c r="J461" s="1021" t="str">
        <f t="shared" si="77"/>
        <v>11000-12000</v>
      </c>
      <c r="K461" s="1022">
        <v>13.2</v>
      </c>
      <c r="L461" s="1022"/>
      <c r="M461" s="1023">
        <f t="shared" si="78"/>
        <v>0</v>
      </c>
      <c r="N461" s="1024">
        <f>M461*(списки!$C$56-K461)</f>
        <v>0</v>
      </c>
      <c r="O461" s="1025">
        <v>9.9</v>
      </c>
      <c r="P461" s="1025"/>
      <c r="Q461" s="1025">
        <f t="shared" si="79"/>
        <v>5</v>
      </c>
      <c r="R461" s="1025">
        <f>Q461*(списки!$C$56-O461)</f>
        <v>50.5</v>
      </c>
      <c r="S461" s="1026">
        <v>2.5</v>
      </c>
      <c r="T461" s="1026"/>
      <c r="U461" s="1026">
        <f t="shared" si="86"/>
        <v>30</v>
      </c>
      <c r="V461" s="1026">
        <f>U461*(списки!$C$56-S461)</f>
        <v>525</v>
      </c>
      <c r="W461" s="1027">
        <v>-12.1</v>
      </c>
      <c r="X461" s="1027"/>
      <c r="Y461" s="1027">
        <f t="shared" si="80"/>
        <v>31</v>
      </c>
      <c r="Z461" s="1027">
        <f>Y461*(списки!$C$56-W461)</f>
        <v>995.1</v>
      </c>
      <c r="AA461" s="1028">
        <v>-28.8</v>
      </c>
      <c r="AB461" s="1028"/>
      <c r="AC461" s="1028">
        <f t="shared" si="81"/>
        <v>30</v>
      </c>
      <c r="AD461" s="1028">
        <f>AC461*(списки!$C$56-AA461)</f>
        <v>1464</v>
      </c>
      <c r="AE461" s="1029">
        <v>-36.200000000000003</v>
      </c>
      <c r="AF461" s="1029"/>
      <c r="AG461" s="1029">
        <v>31</v>
      </c>
      <c r="AH461" s="1029">
        <f>AG461*(списки!$C$56-AE461)</f>
        <v>1742.2</v>
      </c>
      <c r="AI461" s="1030">
        <v>-36.4</v>
      </c>
      <c r="AJ461" s="1030"/>
      <c r="AK461" s="1030">
        <v>31</v>
      </c>
      <c r="AL461" s="1030">
        <f>AK461*(списки!$C$56-AI461)</f>
        <v>1748.3999999999999</v>
      </c>
      <c r="AM461" s="1031">
        <v>-35.6</v>
      </c>
      <c r="AN461" s="1031"/>
      <c r="AO461" s="1031">
        <v>28</v>
      </c>
      <c r="AP461" s="1031">
        <f>AO461*(списки!$C$56-AM461)</f>
        <v>1556.8</v>
      </c>
      <c r="AQ461" s="1026">
        <v>-28.2</v>
      </c>
      <c r="AR461" s="1026"/>
      <c r="AS461" s="1026">
        <f t="shared" si="82"/>
        <v>31</v>
      </c>
      <c r="AT461" s="1026">
        <f>AS461*(списки!$C$56-AQ461)</f>
        <v>1494.2</v>
      </c>
      <c r="AU461" s="1032">
        <v>-14.6</v>
      </c>
      <c r="AV461" s="1032"/>
      <c r="AW461" s="1032">
        <f t="shared" si="83"/>
        <v>30</v>
      </c>
      <c r="AX461" s="1032">
        <f>AW461*(списки!$C$56-AU461)</f>
        <v>1038</v>
      </c>
      <c r="AY461" s="1033">
        <v>1.1000000000000001</v>
      </c>
      <c r="AZ461" s="1033"/>
      <c r="BA461" s="1033">
        <f t="shared" si="84"/>
        <v>31</v>
      </c>
      <c r="BB461" s="1033">
        <f>BA461*(списки!$C$56-AY461)</f>
        <v>585.9</v>
      </c>
      <c r="BC461" s="1034">
        <v>11.6</v>
      </c>
      <c r="BD461" s="1034"/>
      <c r="BE461" s="1034">
        <f t="shared" si="85"/>
        <v>5</v>
      </c>
      <c r="BF461" s="1035">
        <f>BE461*(списки!$C$56-BC461)</f>
        <v>42</v>
      </c>
      <c r="BG461" s="1424">
        <v>9903.1660714285717</v>
      </c>
      <c r="BH461" s="1424">
        <v>9772.7949999999892</v>
      </c>
    </row>
    <row r="462" spans="2:60" ht="15.75" customHeight="1" x14ac:dyDescent="0.25">
      <c r="B462" s="1038" t="s">
        <v>58</v>
      </c>
      <c r="C462" s="1038" t="s">
        <v>64</v>
      </c>
      <c r="D462" s="1015" t="str">
        <f t="shared" si="87"/>
        <v>Чукотский автономный округОстровное</v>
      </c>
      <c r="E462" s="1016">
        <v>278</v>
      </c>
      <c r="F462" s="1017">
        <v>-19</v>
      </c>
      <c r="G462" s="1017">
        <v>-51</v>
      </c>
      <c r="H462" s="1019">
        <v>4.5</v>
      </c>
      <c r="I462" s="1020">
        <f>E462*(списки!$C$56-F462)</f>
        <v>10842</v>
      </c>
      <c r="J462" s="1021" t="str">
        <f t="shared" si="77"/>
        <v>10000-11000</v>
      </c>
      <c r="K462" s="1022">
        <v>13.8</v>
      </c>
      <c r="L462" s="1022"/>
      <c r="M462" s="1023">
        <f t="shared" si="78"/>
        <v>0</v>
      </c>
      <c r="N462" s="1024">
        <f>M462*(списки!$C$56-K462)</f>
        <v>0</v>
      </c>
      <c r="O462" s="1025">
        <v>9.8000000000000007</v>
      </c>
      <c r="P462" s="1025"/>
      <c r="Q462" s="1025">
        <f t="shared" si="79"/>
        <v>2.5</v>
      </c>
      <c r="R462" s="1025">
        <f>Q462*(списки!$C$56-O462)</f>
        <v>25.5</v>
      </c>
      <c r="S462" s="1026">
        <v>2.7</v>
      </c>
      <c r="T462" s="1026"/>
      <c r="U462" s="1026">
        <f t="shared" si="86"/>
        <v>30</v>
      </c>
      <c r="V462" s="1026">
        <f>U462*(списки!$C$56-S462)</f>
        <v>519</v>
      </c>
      <c r="W462" s="1027">
        <v>-11.3</v>
      </c>
      <c r="X462" s="1027"/>
      <c r="Y462" s="1027">
        <f t="shared" si="80"/>
        <v>31</v>
      </c>
      <c r="Z462" s="1027">
        <f>Y462*(списки!$C$56-W462)</f>
        <v>970.30000000000007</v>
      </c>
      <c r="AA462" s="1028">
        <v>-25.8</v>
      </c>
      <c r="AB462" s="1028"/>
      <c r="AC462" s="1028">
        <f t="shared" si="81"/>
        <v>30</v>
      </c>
      <c r="AD462" s="1028">
        <f>AC462*(списки!$C$56-AA462)</f>
        <v>1374</v>
      </c>
      <c r="AE462" s="1029">
        <v>-33.299999999999997</v>
      </c>
      <c r="AF462" s="1029"/>
      <c r="AG462" s="1029">
        <v>31</v>
      </c>
      <c r="AH462" s="1029">
        <f>AG462*(списки!$C$56-AE462)</f>
        <v>1652.3</v>
      </c>
      <c r="AI462" s="1030">
        <v>-34.4</v>
      </c>
      <c r="AJ462" s="1030"/>
      <c r="AK462" s="1030">
        <v>31</v>
      </c>
      <c r="AL462" s="1030">
        <f>AK462*(списки!$C$56-AI462)</f>
        <v>1686.3999999999999</v>
      </c>
      <c r="AM462" s="1031">
        <v>-32.700000000000003</v>
      </c>
      <c r="AN462" s="1031"/>
      <c r="AO462" s="1031">
        <v>28</v>
      </c>
      <c r="AP462" s="1031">
        <f>AO462*(списки!$C$56-AM462)</f>
        <v>1475.6000000000001</v>
      </c>
      <c r="AQ462" s="1026">
        <v>-24.8</v>
      </c>
      <c r="AR462" s="1026"/>
      <c r="AS462" s="1026">
        <f t="shared" si="82"/>
        <v>31</v>
      </c>
      <c r="AT462" s="1026">
        <f>AS462*(списки!$C$56-AQ462)</f>
        <v>1388.8</v>
      </c>
      <c r="AU462" s="1032">
        <v>-13.5</v>
      </c>
      <c r="AV462" s="1032"/>
      <c r="AW462" s="1032">
        <f t="shared" si="83"/>
        <v>30</v>
      </c>
      <c r="AX462" s="1032">
        <f>AW462*(списки!$C$56-AU462)</f>
        <v>1005</v>
      </c>
      <c r="AY462" s="1033">
        <v>1.7</v>
      </c>
      <c r="AZ462" s="1033"/>
      <c r="BA462" s="1033">
        <f t="shared" si="84"/>
        <v>31</v>
      </c>
      <c r="BB462" s="1033">
        <f>BA462*(списки!$C$56-AY462)</f>
        <v>567.30000000000007</v>
      </c>
      <c r="BC462" s="1034">
        <v>11.7</v>
      </c>
      <c r="BD462" s="1034"/>
      <c r="BE462" s="1034">
        <f t="shared" si="85"/>
        <v>2.5</v>
      </c>
      <c r="BF462" s="1035">
        <f>BE462*(списки!$C$56-BC462)</f>
        <v>20.75</v>
      </c>
      <c r="BG462" s="1424">
        <v>9220.1251190476196</v>
      </c>
      <c r="BH462" s="1424">
        <v>9103.4370238095271</v>
      </c>
    </row>
    <row r="463" spans="2:60" ht="15.75" customHeight="1" x14ac:dyDescent="0.25">
      <c r="B463" s="1014" t="s">
        <v>58</v>
      </c>
      <c r="C463" s="1014" t="s">
        <v>65</v>
      </c>
      <c r="D463" s="1015" t="str">
        <f t="shared" si="87"/>
        <v>Чукотский автономный округУсть-Олой</v>
      </c>
      <c r="E463" s="1016">
        <v>278</v>
      </c>
      <c r="F463" s="1017">
        <v>-19.600000000000001</v>
      </c>
      <c r="G463" s="1017">
        <v>-51</v>
      </c>
      <c r="H463" s="1019">
        <v>1.7</v>
      </c>
      <c r="I463" s="1020">
        <f>E463*(списки!$C$56-F463)</f>
        <v>11008.800000000001</v>
      </c>
      <c r="J463" s="1021" t="str">
        <f t="shared" si="77"/>
        <v>11000-12000</v>
      </c>
      <c r="K463" s="1022">
        <v>13.7</v>
      </c>
      <c r="L463" s="1022"/>
      <c r="M463" s="1023">
        <f t="shared" si="78"/>
        <v>0</v>
      </c>
      <c r="N463" s="1024">
        <f>M463*(списки!$C$56-K463)</f>
        <v>0</v>
      </c>
      <c r="O463" s="1025">
        <v>9.8000000000000007</v>
      </c>
      <c r="P463" s="1025"/>
      <c r="Q463" s="1025">
        <f t="shared" si="79"/>
        <v>2.5</v>
      </c>
      <c r="R463" s="1025">
        <f>Q463*(списки!$C$56-O463)</f>
        <v>25.5</v>
      </c>
      <c r="S463" s="1026">
        <v>2.8</v>
      </c>
      <c r="T463" s="1026"/>
      <c r="U463" s="1026">
        <f t="shared" si="86"/>
        <v>30</v>
      </c>
      <c r="V463" s="1026">
        <f>U463*(списки!$C$56-S463)</f>
        <v>516</v>
      </c>
      <c r="W463" s="1027">
        <v>-11</v>
      </c>
      <c r="X463" s="1027"/>
      <c r="Y463" s="1027">
        <f t="shared" si="80"/>
        <v>31</v>
      </c>
      <c r="Z463" s="1027">
        <f>Y463*(списки!$C$56-W463)</f>
        <v>961</v>
      </c>
      <c r="AA463" s="1028">
        <v>-26.9</v>
      </c>
      <c r="AB463" s="1028"/>
      <c r="AC463" s="1028">
        <f t="shared" si="81"/>
        <v>30</v>
      </c>
      <c r="AD463" s="1028">
        <f>AC463*(списки!$C$56-AA463)</f>
        <v>1407</v>
      </c>
      <c r="AE463" s="1029">
        <v>-34.9</v>
      </c>
      <c r="AF463" s="1029"/>
      <c r="AG463" s="1029">
        <v>31</v>
      </c>
      <c r="AH463" s="1029">
        <f>AG463*(списки!$C$56-AE463)</f>
        <v>1701.8999999999999</v>
      </c>
      <c r="AI463" s="1030">
        <v>-36.200000000000003</v>
      </c>
      <c r="AJ463" s="1030"/>
      <c r="AK463" s="1030">
        <v>31</v>
      </c>
      <c r="AL463" s="1030">
        <f>AK463*(списки!$C$56-AI463)</f>
        <v>1742.2</v>
      </c>
      <c r="AM463" s="1031">
        <v>-33.9</v>
      </c>
      <c r="AN463" s="1031"/>
      <c r="AO463" s="1031">
        <v>28</v>
      </c>
      <c r="AP463" s="1031">
        <f>AO463*(списки!$C$56-AM463)</f>
        <v>1509.2</v>
      </c>
      <c r="AQ463" s="1026">
        <v>-25.6</v>
      </c>
      <c r="AR463" s="1026"/>
      <c r="AS463" s="1026">
        <f t="shared" si="82"/>
        <v>31</v>
      </c>
      <c r="AT463" s="1026">
        <f>AS463*(списки!$C$56-AQ463)</f>
        <v>1413.6000000000001</v>
      </c>
      <c r="AU463" s="1032">
        <v>-13.2</v>
      </c>
      <c r="AV463" s="1032"/>
      <c r="AW463" s="1032">
        <f t="shared" si="83"/>
        <v>30</v>
      </c>
      <c r="AX463" s="1032">
        <f>AW463*(списки!$C$56-AU463)</f>
        <v>996.00000000000011</v>
      </c>
      <c r="AY463" s="1033">
        <v>2.2000000000000002</v>
      </c>
      <c r="AZ463" s="1033"/>
      <c r="BA463" s="1033">
        <f t="shared" si="84"/>
        <v>31</v>
      </c>
      <c r="BB463" s="1033">
        <f>BA463*(списки!$C$56-AY463)</f>
        <v>551.80000000000007</v>
      </c>
      <c r="BC463" s="1034">
        <v>11.8</v>
      </c>
      <c r="BD463" s="1034"/>
      <c r="BE463" s="1034">
        <f t="shared" si="85"/>
        <v>2.5</v>
      </c>
      <c r="BF463" s="1035">
        <f>BE463*(списки!$C$56-BC463)</f>
        <v>20.5</v>
      </c>
      <c r="BG463" s="1424" t="e">
        <v>#N/A</v>
      </c>
      <c r="BH463" s="1424" t="e">
        <v>#N/A</v>
      </c>
    </row>
    <row r="464" spans="2:60" ht="15.75" customHeight="1" x14ac:dyDescent="0.25">
      <c r="B464" s="1038" t="s">
        <v>58</v>
      </c>
      <c r="C464" s="1038" t="s">
        <v>61</v>
      </c>
      <c r="D464" s="1015" t="str">
        <f t="shared" si="87"/>
        <v>Чукотский автономный округЭньмувеем</v>
      </c>
      <c r="E464" s="1016">
        <v>283</v>
      </c>
      <c r="F464" s="1017">
        <v>-15.3</v>
      </c>
      <c r="G464" s="1017">
        <v>-48</v>
      </c>
      <c r="H464" s="1019">
        <v>4.5999999999999996</v>
      </c>
      <c r="I464" s="1020">
        <f>E464*(списки!$C$56-F464)</f>
        <v>9989.9</v>
      </c>
      <c r="J464" s="1021" t="str">
        <f t="shared" si="77"/>
        <v>9000-10000</v>
      </c>
      <c r="K464" s="1022">
        <v>13.4</v>
      </c>
      <c r="L464" s="1022"/>
      <c r="M464" s="1023">
        <f t="shared" si="78"/>
        <v>0</v>
      </c>
      <c r="N464" s="1024">
        <f>M464*(списки!$C$56-K464)</f>
        <v>0</v>
      </c>
      <c r="O464" s="1025">
        <v>9.9</v>
      </c>
      <c r="P464" s="1025"/>
      <c r="Q464" s="1025">
        <f t="shared" si="79"/>
        <v>5</v>
      </c>
      <c r="R464" s="1025">
        <f>Q464*(списки!$C$56-O464)</f>
        <v>50.5</v>
      </c>
      <c r="S464" s="1026">
        <v>2.8</v>
      </c>
      <c r="T464" s="1026"/>
      <c r="U464" s="1026">
        <f t="shared" si="86"/>
        <v>30</v>
      </c>
      <c r="V464" s="1026">
        <f>U464*(списки!$C$56-S464)</f>
        <v>516</v>
      </c>
      <c r="W464" s="1027">
        <v>-9.3000000000000007</v>
      </c>
      <c r="X464" s="1027"/>
      <c r="Y464" s="1027">
        <f t="shared" si="80"/>
        <v>31</v>
      </c>
      <c r="Z464" s="1027">
        <f>Y464*(списки!$C$56-W464)</f>
        <v>908.30000000000007</v>
      </c>
      <c r="AA464" s="1028">
        <v>-19.600000000000001</v>
      </c>
      <c r="AB464" s="1028"/>
      <c r="AC464" s="1028">
        <f t="shared" si="81"/>
        <v>30</v>
      </c>
      <c r="AD464" s="1028">
        <f>AC464*(списки!$C$56-AA464)</f>
        <v>1188</v>
      </c>
      <c r="AE464" s="1029">
        <v>-25.3</v>
      </c>
      <c r="AF464" s="1029"/>
      <c r="AG464" s="1029">
        <v>31</v>
      </c>
      <c r="AH464" s="1029">
        <f>AG464*(списки!$C$56-AE464)</f>
        <v>1404.3</v>
      </c>
      <c r="AI464" s="1030">
        <v>-26.1</v>
      </c>
      <c r="AJ464" s="1030"/>
      <c r="AK464" s="1030">
        <v>31</v>
      </c>
      <c r="AL464" s="1030">
        <f>AK464*(списки!$C$56-AI464)</f>
        <v>1429.1000000000001</v>
      </c>
      <c r="AM464" s="1031">
        <v>-25.9</v>
      </c>
      <c r="AN464" s="1031"/>
      <c r="AO464" s="1031">
        <v>28</v>
      </c>
      <c r="AP464" s="1031">
        <f>AO464*(списки!$C$56-AM464)</f>
        <v>1285.2</v>
      </c>
      <c r="AQ464" s="1026">
        <v>-22.7</v>
      </c>
      <c r="AR464" s="1026"/>
      <c r="AS464" s="1026">
        <f t="shared" si="82"/>
        <v>31</v>
      </c>
      <c r="AT464" s="1026">
        <f>AS464*(списки!$C$56-AQ464)</f>
        <v>1323.7</v>
      </c>
      <c r="AU464" s="1032">
        <v>-15.6</v>
      </c>
      <c r="AV464" s="1032"/>
      <c r="AW464" s="1032">
        <f t="shared" si="83"/>
        <v>30</v>
      </c>
      <c r="AX464" s="1032">
        <f>AW464*(списки!$C$56-AU464)</f>
        <v>1068</v>
      </c>
      <c r="AY464" s="1033">
        <v>-0.9</v>
      </c>
      <c r="AZ464" s="1033"/>
      <c r="BA464" s="1033">
        <f t="shared" si="84"/>
        <v>31</v>
      </c>
      <c r="BB464" s="1033">
        <f>BA464*(списки!$C$56-AY464)</f>
        <v>647.9</v>
      </c>
      <c r="BC464" s="1034">
        <v>10.4</v>
      </c>
      <c r="BD464" s="1034"/>
      <c r="BE464" s="1034">
        <f t="shared" si="85"/>
        <v>5</v>
      </c>
      <c r="BF464" s="1035">
        <f>BE464*(списки!$C$56-BC464)</f>
        <v>48</v>
      </c>
      <c r="BG464" s="1424" t="e">
        <v>#N/A</v>
      </c>
      <c r="BH464" s="1424" t="e">
        <v>#N/A</v>
      </c>
    </row>
    <row r="465" spans="2:60" ht="15.75" customHeight="1" x14ac:dyDescent="0.25">
      <c r="B465" s="1014" t="s">
        <v>629</v>
      </c>
      <c r="C465" s="1014" t="s">
        <v>424</v>
      </c>
      <c r="D465" s="1015" t="str">
        <f t="shared" si="87"/>
        <v>Ямало-Ненецкий автономный округНадым</v>
      </c>
      <c r="E465" s="1016">
        <v>278</v>
      </c>
      <c r="F465" s="1017">
        <v>-11.5</v>
      </c>
      <c r="G465" s="1017">
        <v>-45</v>
      </c>
      <c r="H465" s="1019">
        <v>4.5</v>
      </c>
      <c r="I465" s="1020">
        <f>E465*(списки!$C$56-F465)</f>
        <v>8757</v>
      </c>
      <c r="J465" s="1021" t="str">
        <f t="shared" si="77"/>
        <v>8000-9000</v>
      </c>
      <c r="K465" s="1022">
        <v>15.7</v>
      </c>
      <c r="L465" s="1022"/>
      <c r="M465" s="1023">
        <f t="shared" si="78"/>
        <v>0</v>
      </c>
      <c r="N465" s="1024">
        <f>M465*(списки!$C$56-K465)</f>
        <v>0</v>
      </c>
      <c r="O465" s="1025">
        <v>12</v>
      </c>
      <c r="P465" s="1025"/>
      <c r="Q465" s="1025">
        <f t="shared" si="79"/>
        <v>2.5</v>
      </c>
      <c r="R465" s="1025">
        <f>Q465*(списки!$C$56-O465)</f>
        <v>20</v>
      </c>
      <c r="S465" s="1026">
        <v>5.7</v>
      </c>
      <c r="T465" s="1026"/>
      <c r="U465" s="1026">
        <f t="shared" si="86"/>
        <v>30</v>
      </c>
      <c r="V465" s="1026">
        <f>U465*(списки!$C$56-S465)</f>
        <v>429</v>
      </c>
      <c r="W465" s="1027">
        <v>-4.2</v>
      </c>
      <c r="X465" s="1027"/>
      <c r="Y465" s="1027">
        <f t="shared" si="80"/>
        <v>31</v>
      </c>
      <c r="Z465" s="1027">
        <f>Y465*(списки!$C$56-W465)</f>
        <v>750.19999999999993</v>
      </c>
      <c r="AA465" s="1028">
        <v>-15.2</v>
      </c>
      <c r="AB465" s="1028"/>
      <c r="AC465" s="1028">
        <f t="shared" si="81"/>
        <v>30</v>
      </c>
      <c r="AD465" s="1028">
        <f>AC465*(списки!$C$56-AA465)</f>
        <v>1056</v>
      </c>
      <c r="AE465" s="1029">
        <v>-20.9</v>
      </c>
      <c r="AF465" s="1029"/>
      <c r="AG465" s="1029">
        <v>31</v>
      </c>
      <c r="AH465" s="1029">
        <f>AG465*(списки!$C$56-AE465)</f>
        <v>1267.8999999999999</v>
      </c>
      <c r="AI465" s="1030">
        <v>-23.7</v>
      </c>
      <c r="AJ465" s="1030"/>
      <c r="AK465" s="1030">
        <v>31</v>
      </c>
      <c r="AL465" s="1030">
        <f>AK465*(списки!$C$56-AI465)</f>
        <v>1354.7</v>
      </c>
      <c r="AM465" s="1031">
        <v>-22.9</v>
      </c>
      <c r="AN465" s="1031"/>
      <c r="AO465" s="1031">
        <v>28</v>
      </c>
      <c r="AP465" s="1031">
        <f>AO465*(списки!$C$56-AM465)</f>
        <v>1201.2</v>
      </c>
      <c r="AQ465" s="1026">
        <v>-14.4</v>
      </c>
      <c r="AR465" s="1026"/>
      <c r="AS465" s="1026">
        <f t="shared" si="82"/>
        <v>31</v>
      </c>
      <c r="AT465" s="1026">
        <f>AS465*(списки!$C$56-AQ465)</f>
        <v>1066.3999999999999</v>
      </c>
      <c r="AU465" s="1032">
        <v>-8.1999999999999993</v>
      </c>
      <c r="AV465" s="1032"/>
      <c r="AW465" s="1032">
        <f t="shared" si="83"/>
        <v>30</v>
      </c>
      <c r="AX465" s="1032">
        <f>AW465*(списки!$C$56-AU465)</f>
        <v>846</v>
      </c>
      <c r="AY465" s="1033">
        <v>0</v>
      </c>
      <c r="AZ465" s="1033"/>
      <c r="BA465" s="1033">
        <f t="shared" si="84"/>
        <v>31</v>
      </c>
      <c r="BB465" s="1033">
        <f>BA465*(списки!$C$56-AY465)</f>
        <v>620</v>
      </c>
      <c r="BC465" s="1034">
        <v>9.9</v>
      </c>
      <c r="BD465" s="1034"/>
      <c r="BE465" s="1034">
        <f t="shared" si="85"/>
        <v>2.5</v>
      </c>
      <c r="BF465" s="1035">
        <f>BE465*(списки!$C$56-BC465)</f>
        <v>25.25</v>
      </c>
      <c r="BG465" s="1424">
        <v>7598.3482142857147</v>
      </c>
      <c r="BH465" s="1424">
        <v>7776.2803571428603</v>
      </c>
    </row>
    <row r="466" spans="2:60" ht="15.75" customHeight="1" x14ac:dyDescent="0.25">
      <c r="B466" s="1038" t="s">
        <v>629</v>
      </c>
      <c r="C466" s="1038" t="s">
        <v>425</v>
      </c>
      <c r="D466" s="1015" t="str">
        <f t="shared" si="87"/>
        <v>Ямало-Ненецкий автономный округСалехард</v>
      </c>
      <c r="E466" s="1016">
        <v>285</v>
      </c>
      <c r="F466" s="1017">
        <v>-11.5</v>
      </c>
      <c r="G466" s="1017">
        <v>-43</v>
      </c>
      <c r="H466" s="1019">
        <v>4.5999999999999996</v>
      </c>
      <c r="I466" s="1020">
        <f>E466*(списки!$C$56-F466)</f>
        <v>8977.5</v>
      </c>
      <c r="J466" s="1021" t="str">
        <f t="shared" si="77"/>
        <v>8000-9000</v>
      </c>
      <c r="K466" s="1022">
        <v>14.4</v>
      </c>
      <c r="L466" s="1022"/>
      <c r="M466" s="1023">
        <f t="shared" si="78"/>
        <v>0</v>
      </c>
      <c r="N466" s="1024">
        <f>M466*(списки!$C$56-K466)</f>
        <v>0</v>
      </c>
      <c r="O466" s="1025">
        <v>11.1</v>
      </c>
      <c r="P466" s="1025"/>
      <c r="Q466" s="1025">
        <f t="shared" si="79"/>
        <v>6</v>
      </c>
      <c r="R466" s="1025">
        <f>Q466*(списки!$C$56-O466)</f>
        <v>53.400000000000006</v>
      </c>
      <c r="S466" s="1026">
        <v>5.3</v>
      </c>
      <c r="T466" s="1026"/>
      <c r="U466" s="1026">
        <f t="shared" si="86"/>
        <v>30</v>
      </c>
      <c r="V466" s="1026">
        <f>U466*(списки!$C$56-S466)</f>
        <v>441</v>
      </c>
      <c r="W466" s="1027">
        <v>-4.0999999999999996</v>
      </c>
      <c r="X466" s="1027"/>
      <c r="Y466" s="1027">
        <f t="shared" si="80"/>
        <v>31</v>
      </c>
      <c r="Z466" s="1027">
        <f>Y466*(списки!$C$56-W466)</f>
        <v>747.1</v>
      </c>
      <c r="AA466" s="1028">
        <v>-15.2</v>
      </c>
      <c r="AB466" s="1028"/>
      <c r="AC466" s="1028">
        <f t="shared" si="81"/>
        <v>30</v>
      </c>
      <c r="AD466" s="1028">
        <f>AC466*(списки!$C$56-AA466)</f>
        <v>1056</v>
      </c>
      <c r="AE466" s="1029">
        <v>-20.6</v>
      </c>
      <c r="AF466" s="1029"/>
      <c r="AG466" s="1029">
        <v>31</v>
      </c>
      <c r="AH466" s="1029">
        <f>AG466*(списки!$C$56-AE466)</f>
        <v>1258.6000000000001</v>
      </c>
      <c r="AI466" s="1030">
        <v>-24.2</v>
      </c>
      <c r="AJ466" s="1030"/>
      <c r="AK466" s="1030">
        <v>31</v>
      </c>
      <c r="AL466" s="1030">
        <f>AK466*(списки!$C$56-AI466)</f>
        <v>1370.2</v>
      </c>
      <c r="AM466" s="1031">
        <v>-23.5</v>
      </c>
      <c r="AN466" s="1031"/>
      <c r="AO466" s="1031">
        <v>28</v>
      </c>
      <c r="AP466" s="1031">
        <f>AO466*(списки!$C$56-AM466)</f>
        <v>1218</v>
      </c>
      <c r="AQ466" s="1026">
        <v>-15.4</v>
      </c>
      <c r="AR466" s="1026"/>
      <c r="AS466" s="1026">
        <f t="shared" si="82"/>
        <v>31</v>
      </c>
      <c r="AT466" s="1026">
        <f>AS466*(списки!$C$56-AQ466)</f>
        <v>1097.3999999999999</v>
      </c>
      <c r="AU466" s="1032">
        <v>-9.1999999999999993</v>
      </c>
      <c r="AV466" s="1032"/>
      <c r="AW466" s="1032">
        <f t="shared" si="83"/>
        <v>30</v>
      </c>
      <c r="AX466" s="1032">
        <f>AW466*(списки!$C$56-AU466)</f>
        <v>876</v>
      </c>
      <c r="AY466" s="1033">
        <v>-1.1000000000000001</v>
      </c>
      <c r="AZ466" s="1033"/>
      <c r="BA466" s="1033">
        <f t="shared" si="84"/>
        <v>31</v>
      </c>
      <c r="BB466" s="1033">
        <f>BA466*(списки!$C$56-AY466)</f>
        <v>654.1</v>
      </c>
      <c r="BC466" s="1034">
        <v>8.6</v>
      </c>
      <c r="BD466" s="1034"/>
      <c r="BE466" s="1034">
        <f t="shared" si="85"/>
        <v>6</v>
      </c>
      <c r="BF466" s="1035">
        <f>BE466*(списки!$C$56-BC466)</f>
        <v>68.400000000000006</v>
      </c>
      <c r="BG466" s="1424">
        <v>7756.8785714285723</v>
      </c>
      <c r="BH466" s="1424">
        <v>8112.7535714285732</v>
      </c>
    </row>
    <row r="467" spans="2:60" ht="15.75" customHeight="1" x14ac:dyDescent="0.25">
      <c r="B467" s="1014" t="s">
        <v>629</v>
      </c>
      <c r="C467" s="1014" t="s">
        <v>708</v>
      </c>
      <c r="D467" s="1015" t="str">
        <f t="shared" si="87"/>
        <v xml:space="preserve">Ямало-Ненецкий автономный округТарко-Сале </v>
      </c>
      <c r="E467" s="1016">
        <v>274</v>
      </c>
      <c r="F467" s="1017">
        <v>-12.6</v>
      </c>
      <c r="G467" s="1017">
        <v>-47</v>
      </c>
      <c r="H467" s="1019">
        <v>3.7</v>
      </c>
      <c r="I467" s="1020">
        <f>E467*(списки!$C$56-F467)</f>
        <v>8932.4</v>
      </c>
      <c r="J467" s="1021" t="str">
        <f t="shared" si="77"/>
        <v>8000-9000</v>
      </c>
      <c r="K467" s="1022">
        <v>16.399999999999999</v>
      </c>
      <c r="L467" s="1022"/>
      <c r="M467" s="1023">
        <f t="shared" si="78"/>
        <v>0</v>
      </c>
      <c r="N467" s="1024">
        <f>M467*(списки!$C$56-K467)</f>
        <v>0</v>
      </c>
      <c r="O467" s="1025">
        <v>12.5</v>
      </c>
      <c r="P467" s="1025"/>
      <c r="Q467" s="1025">
        <f t="shared" si="79"/>
        <v>0.5</v>
      </c>
      <c r="R467" s="1025">
        <f>Q467*(списки!$C$56-O467)</f>
        <v>3.75</v>
      </c>
      <c r="S467" s="1026">
        <v>5.7</v>
      </c>
      <c r="T467" s="1026"/>
      <c r="U467" s="1026">
        <f t="shared" si="86"/>
        <v>30</v>
      </c>
      <c r="V467" s="1026">
        <f>U467*(списки!$C$56-S467)</f>
        <v>429</v>
      </c>
      <c r="W467" s="1027">
        <v>-4.7</v>
      </c>
      <c r="X467" s="1027"/>
      <c r="Y467" s="1027">
        <f t="shared" si="80"/>
        <v>31</v>
      </c>
      <c r="Z467" s="1027">
        <f>Y467*(списки!$C$56-W467)</f>
        <v>765.69999999999993</v>
      </c>
      <c r="AA467" s="1028">
        <v>-16.100000000000001</v>
      </c>
      <c r="AB467" s="1028"/>
      <c r="AC467" s="1028">
        <f t="shared" si="81"/>
        <v>30</v>
      </c>
      <c r="AD467" s="1028">
        <f>AC467*(списки!$C$56-AA467)</f>
        <v>1083</v>
      </c>
      <c r="AE467" s="1029">
        <v>-22.2</v>
      </c>
      <c r="AF467" s="1029"/>
      <c r="AG467" s="1029">
        <v>31</v>
      </c>
      <c r="AH467" s="1029">
        <f>AG467*(списки!$C$56-AE467)</f>
        <v>1308.2</v>
      </c>
      <c r="AI467" s="1030">
        <v>-25.2</v>
      </c>
      <c r="AJ467" s="1030"/>
      <c r="AK467" s="1030">
        <v>31</v>
      </c>
      <c r="AL467" s="1030">
        <f>AK467*(списки!$C$56-AI467)</f>
        <v>1401.2</v>
      </c>
      <c r="AM467" s="1031">
        <v>-24.3</v>
      </c>
      <c r="AN467" s="1031"/>
      <c r="AO467" s="1031">
        <v>28</v>
      </c>
      <c r="AP467" s="1031">
        <f>AO467*(списки!$C$56-AM467)</f>
        <v>1240.3999999999999</v>
      </c>
      <c r="AQ467" s="1026">
        <v>-15.3</v>
      </c>
      <c r="AR467" s="1026"/>
      <c r="AS467" s="1026">
        <f t="shared" si="82"/>
        <v>31</v>
      </c>
      <c r="AT467" s="1026">
        <f>AS467*(списки!$C$56-AQ467)</f>
        <v>1094.3</v>
      </c>
      <c r="AU467" s="1032">
        <v>-8.6</v>
      </c>
      <c r="AV467" s="1032"/>
      <c r="AW467" s="1032">
        <f t="shared" si="83"/>
        <v>30</v>
      </c>
      <c r="AX467" s="1032">
        <f>AW467*(списки!$C$56-AU467)</f>
        <v>858</v>
      </c>
      <c r="AY467" s="1033">
        <v>-0.3</v>
      </c>
      <c r="AZ467" s="1033"/>
      <c r="BA467" s="1033">
        <f t="shared" si="84"/>
        <v>31</v>
      </c>
      <c r="BB467" s="1033">
        <f>BA467*(списки!$C$56-AY467)</f>
        <v>629.30000000000007</v>
      </c>
      <c r="BC467" s="1034">
        <v>10.7</v>
      </c>
      <c r="BD467" s="1034"/>
      <c r="BE467" s="1034">
        <f t="shared" si="85"/>
        <v>0.5</v>
      </c>
      <c r="BF467" s="1035">
        <f>BE467*(списки!$C$56-BC467)</f>
        <v>4.6500000000000004</v>
      </c>
      <c r="BG467" s="1424">
        <v>7864.3964285714319</v>
      </c>
      <c r="BH467" s="1424">
        <v>7849.8982142857139</v>
      </c>
    </row>
    <row r="468" spans="2:60" ht="15.75" customHeight="1" x14ac:dyDescent="0.25">
      <c r="B468" s="1038" t="s">
        <v>629</v>
      </c>
      <c r="C468" s="1038" t="s">
        <v>426</v>
      </c>
      <c r="D468" s="1015" t="str">
        <f t="shared" si="87"/>
        <v>Ямало-Ненецкий автономный округУренгой</v>
      </c>
      <c r="E468" s="1016">
        <v>286</v>
      </c>
      <c r="F468" s="1017">
        <v>-13.1</v>
      </c>
      <c r="G468" s="1017">
        <v>-46</v>
      </c>
      <c r="H468" s="1019">
        <f>H467</f>
        <v>3.7</v>
      </c>
      <c r="I468" s="1020">
        <f>E468*(списки!$C$56-F468)</f>
        <v>9466.6</v>
      </c>
      <c r="J468" s="1021" t="str">
        <f t="shared" si="77"/>
        <v>9000-10000</v>
      </c>
      <c r="K468" s="1022">
        <v>15.4</v>
      </c>
      <c r="L468" s="1022"/>
      <c r="M468" s="1023">
        <f t="shared" si="78"/>
        <v>0</v>
      </c>
      <c r="N468" s="1024">
        <f>M468*(списки!$C$56-K468)</f>
        <v>0</v>
      </c>
      <c r="O468" s="1025">
        <v>11.3</v>
      </c>
      <c r="P468" s="1025"/>
      <c r="Q468" s="1025">
        <f t="shared" si="79"/>
        <v>6.5</v>
      </c>
      <c r="R468" s="1025">
        <f>Q468*(списки!$C$56-O468)</f>
        <v>56.55</v>
      </c>
      <c r="S468" s="1026">
        <v>5.2</v>
      </c>
      <c r="T468" s="1026"/>
      <c r="U468" s="1026">
        <f t="shared" si="86"/>
        <v>30</v>
      </c>
      <c r="V468" s="1026">
        <f>U468*(списки!$C$56-S468)</f>
        <v>444</v>
      </c>
      <c r="W468" s="1027">
        <v>-6.3</v>
      </c>
      <c r="X468" s="1027"/>
      <c r="Y468" s="1027">
        <f t="shared" si="80"/>
        <v>31</v>
      </c>
      <c r="Z468" s="1027">
        <f>Y468*(списки!$C$56-W468)</f>
        <v>815.30000000000007</v>
      </c>
      <c r="AA468" s="1028">
        <v>-18.2</v>
      </c>
      <c r="AB468" s="1028"/>
      <c r="AC468" s="1028">
        <f t="shared" si="81"/>
        <v>30</v>
      </c>
      <c r="AD468" s="1028">
        <f>AC468*(списки!$C$56-AA468)</f>
        <v>1146</v>
      </c>
      <c r="AE468" s="1029">
        <v>-24</v>
      </c>
      <c r="AF468" s="1029"/>
      <c r="AG468" s="1029">
        <v>31</v>
      </c>
      <c r="AH468" s="1029">
        <f>AG468*(списки!$C$56-AE468)</f>
        <v>1364</v>
      </c>
      <c r="AI468" s="1030">
        <v>-26.4</v>
      </c>
      <c r="AJ468" s="1030"/>
      <c r="AK468" s="1030">
        <v>31</v>
      </c>
      <c r="AL468" s="1030">
        <f>AK468*(списки!$C$56-AI468)</f>
        <v>1438.3999999999999</v>
      </c>
      <c r="AM468" s="1031">
        <v>-26.4</v>
      </c>
      <c r="AN468" s="1031"/>
      <c r="AO468" s="1031">
        <v>28</v>
      </c>
      <c r="AP468" s="1031">
        <f>AO468*(списки!$C$56-AM468)</f>
        <v>1299.2</v>
      </c>
      <c r="AQ468" s="1026">
        <v>-19.2</v>
      </c>
      <c r="AR468" s="1026"/>
      <c r="AS468" s="1026">
        <f t="shared" si="82"/>
        <v>31</v>
      </c>
      <c r="AT468" s="1026">
        <f>AS468*(списки!$C$56-AQ468)</f>
        <v>1215.2</v>
      </c>
      <c r="AU468" s="1032">
        <v>-10.3</v>
      </c>
      <c r="AV468" s="1032"/>
      <c r="AW468" s="1032">
        <f t="shared" si="83"/>
        <v>30</v>
      </c>
      <c r="AX468" s="1032">
        <f>AW468*(списки!$C$56-AU468)</f>
        <v>909</v>
      </c>
      <c r="AY468" s="1033">
        <v>-2.6</v>
      </c>
      <c r="AZ468" s="1033"/>
      <c r="BA468" s="1033">
        <f t="shared" si="84"/>
        <v>31</v>
      </c>
      <c r="BB468" s="1033">
        <f>BA468*(списки!$C$56-AY468)</f>
        <v>700.6</v>
      </c>
      <c r="BC468" s="1034">
        <v>8.4</v>
      </c>
      <c r="BD468" s="1034"/>
      <c r="BE468" s="1034">
        <f t="shared" si="85"/>
        <v>6.5</v>
      </c>
      <c r="BF468" s="1035">
        <f>BE468*(списки!$C$56-BC468)</f>
        <v>75.399999999999991</v>
      </c>
      <c r="BG468" s="1424">
        <v>8140.530238095238</v>
      </c>
      <c r="BH468" s="1424">
        <v>8256.6464285714319</v>
      </c>
    </row>
    <row r="469" spans="2:60" ht="15.75" customHeight="1" x14ac:dyDescent="0.25">
      <c r="B469" s="1014" t="s">
        <v>427</v>
      </c>
      <c r="C469" s="1014" t="s">
        <v>428</v>
      </c>
      <c r="D469" s="1015" t="str">
        <f t="shared" si="87"/>
        <v>Ярославская областьЯрославль</v>
      </c>
      <c r="E469" s="1016">
        <v>221</v>
      </c>
      <c r="F469" s="1017">
        <v>-4</v>
      </c>
      <c r="G469" s="1017">
        <v>-31</v>
      </c>
      <c r="H469" s="1019">
        <v>5.5</v>
      </c>
      <c r="I469" s="1020">
        <f>E469*(списки!$C$56-F469)</f>
        <v>5304</v>
      </c>
      <c r="J469" s="1021" t="str">
        <f t="shared" si="77"/>
        <v>5000-6000</v>
      </c>
      <c r="K469" s="1022">
        <v>17.600000000000001</v>
      </c>
      <c r="L469" s="1022"/>
      <c r="M469" s="1023">
        <f t="shared" si="78"/>
        <v>0</v>
      </c>
      <c r="N469" s="1024">
        <f>M469*(списки!$C$56-K469)</f>
        <v>0</v>
      </c>
      <c r="O469" s="1025">
        <v>16</v>
      </c>
      <c r="P469" s="1025"/>
      <c r="Q469" s="1025">
        <f t="shared" si="79"/>
        <v>0</v>
      </c>
      <c r="R469" s="1025">
        <f>Q469*(списки!$C$56-O469)</f>
        <v>0</v>
      </c>
      <c r="S469" s="1026">
        <v>10</v>
      </c>
      <c r="T469" s="1026"/>
      <c r="U469" s="1026">
        <f t="shared" si="86"/>
        <v>4.5</v>
      </c>
      <c r="V469" s="1026">
        <f>U469*(списки!$C$56-S469)</f>
        <v>45</v>
      </c>
      <c r="W469" s="1027">
        <v>3.4</v>
      </c>
      <c r="X469" s="1027"/>
      <c r="Y469" s="1027">
        <f t="shared" si="80"/>
        <v>31</v>
      </c>
      <c r="Z469" s="1027">
        <f>Y469*(списки!$C$56-W469)</f>
        <v>514.6</v>
      </c>
      <c r="AA469" s="1028">
        <v>-2.7</v>
      </c>
      <c r="AB469" s="1028"/>
      <c r="AC469" s="1028">
        <f t="shared" si="81"/>
        <v>30</v>
      </c>
      <c r="AD469" s="1028">
        <f>AC469*(списки!$C$56-AA469)</f>
        <v>681</v>
      </c>
      <c r="AE469" s="1029">
        <v>-8.1</v>
      </c>
      <c r="AF469" s="1029"/>
      <c r="AG469" s="1029">
        <v>31</v>
      </c>
      <c r="AH469" s="1029">
        <f>AG469*(списки!$C$56-AE469)</f>
        <v>871.1</v>
      </c>
      <c r="AI469" s="1030">
        <v>-11.9</v>
      </c>
      <c r="AJ469" s="1030"/>
      <c r="AK469" s="1030">
        <v>31</v>
      </c>
      <c r="AL469" s="1030">
        <f>AK469*(списки!$C$56-AI469)</f>
        <v>988.9</v>
      </c>
      <c r="AM469" s="1031">
        <v>-10.7</v>
      </c>
      <c r="AN469" s="1031"/>
      <c r="AO469" s="1031">
        <v>28</v>
      </c>
      <c r="AP469" s="1031">
        <f>AO469*(списки!$C$56-AM469)</f>
        <v>859.6</v>
      </c>
      <c r="AQ469" s="1026">
        <v>-5.0999999999999996</v>
      </c>
      <c r="AR469" s="1026"/>
      <c r="AS469" s="1026">
        <f t="shared" si="82"/>
        <v>31</v>
      </c>
      <c r="AT469" s="1026">
        <f>AS469*(списки!$C$56-AQ469)</f>
        <v>778.1</v>
      </c>
      <c r="AU469" s="1032">
        <v>3.7</v>
      </c>
      <c r="AV469" s="1032"/>
      <c r="AW469" s="1032">
        <f t="shared" si="83"/>
        <v>30</v>
      </c>
      <c r="AX469" s="1032">
        <f>AW469*(списки!$C$56-AU469)</f>
        <v>489</v>
      </c>
      <c r="AY469" s="1033">
        <v>10.9</v>
      </c>
      <c r="AZ469" s="1033"/>
      <c r="BA469" s="1033">
        <f t="shared" si="84"/>
        <v>4.5</v>
      </c>
      <c r="BB469" s="1033">
        <f>BA469*(списки!$C$56-AY469)</f>
        <v>40.949999999999996</v>
      </c>
      <c r="BC469" s="1034">
        <v>15.7</v>
      </c>
      <c r="BD469" s="1034"/>
      <c r="BE469" s="1034">
        <f t="shared" si="85"/>
        <v>0</v>
      </c>
      <c r="BF469" s="1035">
        <f>BE469*(списки!$C$56-BC469)</f>
        <v>0</v>
      </c>
      <c r="BG469" s="1424">
        <v>4320.541053854613</v>
      </c>
      <c r="BH469" s="1424">
        <v>4890.2542705789519</v>
      </c>
    </row>
    <row r="470" spans="2:60" ht="15.75" customHeight="1" x14ac:dyDescent="0.25">
      <c r="B470" s="1038" t="s">
        <v>630</v>
      </c>
      <c r="C470" s="1038" t="s">
        <v>709</v>
      </c>
      <c r="D470" s="1015" t="str">
        <f t="shared" si="87"/>
        <v>Республика КрымАй-Петри</v>
      </c>
      <c r="E470" s="1016">
        <v>209</v>
      </c>
      <c r="F470" s="1017">
        <v>0.7</v>
      </c>
      <c r="G470" s="1017">
        <v>-18</v>
      </c>
      <c r="H470" s="1019">
        <v>7.4</v>
      </c>
      <c r="I470" s="1020">
        <f>E470*(списки!$C$56-F470)</f>
        <v>4033.7000000000003</v>
      </c>
      <c r="J470" s="1021" t="str">
        <f t="shared" si="77"/>
        <v>4000-5000</v>
      </c>
      <c r="K470" s="1022"/>
      <c r="L470" s="1022"/>
      <c r="M470" s="1023">
        <f t="shared" si="78"/>
        <v>0</v>
      </c>
      <c r="N470" s="1024">
        <f>M470*(списки!$C$56-K470)</f>
        <v>0</v>
      </c>
      <c r="O470" s="1025"/>
      <c r="P470" s="1025"/>
      <c r="Q470" s="1025">
        <f t="shared" si="79"/>
        <v>0</v>
      </c>
      <c r="R470" s="1025">
        <f>Q470*(списки!$C$56-O470)</f>
        <v>0</v>
      </c>
      <c r="S470" s="1026"/>
      <c r="T470" s="1026"/>
      <c r="U470" s="1026">
        <f t="shared" si="86"/>
        <v>0</v>
      </c>
      <c r="V470" s="1026">
        <f>U470*(списки!$C$56-S470)</f>
        <v>0</v>
      </c>
      <c r="W470" s="1027">
        <v>6.5</v>
      </c>
      <c r="X470" s="1027"/>
      <c r="Y470" s="1027">
        <f t="shared" si="80"/>
        <v>29</v>
      </c>
      <c r="Z470" s="1027">
        <f>Y470*(списки!$C$56-W470)</f>
        <v>391.5</v>
      </c>
      <c r="AA470" s="1028">
        <v>2.6</v>
      </c>
      <c r="AB470" s="1028"/>
      <c r="AC470" s="1028">
        <f t="shared" si="81"/>
        <v>30</v>
      </c>
      <c r="AD470" s="1028">
        <f>AC470*(списки!$C$56-AA470)</f>
        <v>522</v>
      </c>
      <c r="AE470" s="1029">
        <v>-1.5</v>
      </c>
      <c r="AF470" s="1029"/>
      <c r="AG470" s="1029">
        <v>31</v>
      </c>
      <c r="AH470" s="1029">
        <f>AG470*(списки!$C$56-AE470)</f>
        <v>666.5</v>
      </c>
      <c r="AI470" s="1030">
        <v>-3.6</v>
      </c>
      <c r="AJ470" s="1030"/>
      <c r="AK470" s="1030">
        <v>31</v>
      </c>
      <c r="AL470" s="1030">
        <f>AK470*(списки!$C$56-AI470)</f>
        <v>731.6</v>
      </c>
      <c r="AM470" s="1031">
        <v>-3.1</v>
      </c>
      <c r="AN470" s="1031"/>
      <c r="AO470" s="1031">
        <v>28</v>
      </c>
      <c r="AP470" s="1031">
        <f>AO470*(списки!$C$56-AM470)</f>
        <v>646.80000000000007</v>
      </c>
      <c r="AQ470" s="1026">
        <v>-0.6</v>
      </c>
      <c r="AR470" s="1026"/>
      <c r="AS470" s="1026">
        <f t="shared" si="82"/>
        <v>31</v>
      </c>
      <c r="AT470" s="1026">
        <f>AS470*(списки!$C$56-AQ470)</f>
        <v>638.6</v>
      </c>
      <c r="AU470" s="1032">
        <v>4.9000000000000004</v>
      </c>
      <c r="AV470" s="1032"/>
      <c r="AW470" s="1032">
        <f t="shared" si="83"/>
        <v>29</v>
      </c>
      <c r="AX470" s="1032">
        <f>AW470*(списки!$C$56-AU470)</f>
        <v>437.9</v>
      </c>
      <c r="AY470" s="1033"/>
      <c r="AZ470" s="1033"/>
      <c r="BA470" s="1033">
        <f t="shared" si="84"/>
        <v>0</v>
      </c>
      <c r="BB470" s="1033">
        <f>BA470*(списки!$C$56-AY470)</f>
        <v>0</v>
      </c>
      <c r="BC470" s="1034"/>
      <c r="BD470" s="1034"/>
      <c r="BE470" s="1034">
        <f t="shared" si="85"/>
        <v>0</v>
      </c>
      <c r="BF470" s="1035">
        <f>BE470*(списки!$C$56-BC470)</f>
        <v>0</v>
      </c>
      <c r="BG470" s="1424">
        <v>4033.8642857142831</v>
      </c>
      <c r="BH470" s="1424">
        <v>3830.7660714285707</v>
      </c>
    </row>
    <row r="471" spans="2:60" ht="15.75" customHeight="1" x14ac:dyDescent="0.25">
      <c r="B471" s="1014" t="s">
        <v>630</v>
      </c>
      <c r="C471" s="1014" t="s">
        <v>710</v>
      </c>
      <c r="D471" s="1015" t="str">
        <f t="shared" si="87"/>
        <v>Республика КрымКлепинино</v>
      </c>
      <c r="E471" s="1016">
        <v>156</v>
      </c>
      <c r="F471" s="1017">
        <v>2</v>
      </c>
      <c r="G471" s="1017">
        <v>-21</v>
      </c>
      <c r="H471" s="1019">
        <v>7.4</v>
      </c>
      <c r="I471" s="1020">
        <f>E471*(списки!$C$56-F471)</f>
        <v>2808</v>
      </c>
      <c r="J471" s="1021" t="str">
        <f t="shared" si="77"/>
        <v>2000-3000</v>
      </c>
      <c r="K471" s="1022"/>
      <c r="L471" s="1022"/>
      <c r="M471" s="1023">
        <f t="shared" si="78"/>
        <v>0</v>
      </c>
      <c r="N471" s="1024">
        <f>M471*(списки!$C$56-K471)</f>
        <v>0</v>
      </c>
      <c r="O471" s="1025"/>
      <c r="P471" s="1025"/>
      <c r="Q471" s="1025">
        <f t="shared" si="79"/>
        <v>0</v>
      </c>
      <c r="R471" s="1025">
        <f>Q471*(списки!$C$56-O471)</f>
        <v>0</v>
      </c>
      <c r="S471" s="1026"/>
      <c r="T471" s="1026"/>
      <c r="U471" s="1026">
        <f t="shared" si="86"/>
        <v>0</v>
      </c>
      <c r="V471" s="1026">
        <f>U471*(списки!$C$56-S471)</f>
        <v>0</v>
      </c>
      <c r="W471" s="1027">
        <v>10.4</v>
      </c>
      <c r="X471" s="1027"/>
      <c r="Y471" s="1027">
        <f t="shared" si="80"/>
        <v>2.5</v>
      </c>
      <c r="Z471" s="1027">
        <f>Y471*(списки!$C$56-W471)</f>
        <v>24</v>
      </c>
      <c r="AA471" s="1028">
        <v>5.9</v>
      </c>
      <c r="AB471" s="1028"/>
      <c r="AC471" s="1028">
        <f t="shared" si="81"/>
        <v>30</v>
      </c>
      <c r="AD471" s="1028">
        <f>AC471*(списки!$C$56-AA471)</f>
        <v>423</v>
      </c>
      <c r="AE471" s="1029">
        <v>1.9</v>
      </c>
      <c r="AF471" s="1029"/>
      <c r="AG471" s="1029">
        <v>31</v>
      </c>
      <c r="AH471" s="1029">
        <f>AG471*(списки!$C$56-AE471)</f>
        <v>561.1</v>
      </c>
      <c r="AI471" s="1030">
        <v>-1.5</v>
      </c>
      <c r="AJ471" s="1030"/>
      <c r="AK471" s="1030">
        <v>31</v>
      </c>
      <c r="AL471" s="1030">
        <f>AK471*(списки!$C$56-AI471)</f>
        <v>666.5</v>
      </c>
      <c r="AM471" s="1031">
        <v>-0.5</v>
      </c>
      <c r="AN471" s="1031"/>
      <c r="AO471" s="1031">
        <v>28</v>
      </c>
      <c r="AP471" s="1031">
        <f>AO471*(списки!$C$56-AM471)</f>
        <v>574</v>
      </c>
      <c r="AQ471" s="1026">
        <v>3.1</v>
      </c>
      <c r="AR471" s="1026"/>
      <c r="AS471" s="1026">
        <f t="shared" si="82"/>
        <v>31</v>
      </c>
      <c r="AT471" s="1026">
        <f>AS471*(списки!$C$56-AQ471)</f>
        <v>523.9</v>
      </c>
      <c r="AU471" s="1032">
        <v>10.4</v>
      </c>
      <c r="AV471" s="1032"/>
      <c r="AW471" s="1032">
        <f t="shared" si="83"/>
        <v>2.5</v>
      </c>
      <c r="AX471" s="1032">
        <f>AW471*(списки!$C$56-AU471)</f>
        <v>24</v>
      </c>
      <c r="AY471" s="1033"/>
      <c r="AZ471" s="1033"/>
      <c r="BA471" s="1033">
        <f t="shared" si="84"/>
        <v>0</v>
      </c>
      <c r="BB471" s="1033">
        <f>BA471*(списки!$C$56-AY471)</f>
        <v>0</v>
      </c>
      <c r="BC471" s="1034"/>
      <c r="BD471" s="1034"/>
      <c r="BE471" s="1034">
        <f t="shared" si="85"/>
        <v>0</v>
      </c>
      <c r="BF471" s="1035">
        <f>BE471*(списки!$C$56-BC471)</f>
        <v>0</v>
      </c>
      <c r="BG471" s="1424" t="e">
        <v>#N/A</v>
      </c>
      <c r="BH471" s="1424" t="e">
        <v>#N/A</v>
      </c>
    </row>
    <row r="472" spans="2:60" ht="15.75" customHeight="1" x14ac:dyDescent="0.25">
      <c r="B472" s="1038" t="s">
        <v>630</v>
      </c>
      <c r="C472" s="1038" t="s">
        <v>711</v>
      </c>
      <c r="D472" s="1015" t="str">
        <f t="shared" si="87"/>
        <v>Республика КрымСимферополь</v>
      </c>
      <c r="E472" s="1016">
        <v>153</v>
      </c>
      <c r="F472" s="1017">
        <v>2.6</v>
      </c>
      <c r="G472" s="1017">
        <v>-15</v>
      </c>
      <c r="H472" s="1019">
        <v>7.4</v>
      </c>
      <c r="I472" s="1020">
        <f>E472*(списки!$C$56-F472)</f>
        <v>2662.2</v>
      </c>
      <c r="J472" s="1021" t="str">
        <f t="shared" si="77"/>
        <v>2000-3000</v>
      </c>
      <c r="K472" s="1022"/>
      <c r="L472" s="1022"/>
      <c r="M472" s="1023">
        <f t="shared" si="78"/>
        <v>0</v>
      </c>
      <c r="N472" s="1024">
        <f>M472*(списки!$C$56-K472)</f>
        <v>0</v>
      </c>
      <c r="O472" s="1025"/>
      <c r="P472" s="1025"/>
      <c r="Q472" s="1025">
        <f t="shared" si="79"/>
        <v>0</v>
      </c>
      <c r="R472" s="1025">
        <f>Q472*(списки!$C$56-O472)</f>
        <v>0</v>
      </c>
      <c r="S472" s="1026"/>
      <c r="T472" s="1026"/>
      <c r="U472" s="1026">
        <f t="shared" si="86"/>
        <v>0</v>
      </c>
      <c r="V472" s="1026">
        <f>U472*(списки!$C$56-S472)</f>
        <v>0</v>
      </c>
      <c r="W472" s="1027">
        <v>10.7</v>
      </c>
      <c r="X472" s="1027"/>
      <c r="Y472" s="1027">
        <f t="shared" si="80"/>
        <v>1</v>
      </c>
      <c r="Z472" s="1027">
        <f>Y472*(списки!$C$56-W472)</f>
        <v>9.3000000000000007</v>
      </c>
      <c r="AA472" s="1028">
        <v>6.3</v>
      </c>
      <c r="AB472" s="1028"/>
      <c r="AC472" s="1028">
        <f t="shared" si="81"/>
        <v>30</v>
      </c>
      <c r="AD472" s="1028">
        <f>AC472*(списки!$C$56-AA472)</f>
        <v>411</v>
      </c>
      <c r="AE472" s="1029">
        <v>2.4</v>
      </c>
      <c r="AF472" s="1029"/>
      <c r="AG472" s="1029">
        <v>31</v>
      </c>
      <c r="AH472" s="1029">
        <f>AG472*(списки!$C$56-AE472)</f>
        <v>545.6</v>
      </c>
      <c r="AI472" s="1030">
        <v>-0.5</v>
      </c>
      <c r="AJ472" s="1030"/>
      <c r="AK472" s="1030">
        <v>31</v>
      </c>
      <c r="AL472" s="1030">
        <f>AK472*(списки!$C$56-AI472)</f>
        <v>635.5</v>
      </c>
      <c r="AM472" s="1031">
        <v>0.4</v>
      </c>
      <c r="AN472" s="1031"/>
      <c r="AO472" s="1031">
        <v>28</v>
      </c>
      <c r="AP472" s="1031">
        <f>AO472*(списки!$C$56-AM472)</f>
        <v>548.80000000000007</v>
      </c>
      <c r="AQ472" s="1026">
        <v>3.6</v>
      </c>
      <c r="AR472" s="1026"/>
      <c r="AS472" s="1026">
        <f t="shared" si="82"/>
        <v>31</v>
      </c>
      <c r="AT472" s="1026">
        <f>AS472*(списки!$C$56-AQ472)</f>
        <v>508.4</v>
      </c>
      <c r="AU472" s="1032">
        <v>10.199999999999999</v>
      </c>
      <c r="AV472" s="1032"/>
      <c r="AW472" s="1032">
        <f t="shared" si="83"/>
        <v>1</v>
      </c>
      <c r="AX472" s="1032">
        <f>AW472*(списки!$C$56-AU472)</f>
        <v>9.8000000000000007</v>
      </c>
      <c r="AY472" s="1033"/>
      <c r="AZ472" s="1033"/>
      <c r="BA472" s="1033">
        <f t="shared" si="84"/>
        <v>0</v>
      </c>
      <c r="BB472" s="1033">
        <f>BA472*(списки!$C$56-AY472)</f>
        <v>0</v>
      </c>
      <c r="BC472" s="1034"/>
      <c r="BD472" s="1034"/>
      <c r="BE472" s="1034">
        <f t="shared" si="85"/>
        <v>0</v>
      </c>
      <c r="BF472" s="1035">
        <f>BE472*(списки!$C$56-BC472)</f>
        <v>0</v>
      </c>
      <c r="BG472" s="1424" t="e">
        <v>#N/A</v>
      </c>
      <c r="BH472" s="1424" t="e">
        <v>#N/A</v>
      </c>
    </row>
    <row r="473" spans="2:60" ht="15.75" customHeight="1" x14ac:dyDescent="0.25">
      <c r="B473" s="1014" t="s">
        <v>630</v>
      </c>
      <c r="C473" s="1014" t="s">
        <v>712</v>
      </c>
      <c r="D473" s="1015" t="str">
        <f t="shared" si="87"/>
        <v>Республика КрымФеодосия</v>
      </c>
      <c r="E473" s="1016">
        <v>140</v>
      </c>
      <c r="F473" s="1017">
        <v>3.4</v>
      </c>
      <c r="G473" s="1017">
        <v>-15</v>
      </c>
      <c r="H473" s="1019">
        <v>7.4</v>
      </c>
      <c r="I473" s="1020">
        <f>E473*(списки!$C$56-F473)</f>
        <v>2324</v>
      </c>
      <c r="J473" s="1021" t="str">
        <f t="shared" si="77"/>
        <v>2000-3000</v>
      </c>
      <c r="K473" s="1022"/>
      <c r="L473" s="1022"/>
      <c r="M473" s="1023">
        <f t="shared" si="78"/>
        <v>0</v>
      </c>
      <c r="N473" s="1024">
        <f>M473*(списки!$C$56-K473)</f>
        <v>0</v>
      </c>
      <c r="O473" s="1025"/>
      <c r="P473" s="1025"/>
      <c r="Q473" s="1025">
        <f t="shared" si="79"/>
        <v>0</v>
      </c>
      <c r="R473" s="1025">
        <f>Q473*(списки!$C$56-O473)</f>
        <v>0</v>
      </c>
      <c r="S473" s="1026"/>
      <c r="T473" s="1026"/>
      <c r="U473" s="1026">
        <f t="shared" si="86"/>
        <v>0</v>
      </c>
      <c r="V473" s="1026">
        <f>U473*(списки!$C$56-S473)</f>
        <v>0</v>
      </c>
      <c r="W473" s="1027">
        <v>12.4</v>
      </c>
      <c r="X473" s="1027"/>
      <c r="Y473" s="1027">
        <f t="shared" si="80"/>
        <v>0</v>
      </c>
      <c r="Z473" s="1027">
        <f>Y473*(списки!$C$56-W473)</f>
        <v>0</v>
      </c>
      <c r="AA473" s="1028">
        <v>7.8</v>
      </c>
      <c r="AB473" s="1028"/>
      <c r="AC473" s="1028">
        <f t="shared" si="81"/>
        <v>25</v>
      </c>
      <c r="AD473" s="1028">
        <f>AC473*(списки!$C$56-AA473)</f>
        <v>305</v>
      </c>
      <c r="AE473" s="1029">
        <v>4.0999999999999996</v>
      </c>
      <c r="AF473" s="1029"/>
      <c r="AG473" s="1029">
        <v>31</v>
      </c>
      <c r="AH473" s="1029">
        <f>AG473*(списки!$C$56-AE473)</f>
        <v>492.90000000000003</v>
      </c>
      <c r="AI473" s="1030">
        <v>0.8</v>
      </c>
      <c r="AJ473" s="1030"/>
      <c r="AK473" s="1030">
        <v>31</v>
      </c>
      <c r="AL473" s="1030">
        <f>AK473*(списки!$C$56-AI473)</f>
        <v>595.19999999999993</v>
      </c>
      <c r="AM473" s="1031">
        <v>1.4</v>
      </c>
      <c r="AN473" s="1031"/>
      <c r="AO473" s="1031">
        <v>28</v>
      </c>
      <c r="AP473" s="1031">
        <f>AO473*(списки!$C$56-AM473)</f>
        <v>520.80000000000007</v>
      </c>
      <c r="AQ473" s="1026">
        <v>4.4000000000000004</v>
      </c>
      <c r="AR473" s="1026"/>
      <c r="AS473" s="1026">
        <f t="shared" si="82"/>
        <v>25</v>
      </c>
      <c r="AT473" s="1026">
        <f>AS473*(списки!$C$56-AQ473)</f>
        <v>390</v>
      </c>
      <c r="AU473" s="1032">
        <v>10.6</v>
      </c>
      <c r="AV473" s="1032"/>
      <c r="AW473" s="1032">
        <f t="shared" si="83"/>
        <v>0</v>
      </c>
      <c r="AX473" s="1032">
        <f>AW473*(списки!$C$56-AU473)</f>
        <v>0</v>
      </c>
      <c r="AY473" s="1033"/>
      <c r="AZ473" s="1033"/>
      <c r="BA473" s="1033">
        <f t="shared" si="84"/>
        <v>0</v>
      </c>
      <c r="BB473" s="1033">
        <f>BA473*(списки!$C$56-AY473)</f>
        <v>0</v>
      </c>
      <c r="BC473" s="1034"/>
      <c r="BD473" s="1034"/>
      <c r="BE473" s="1034">
        <f t="shared" si="85"/>
        <v>0</v>
      </c>
      <c r="BF473" s="1035">
        <f>BE473*(списки!$C$56-BC473)</f>
        <v>0</v>
      </c>
      <c r="BG473" s="1424" t="e">
        <v>#N/A</v>
      </c>
      <c r="BH473" s="1424" t="e">
        <v>#N/A</v>
      </c>
    </row>
    <row r="474" spans="2:60" ht="15.75" customHeight="1" x14ac:dyDescent="0.25">
      <c r="B474" s="1038" t="s">
        <v>630</v>
      </c>
      <c r="C474" s="1038" t="s">
        <v>713</v>
      </c>
      <c r="D474" s="1015" t="str">
        <f t="shared" si="87"/>
        <v>Республика КрымЯлта</v>
      </c>
      <c r="E474" s="1016">
        <v>119</v>
      </c>
      <c r="F474" s="1017">
        <v>5.0999999999999996</v>
      </c>
      <c r="G474" s="1017">
        <v>-6</v>
      </c>
      <c r="H474" s="1019">
        <v>7.4</v>
      </c>
      <c r="I474" s="1020">
        <f>E474*(списки!$C$56-F474)</f>
        <v>1773.1000000000001</v>
      </c>
      <c r="J474" s="1021" t="str">
        <f t="shared" si="77"/>
        <v>1000-2000</v>
      </c>
      <c r="K474" s="1022"/>
      <c r="L474" s="1022"/>
      <c r="M474" s="1023">
        <f t="shared" si="78"/>
        <v>0</v>
      </c>
      <c r="N474" s="1024">
        <f>M474*(списки!$C$56-K474)</f>
        <v>0</v>
      </c>
      <c r="O474" s="1025"/>
      <c r="P474" s="1025"/>
      <c r="Q474" s="1025">
        <f t="shared" si="79"/>
        <v>0</v>
      </c>
      <c r="R474" s="1025">
        <f>Q474*(списки!$C$56-O474)</f>
        <v>0</v>
      </c>
      <c r="S474" s="1026"/>
      <c r="T474" s="1026"/>
      <c r="U474" s="1026">
        <f t="shared" si="86"/>
        <v>0</v>
      </c>
      <c r="V474" s="1026">
        <f>U474*(списки!$C$56-S474)</f>
        <v>0</v>
      </c>
      <c r="W474" s="1027">
        <v>13.6</v>
      </c>
      <c r="X474" s="1027"/>
      <c r="Y474" s="1027">
        <f t="shared" si="80"/>
        <v>0</v>
      </c>
      <c r="Z474" s="1027">
        <f>Y474*(списки!$C$56-W474)</f>
        <v>0</v>
      </c>
      <c r="AA474" s="1028">
        <v>9.5</v>
      </c>
      <c r="AB474" s="1028"/>
      <c r="AC474" s="1028">
        <f t="shared" si="81"/>
        <v>14.5</v>
      </c>
      <c r="AD474" s="1028">
        <f>AC474*(списки!$C$56-AA474)</f>
        <v>152.25</v>
      </c>
      <c r="AE474" s="1029">
        <v>6.3</v>
      </c>
      <c r="AF474" s="1029"/>
      <c r="AG474" s="1029">
        <v>31</v>
      </c>
      <c r="AH474" s="1029">
        <f>AG474*(списки!$C$56-AE474)</f>
        <v>424.7</v>
      </c>
      <c r="AI474" s="1030">
        <v>3.9</v>
      </c>
      <c r="AJ474" s="1030"/>
      <c r="AK474" s="1030">
        <v>31</v>
      </c>
      <c r="AL474" s="1030">
        <f>AK474*(списки!$C$56-AI474)</f>
        <v>499.1</v>
      </c>
      <c r="AM474" s="1031">
        <v>4.2</v>
      </c>
      <c r="AN474" s="1031"/>
      <c r="AO474" s="1031">
        <v>28</v>
      </c>
      <c r="AP474" s="1031">
        <f>AO474*(списки!$C$56-AM474)</f>
        <v>442.40000000000003</v>
      </c>
      <c r="AQ474" s="1026">
        <v>6</v>
      </c>
      <c r="AR474" s="1026"/>
      <c r="AS474" s="1026">
        <f t="shared" si="82"/>
        <v>14.5</v>
      </c>
      <c r="AT474" s="1026">
        <f>AS474*(списки!$C$56-AQ474)</f>
        <v>203</v>
      </c>
      <c r="AU474" s="1032">
        <v>10.8</v>
      </c>
      <c r="AV474" s="1032"/>
      <c r="AW474" s="1032">
        <f t="shared" si="83"/>
        <v>0</v>
      </c>
      <c r="AX474" s="1032">
        <f>AW474*(списки!$C$56-AU474)</f>
        <v>0</v>
      </c>
      <c r="AY474" s="1033"/>
      <c r="AZ474" s="1033"/>
      <c r="BA474" s="1033">
        <f t="shared" si="84"/>
        <v>0</v>
      </c>
      <c r="BB474" s="1033">
        <f>BA474*(списки!$C$56-AY474)</f>
        <v>0</v>
      </c>
      <c r="BC474" s="1034"/>
      <c r="BD474" s="1034"/>
      <c r="BE474" s="1034">
        <f t="shared" si="85"/>
        <v>0</v>
      </c>
      <c r="BF474" s="1035">
        <f>BE474*(списки!$C$56-BC474)</f>
        <v>0</v>
      </c>
      <c r="BG474" s="1424" t="e">
        <v>#N/A</v>
      </c>
      <c r="BH474" s="1424" t="e">
        <v>#N/A</v>
      </c>
    </row>
    <row r="475" spans="2:60" ht="15.75" customHeight="1" x14ac:dyDescent="0.25">
      <c r="B475" s="1014" t="s">
        <v>631</v>
      </c>
      <c r="C475" s="1014" t="s">
        <v>631</v>
      </c>
      <c r="D475" s="1015" t="str">
        <f t="shared" si="87"/>
        <v>Севастополь г.Севастополь г.</v>
      </c>
      <c r="E475" s="1016">
        <f>E472</f>
        <v>153</v>
      </c>
      <c r="F475" s="1016">
        <f>F472</f>
        <v>2.6</v>
      </c>
      <c r="G475" s="1016">
        <f>G472</f>
        <v>-15</v>
      </c>
      <c r="H475" s="1016">
        <v>7.4</v>
      </c>
      <c r="I475" s="1020">
        <f>E475*(списки!$C$56-F475)</f>
        <v>2662.2</v>
      </c>
      <c r="J475" s="1021" t="str">
        <f t="shared" si="77"/>
        <v>2000-3000</v>
      </c>
      <c r="K475" s="1022"/>
      <c r="L475" s="1022"/>
      <c r="M475" s="1023">
        <f t="shared" si="78"/>
        <v>0</v>
      </c>
      <c r="N475" s="1024">
        <f>M475*(списки!$C$56-K475)</f>
        <v>0</v>
      </c>
      <c r="O475" s="1025"/>
      <c r="P475" s="1025"/>
      <c r="Q475" s="1025">
        <f t="shared" si="79"/>
        <v>0</v>
      </c>
      <c r="R475" s="1025">
        <f>Q475*(списки!$C$56-O475)</f>
        <v>0</v>
      </c>
      <c r="S475" s="1026"/>
      <c r="T475" s="1026"/>
      <c r="U475" s="1026">
        <f t="shared" si="86"/>
        <v>0</v>
      </c>
      <c r="V475" s="1026">
        <f>U475*(списки!$C$56-S475)</f>
        <v>0</v>
      </c>
      <c r="W475" s="1027">
        <f>W472</f>
        <v>10.7</v>
      </c>
      <c r="X475" s="1027"/>
      <c r="Y475" s="1027">
        <f t="shared" si="80"/>
        <v>1</v>
      </c>
      <c r="Z475" s="1027">
        <f>Y475*(списки!$C$56-W475)</f>
        <v>9.3000000000000007</v>
      </c>
      <c r="AA475" s="1028">
        <f>AA472</f>
        <v>6.3</v>
      </c>
      <c r="AB475" s="1028"/>
      <c r="AC475" s="1028">
        <f t="shared" si="81"/>
        <v>30</v>
      </c>
      <c r="AD475" s="1028">
        <f>AC475*(списки!$C$56-AA475)</f>
        <v>411</v>
      </c>
      <c r="AE475" s="1029">
        <f>AE472</f>
        <v>2.4</v>
      </c>
      <c r="AF475" s="1029"/>
      <c r="AG475" s="1029">
        <v>31</v>
      </c>
      <c r="AH475" s="1029">
        <f>AG475*(списки!$C$56-AE475)</f>
        <v>545.6</v>
      </c>
      <c r="AI475" s="1030">
        <f>AI472</f>
        <v>-0.5</v>
      </c>
      <c r="AJ475" s="1030"/>
      <c r="AK475" s="1030">
        <v>31</v>
      </c>
      <c r="AL475" s="1030">
        <f>AK475*(списки!$C$56-AI475)</f>
        <v>635.5</v>
      </c>
      <c r="AM475" s="1031">
        <f>AM472</f>
        <v>0.4</v>
      </c>
      <c r="AN475" s="1031"/>
      <c r="AO475" s="1031">
        <v>28</v>
      </c>
      <c r="AP475" s="1031">
        <f>AO475*(списки!$C$56-AM475)</f>
        <v>548.80000000000007</v>
      </c>
      <c r="AQ475" s="1026">
        <f>AQ472</f>
        <v>3.6</v>
      </c>
      <c r="AR475" s="1026"/>
      <c r="AS475" s="1026">
        <f t="shared" si="82"/>
        <v>31</v>
      </c>
      <c r="AT475" s="1026">
        <f>AS475*(списки!$C$56-AQ475)</f>
        <v>508.4</v>
      </c>
      <c r="AU475" s="1032">
        <f>AU472</f>
        <v>10.199999999999999</v>
      </c>
      <c r="AV475" s="1032"/>
      <c r="AW475" s="1032">
        <f t="shared" si="83"/>
        <v>1</v>
      </c>
      <c r="AX475" s="1032">
        <f>AW475*(списки!$C$56-AU475)</f>
        <v>9.8000000000000007</v>
      </c>
      <c r="AY475" s="1033"/>
      <c r="AZ475" s="1033"/>
      <c r="BA475" s="1033">
        <f t="shared" si="84"/>
        <v>0</v>
      </c>
      <c r="BB475" s="1033">
        <f>BA475*(списки!$C$56-AY475)</f>
        <v>0</v>
      </c>
      <c r="BC475" s="1034"/>
      <c r="BD475" s="1034"/>
      <c r="BE475" s="1034">
        <f t="shared" si="85"/>
        <v>0</v>
      </c>
      <c r="BF475" s="1035">
        <f>BE475*(списки!$C$56-BC475)</f>
        <v>0</v>
      </c>
      <c r="BG475" s="1424" t="e">
        <v>#N/A</v>
      </c>
      <c r="BH475" s="1424" t="e">
        <v>#N/A</v>
      </c>
    </row>
    <row r="476" spans="2:60" ht="15.75" customHeight="1" x14ac:dyDescent="0.25">
      <c r="B476" s="1038"/>
      <c r="C476" s="1038"/>
      <c r="D476" s="1015"/>
      <c r="E476" s="1016"/>
      <c r="F476" s="1017"/>
      <c r="G476" s="1017"/>
      <c r="H476" s="1019"/>
      <c r="I476" s="1020"/>
      <c r="J476" s="1021"/>
      <c r="K476" s="1022"/>
      <c r="L476" s="1022"/>
      <c r="M476" s="1023">
        <f t="shared" si="78"/>
        <v>0</v>
      </c>
      <c r="N476" s="1024">
        <f>M476*(списки!$C$56-K476)</f>
        <v>0</v>
      </c>
      <c r="O476" s="1025"/>
      <c r="P476" s="1025"/>
      <c r="Q476" s="1025">
        <f t="shared" si="79"/>
        <v>0</v>
      </c>
      <c r="R476" s="1025">
        <f>Q476*(списки!$C$56-O476)</f>
        <v>0</v>
      </c>
      <c r="S476" s="1026"/>
      <c r="T476" s="1026"/>
      <c r="U476" s="1026">
        <f t="shared" si="86"/>
        <v>0</v>
      </c>
      <c r="V476" s="1026">
        <f>U476*(списки!$C$56-S476)</f>
        <v>0</v>
      </c>
      <c r="W476" s="1027"/>
      <c r="X476" s="1027"/>
      <c r="Y476" s="1027">
        <f t="shared" si="80"/>
        <v>0</v>
      </c>
      <c r="Z476" s="1027">
        <f>Y476*(списки!$C$56-W476)</f>
        <v>0</v>
      </c>
      <c r="AA476" s="1028"/>
      <c r="AB476" s="1028"/>
      <c r="AC476" s="1028">
        <f t="shared" si="81"/>
        <v>-45</v>
      </c>
      <c r="AD476" s="1028">
        <f>AC476*(списки!$C$56-AA476)</f>
        <v>-900</v>
      </c>
      <c r="AE476" s="1029"/>
      <c r="AF476" s="1029"/>
      <c r="AG476" s="1029">
        <v>31</v>
      </c>
      <c r="AH476" s="1029">
        <f>AG476*(списки!$C$56-AE476)</f>
        <v>620</v>
      </c>
      <c r="AI476" s="1030"/>
      <c r="AJ476" s="1030"/>
      <c r="AK476" s="1030">
        <v>31</v>
      </c>
      <c r="AL476" s="1030">
        <f>AK476*(списки!$C$56-AI476)</f>
        <v>620</v>
      </c>
      <c r="AM476" s="1031"/>
      <c r="AN476" s="1031"/>
      <c r="AO476" s="1031">
        <v>28</v>
      </c>
      <c r="AP476" s="1031">
        <f>AO476*(списки!$C$56-AM476)</f>
        <v>560</v>
      </c>
      <c r="AQ476" s="1026"/>
      <c r="AR476" s="1026"/>
      <c r="AS476" s="1026">
        <f t="shared" si="82"/>
        <v>-45</v>
      </c>
      <c r="AT476" s="1026">
        <f>AS476*(списки!$C$56-AQ476)</f>
        <v>-900</v>
      </c>
      <c r="AU476" s="1032"/>
      <c r="AV476" s="1032"/>
      <c r="AW476" s="1032">
        <f t="shared" si="83"/>
        <v>0</v>
      </c>
      <c r="AX476" s="1032">
        <f>AW476*(списки!$C$56-AU476)</f>
        <v>0</v>
      </c>
      <c r="AY476" s="1033"/>
      <c r="AZ476" s="1033"/>
      <c r="BA476" s="1033">
        <f t="shared" si="84"/>
        <v>0</v>
      </c>
      <c r="BB476" s="1033">
        <f>BA476*(списки!$C$56-AY476)</f>
        <v>0</v>
      </c>
      <c r="BC476" s="1034"/>
      <c r="BD476" s="1034"/>
      <c r="BE476" s="1034">
        <f t="shared" si="85"/>
        <v>0</v>
      </c>
      <c r="BF476" s="1035">
        <f>BE476*(списки!$C$56-BC476)</f>
        <v>0</v>
      </c>
      <c r="BG476" s="1424"/>
      <c r="BH476" s="1424"/>
    </row>
    <row r="477" spans="2:60" ht="15.75" customHeight="1" x14ac:dyDescent="0.25">
      <c r="B477" s="1014"/>
      <c r="C477" s="1014"/>
      <c r="D477" s="1015"/>
      <c r="E477" s="1016"/>
      <c r="F477" s="1017"/>
      <c r="G477" s="1017"/>
      <c r="H477" s="1019"/>
      <c r="I477" s="1020"/>
      <c r="J477" s="1021"/>
      <c r="K477" s="1022"/>
      <c r="L477" s="1022"/>
      <c r="M477" s="1023">
        <f t="shared" si="78"/>
        <v>0</v>
      </c>
      <c r="N477" s="1022">
        <f t="shared" ref="N477:N522" si="88">M477*(20-K477)</f>
        <v>0</v>
      </c>
      <c r="O477" s="1025"/>
      <c r="P477" s="1025"/>
      <c r="Q477" s="1025">
        <f t="shared" si="79"/>
        <v>0</v>
      </c>
      <c r="R477" s="1025">
        <f t="shared" ref="R477:R522" si="89">Q477*(20-O477)</f>
        <v>0</v>
      </c>
      <c r="S477" s="1026"/>
      <c r="T477" s="1026"/>
      <c r="U477" s="1026">
        <f t="shared" si="86"/>
        <v>0</v>
      </c>
      <c r="V477" s="1026">
        <f t="shared" ref="V477:V522" si="90">U477*(20-S477)</f>
        <v>0</v>
      </c>
      <c r="W477" s="1027"/>
      <c r="X477" s="1027"/>
      <c r="Y477" s="1027">
        <f t="shared" si="80"/>
        <v>0</v>
      </c>
      <c r="Z477" s="1027">
        <f t="shared" ref="Z477:Z522" si="91">Y477*(20-W477)</f>
        <v>0</v>
      </c>
      <c r="AA477" s="1028"/>
      <c r="AB477" s="1028"/>
      <c r="AC477" s="1028">
        <f t="shared" si="81"/>
        <v>-45</v>
      </c>
      <c r="AD477" s="1028">
        <f t="shared" ref="AD477:AD522" si="92">AC477*(20-AA477)</f>
        <v>-900</v>
      </c>
      <c r="AE477" s="1029"/>
      <c r="AF477" s="1029"/>
      <c r="AG477" s="1029">
        <v>31</v>
      </c>
      <c r="AH477" s="1029">
        <f t="shared" ref="AH477:AH521" si="93">AG477*(20-AE477)</f>
        <v>620</v>
      </c>
      <c r="AI477" s="1030"/>
      <c r="AJ477" s="1030"/>
      <c r="AK477" s="1030">
        <v>31</v>
      </c>
      <c r="AL477" s="1030">
        <f t="shared" ref="AL477:AL521" si="94">AK477*(20-AI477)</f>
        <v>620</v>
      </c>
      <c r="AM477" s="1031"/>
      <c r="AN477" s="1031"/>
      <c r="AO477" s="1031">
        <v>28</v>
      </c>
      <c r="AP477" s="1031">
        <f t="shared" ref="AP477:AP521" si="95">AO477*(20-AM477)</f>
        <v>560</v>
      </c>
      <c r="AQ477" s="1026"/>
      <c r="AR477" s="1026"/>
      <c r="AS477" s="1026">
        <f t="shared" si="82"/>
        <v>-45</v>
      </c>
      <c r="AT477" s="1026">
        <f t="shared" ref="AT477:AT522" si="96">AS477*(20-AQ477)</f>
        <v>-900</v>
      </c>
      <c r="AU477" s="1032"/>
      <c r="AV477" s="1032"/>
      <c r="AW477" s="1032">
        <f t="shared" si="83"/>
        <v>0</v>
      </c>
      <c r="AX477" s="1032">
        <f t="shared" ref="AX477:AX522" si="97">AW477*(20-AU477)</f>
        <v>0</v>
      </c>
      <c r="AY477" s="1033"/>
      <c r="AZ477" s="1033"/>
      <c r="BA477" s="1033">
        <f t="shared" si="84"/>
        <v>0</v>
      </c>
      <c r="BB477" s="1033">
        <f t="shared" ref="BB477:BB522" si="98">BA477*(20-AY477)</f>
        <v>0</v>
      </c>
      <c r="BC477" s="1034"/>
      <c r="BD477" s="1034"/>
      <c r="BE477" s="1034"/>
      <c r="BF477" s="1034"/>
      <c r="BG477" s="1424"/>
      <c r="BH477" s="1424"/>
    </row>
    <row r="478" spans="2:60" ht="15.75" customHeight="1" x14ac:dyDescent="0.25">
      <c r="B478" s="1038"/>
      <c r="C478" s="1038"/>
      <c r="D478" s="1015"/>
      <c r="E478" s="1016"/>
      <c r="F478" s="1017"/>
      <c r="G478" s="1017"/>
      <c r="H478" s="1019"/>
      <c r="I478" s="1020"/>
      <c r="J478" s="1021"/>
      <c r="K478" s="1022"/>
      <c r="L478" s="1022"/>
      <c r="M478" s="1023">
        <f t="shared" si="78"/>
        <v>0</v>
      </c>
      <c r="N478" s="1022">
        <f t="shared" si="88"/>
        <v>0</v>
      </c>
      <c r="O478" s="1025"/>
      <c r="P478" s="1025"/>
      <c r="Q478" s="1025">
        <f t="shared" si="79"/>
        <v>0</v>
      </c>
      <c r="R478" s="1025">
        <f t="shared" si="89"/>
        <v>0</v>
      </c>
      <c r="S478" s="1026"/>
      <c r="T478" s="1026"/>
      <c r="U478" s="1026">
        <f t="shared" si="86"/>
        <v>0</v>
      </c>
      <c r="V478" s="1026">
        <f t="shared" si="90"/>
        <v>0</v>
      </c>
      <c r="W478" s="1027"/>
      <c r="X478" s="1027"/>
      <c r="Y478" s="1027">
        <f t="shared" si="80"/>
        <v>0</v>
      </c>
      <c r="Z478" s="1027">
        <f t="shared" si="91"/>
        <v>0</v>
      </c>
      <c r="AA478" s="1028"/>
      <c r="AB478" s="1028"/>
      <c r="AC478" s="1028">
        <f t="shared" si="81"/>
        <v>-45</v>
      </c>
      <c r="AD478" s="1028">
        <f t="shared" si="92"/>
        <v>-900</v>
      </c>
      <c r="AE478" s="1029"/>
      <c r="AF478" s="1029"/>
      <c r="AG478" s="1029">
        <v>31</v>
      </c>
      <c r="AH478" s="1029">
        <f t="shared" si="93"/>
        <v>620</v>
      </c>
      <c r="AI478" s="1030"/>
      <c r="AJ478" s="1030"/>
      <c r="AK478" s="1030">
        <v>31</v>
      </c>
      <c r="AL478" s="1030">
        <f t="shared" si="94"/>
        <v>620</v>
      </c>
      <c r="AM478" s="1031"/>
      <c r="AN478" s="1031"/>
      <c r="AO478" s="1031">
        <v>28</v>
      </c>
      <c r="AP478" s="1031">
        <f t="shared" si="95"/>
        <v>560</v>
      </c>
      <c r="AQ478" s="1026"/>
      <c r="AR478" s="1026"/>
      <c r="AS478" s="1026">
        <f t="shared" si="82"/>
        <v>-45</v>
      </c>
      <c r="AT478" s="1026">
        <f t="shared" si="96"/>
        <v>-900</v>
      </c>
      <c r="AU478" s="1032"/>
      <c r="AV478" s="1032"/>
      <c r="AW478" s="1032">
        <f t="shared" si="83"/>
        <v>0</v>
      </c>
      <c r="AX478" s="1032">
        <f t="shared" si="97"/>
        <v>0</v>
      </c>
      <c r="AY478" s="1033"/>
      <c r="AZ478" s="1033"/>
      <c r="BA478" s="1033">
        <f t="shared" si="84"/>
        <v>0</v>
      </c>
      <c r="BB478" s="1033">
        <f t="shared" si="98"/>
        <v>0</v>
      </c>
      <c r="BC478" s="1034"/>
      <c r="BD478" s="1034"/>
      <c r="BE478" s="1034"/>
      <c r="BF478" s="1034"/>
      <c r="BG478" s="1424"/>
      <c r="BH478" s="1424"/>
    </row>
    <row r="479" spans="2:60" ht="15.75" customHeight="1" x14ac:dyDescent="0.25">
      <c r="B479" s="1014"/>
      <c r="C479" s="1014"/>
      <c r="D479" s="1015"/>
      <c r="E479" s="1016"/>
      <c r="F479" s="1017"/>
      <c r="G479" s="1017"/>
      <c r="H479" s="1019"/>
      <c r="I479" s="1020"/>
      <c r="J479" s="1021"/>
      <c r="K479" s="1022"/>
      <c r="L479" s="1022"/>
      <c r="M479" s="1023">
        <f t="shared" si="78"/>
        <v>0</v>
      </c>
      <c r="N479" s="1022">
        <f t="shared" si="88"/>
        <v>0</v>
      </c>
      <c r="O479" s="1025"/>
      <c r="P479" s="1025"/>
      <c r="Q479" s="1025">
        <f t="shared" si="79"/>
        <v>0</v>
      </c>
      <c r="R479" s="1025">
        <f t="shared" si="89"/>
        <v>0</v>
      </c>
      <c r="S479" s="1026"/>
      <c r="T479" s="1026"/>
      <c r="U479" s="1026">
        <f t="shared" si="86"/>
        <v>0</v>
      </c>
      <c r="V479" s="1026">
        <f t="shared" si="90"/>
        <v>0</v>
      </c>
      <c r="W479" s="1027"/>
      <c r="X479" s="1027"/>
      <c r="Y479" s="1027">
        <f t="shared" si="80"/>
        <v>0</v>
      </c>
      <c r="Z479" s="1027">
        <f t="shared" si="91"/>
        <v>0</v>
      </c>
      <c r="AA479" s="1028"/>
      <c r="AB479" s="1028"/>
      <c r="AC479" s="1028">
        <f t="shared" si="81"/>
        <v>-45</v>
      </c>
      <c r="AD479" s="1028">
        <f t="shared" si="92"/>
        <v>-900</v>
      </c>
      <c r="AE479" s="1029"/>
      <c r="AF479" s="1029"/>
      <c r="AG479" s="1029">
        <v>31</v>
      </c>
      <c r="AH479" s="1029">
        <f t="shared" si="93"/>
        <v>620</v>
      </c>
      <c r="AI479" s="1030"/>
      <c r="AJ479" s="1030"/>
      <c r="AK479" s="1030">
        <v>31</v>
      </c>
      <c r="AL479" s="1030">
        <f t="shared" si="94"/>
        <v>620</v>
      </c>
      <c r="AM479" s="1031"/>
      <c r="AN479" s="1031"/>
      <c r="AO479" s="1031">
        <v>28</v>
      </c>
      <c r="AP479" s="1031">
        <f t="shared" si="95"/>
        <v>560</v>
      </c>
      <c r="AQ479" s="1026"/>
      <c r="AR479" s="1026"/>
      <c r="AS479" s="1026">
        <f t="shared" si="82"/>
        <v>-45</v>
      </c>
      <c r="AT479" s="1026">
        <f t="shared" si="96"/>
        <v>-900</v>
      </c>
      <c r="AU479" s="1032"/>
      <c r="AV479" s="1032"/>
      <c r="AW479" s="1032">
        <f t="shared" si="83"/>
        <v>0</v>
      </c>
      <c r="AX479" s="1032">
        <f t="shared" si="97"/>
        <v>0</v>
      </c>
      <c r="AY479" s="1033"/>
      <c r="AZ479" s="1033"/>
      <c r="BA479" s="1033">
        <f t="shared" si="84"/>
        <v>0</v>
      </c>
      <c r="BB479" s="1033">
        <f t="shared" si="98"/>
        <v>0</v>
      </c>
      <c r="BC479" s="1034"/>
      <c r="BD479" s="1034"/>
      <c r="BE479" s="1034"/>
      <c r="BF479" s="1034"/>
      <c r="BG479" s="1424"/>
      <c r="BH479" s="1424"/>
    </row>
    <row r="480" spans="2:60" ht="15.75" customHeight="1" x14ac:dyDescent="0.25">
      <c r="B480" s="1038"/>
      <c r="C480" s="1038"/>
      <c r="D480" s="1015"/>
      <c r="E480" s="1016"/>
      <c r="F480" s="1017"/>
      <c r="G480" s="1017"/>
      <c r="H480" s="1019"/>
      <c r="I480" s="1020"/>
      <c r="J480" s="1021"/>
      <c r="K480" s="1022"/>
      <c r="L480" s="1022"/>
      <c r="M480" s="1023">
        <f t="shared" si="78"/>
        <v>0</v>
      </c>
      <c r="N480" s="1022">
        <f t="shared" si="88"/>
        <v>0</v>
      </c>
      <c r="O480" s="1025"/>
      <c r="P480" s="1025"/>
      <c r="Q480" s="1025">
        <f t="shared" si="79"/>
        <v>0</v>
      </c>
      <c r="R480" s="1025">
        <f t="shared" si="89"/>
        <v>0</v>
      </c>
      <c r="S480" s="1026"/>
      <c r="T480" s="1026"/>
      <c r="U480" s="1026">
        <f t="shared" si="86"/>
        <v>0</v>
      </c>
      <c r="V480" s="1026">
        <f t="shared" si="90"/>
        <v>0</v>
      </c>
      <c r="W480" s="1027"/>
      <c r="X480" s="1027"/>
      <c r="Y480" s="1027">
        <f t="shared" si="80"/>
        <v>0</v>
      </c>
      <c r="Z480" s="1027">
        <f t="shared" si="91"/>
        <v>0</v>
      </c>
      <c r="AA480" s="1028"/>
      <c r="AB480" s="1028"/>
      <c r="AC480" s="1028">
        <f t="shared" si="81"/>
        <v>-45</v>
      </c>
      <c r="AD480" s="1028">
        <f t="shared" si="92"/>
        <v>-900</v>
      </c>
      <c r="AE480" s="1029"/>
      <c r="AF480" s="1029"/>
      <c r="AG480" s="1029">
        <v>31</v>
      </c>
      <c r="AH480" s="1029">
        <f t="shared" si="93"/>
        <v>620</v>
      </c>
      <c r="AI480" s="1030"/>
      <c r="AJ480" s="1030"/>
      <c r="AK480" s="1030">
        <v>31</v>
      </c>
      <c r="AL480" s="1030">
        <f t="shared" si="94"/>
        <v>620</v>
      </c>
      <c r="AM480" s="1031"/>
      <c r="AN480" s="1031"/>
      <c r="AO480" s="1031">
        <v>28</v>
      </c>
      <c r="AP480" s="1031">
        <f t="shared" si="95"/>
        <v>560</v>
      </c>
      <c r="AQ480" s="1026"/>
      <c r="AR480" s="1026"/>
      <c r="AS480" s="1026">
        <f t="shared" si="82"/>
        <v>-45</v>
      </c>
      <c r="AT480" s="1026">
        <f t="shared" si="96"/>
        <v>-900</v>
      </c>
      <c r="AU480" s="1032"/>
      <c r="AV480" s="1032"/>
      <c r="AW480" s="1032">
        <f t="shared" si="83"/>
        <v>0</v>
      </c>
      <c r="AX480" s="1032">
        <f t="shared" si="97"/>
        <v>0</v>
      </c>
      <c r="AY480" s="1033"/>
      <c r="AZ480" s="1033"/>
      <c r="BA480" s="1033">
        <f t="shared" si="84"/>
        <v>0</v>
      </c>
      <c r="BB480" s="1033">
        <f t="shared" si="98"/>
        <v>0</v>
      </c>
      <c r="BC480" s="1034"/>
      <c r="BD480" s="1034"/>
      <c r="BE480" s="1034"/>
      <c r="BF480" s="1034"/>
      <c r="BG480" s="1424"/>
      <c r="BH480" s="1424"/>
    </row>
    <row r="481" spans="2:60" ht="15.75" customHeight="1" x14ac:dyDescent="0.25">
      <c r="B481" s="1014"/>
      <c r="C481" s="1014"/>
      <c r="D481" s="1015"/>
      <c r="E481" s="1016"/>
      <c r="F481" s="1017"/>
      <c r="G481" s="1017"/>
      <c r="H481" s="1019"/>
      <c r="I481" s="1020"/>
      <c r="J481" s="1021"/>
      <c r="K481" s="1022"/>
      <c r="L481" s="1022"/>
      <c r="M481" s="1023">
        <f t="shared" si="78"/>
        <v>0</v>
      </c>
      <c r="N481" s="1022">
        <f t="shared" si="88"/>
        <v>0</v>
      </c>
      <c r="O481" s="1025"/>
      <c r="P481" s="1025"/>
      <c r="Q481" s="1025">
        <f t="shared" si="79"/>
        <v>0</v>
      </c>
      <c r="R481" s="1025">
        <f t="shared" si="89"/>
        <v>0</v>
      </c>
      <c r="S481" s="1026"/>
      <c r="T481" s="1026"/>
      <c r="U481" s="1026">
        <f t="shared" si="86"/>
        <v>0</v>
      </c>
      <c r="V481" s="1026">
        <f t="shared" si="90"/>
        <v>0</v>
      </c>
      <c r="W481" s="1027"/>
      <c r="X481" s="1027"/>
      <c r="Y481" s="1027">
        <f t="shared" si="80"/>
        <v>0</v>
      </c>
      <c r="Z481" s="1027">
        <f t="shared" si="91"/>
        <v>0</v>
      </c>
      <c r="AA481" s="1028"/>
      <c r="AB481" s="1028"/>
      <c r="AC481" s="1028">
        <f t="shared" si="81"/>
        <v>-45</v>
      </c>
      <c r="AD481" s="1028">
        <f t="shared" si="92"/>
        <v>-900</v>
      </c>
      <c r="AE481" s="1029"/>
      <c r="AF481" s="1029"/>
      <c r="AG481" s="1029">
        <v>31</v>
      </c>
      <c r="AH481" s="1029">
        <f t="shared" si="93"/>
        <v>620</v>
      </c>
      <c r="AI481" s="1030"/>
      <c r="AJ481" s="1030"/>
      <c r="AK481" s="1030">
        <v>31</v>
      </c>
      <c r="AL481" s="1030">
        <f t="shared" si="94"/>
        <v>620</v>
      </c>
      <c r="AM481" s="1031"/>
      <c r="AN481" s="1031"/>
      <c r="AO481" s="1031">
        <v>28</v>
      </c>
      <c r="AP481" s="1031">
        <f t="shared" si="95"/>
        <v>560</v>
      </c>
      <c r="AQ481" s="1026"/>
      <c r="AR481" s="1026"/>
      <c r="AS481" s="1026">
        <f t="shared" si="82"/>
        <v>-45</v>
      </c>
      <c r="AT481" s="1026">
        <f t="shared" si="96"/>
        <v>-900</v>
      </c>
      <c r="AU481" s="1032"/>
      <c r="AV481" s="1032"/>
      <c r="AW481" s="1032">
        <f t="shared" si="83"/>
        <v>0</v>
      </c>
      <c r="AX481" s="1032">
        <f t="shared" si="97"/>
        <v>0</v>
      </c>
      <c r="AY481" s="1033"/>
      <c r="AZ481" s="1033"/>
      <c r="BA481" s="1033">
        <f t="shared" si="84"/>
        <v>0</v>
      </c>
      <c r="BB481" s="1033">
        <f t="shared" si="98"/>
        <v>0</v>
      </c>
      <c r="BC481" s="1034"/>
      <c r="BD481" s="1034"/>
      <c r="BE481" s="1034"/>
      <c r="BF481" s="1034"/>
      <c r="BG481" s="1424"/>
      <c r="BH481" s="1424"/>
    </row>
    <row r="482" spans="2:60" ht="15.75" customHeight="1" x14ac:dyDescent="0.25">
      <c r="B482" s="1038"/>
      <c r="C482" s="1038"/>
      <c r="D482" s="1015"/>
      <c r="E482" s="1016"/>
      <c r="F482" s="1017"/>
      <c r="G482" s="1017"/>
      <c r="H482" s="1019"/>
      <c r="I482" s="1020"/>
      <c r="J482" s="1021"/>
      <c r="K482" s="1022"/>
      <c r="L482" s="1022"/>
      <c r="M482" s="1023">
        <f t="shared" si="78"/>
        <v>0</v>
      </c>
      <c r="N482" s="1022">
        <f t="shared" si="88"/>
        <v>0</v>
      </c>
      <c r="O482" s="1025"/>
      <c r="P482" s="1025"/>
      <c r="Q482" s="1025">
        <f t="shared" si="79"/>
        <v>0</v>
      </c>
      <c r="R482" s="1025">
        <f t="shared" si="89"/>
        <v>0</v>
      </c>
      <c r="S482" s="1026"/>
      <c r="T482" s="1026"/>
      <c r="U482" s="1026">
        <f t="shared" si="86"/>
        <v>0</v>
      </c>
      <c r="V482" s="1026">
        <f t="shared" si="90"/>
        <v>0</v>
      </c>
      <c r="W482" s="1027"/>
      <c r="X482" s="1027"/>
      <c r="Y482" s="1027">
        <f t="shared" si="80"/>
        <v>0</v>
      </c>
      <c r="Z482" s="1027">
        <f t="shared" si="91"/>
        <v>0</v>
      </c>
      <c r="AA482" s="1028"/>
      <c r="AB482" s="1028"/>
      <c r="AC482" s="1028">
        <f t="shared" si="81"/>
        <v>-45</v>
      </c>
      <c r="AD482" s="1028">
        <f t="shared" si="92"/>
        <v>-900</v>
      </c>
      <c r="AE482" s="1029"/>
      <c r="AF482" s="1029"/>
      <c r="AG482" s="1029">
        <v>31</v>
      </c>
      <c r="AH482" s="1029">
        <f t="shared" si="93"/>
        <v>620</v>
      </c>
      <c r="AI482" s="1030"/>
      <c r="AJ482" s="1030"/>
      <c r="AK482" s="1030">
        <v>31</v>
      </c>
      <c r="AL482" s="1030">
        <f t="shared" si="94"/>
        <v>620</v>
      </c>
      <c r="AM482" s="1031"/>
      <c r="AN482" s="1031"/>
      <c r="AO482" s="1031">
        <v>28</v>
      </c>
      <c r="AP482" s="1031">
        <f t="shared" si="95"/>
        <v>560</v>
      </c>
      <c r="AQ482" s="1026"/>
      <c r="AR482" s="1026"/>
      <c r="AS482" s="1026">
        <f t="shared" si="82"/>
        <v>-45</v>
      </c>
      <c r="AT482" s="1026">
        <f t="shared" si="96"/>
        <v>-900</v>
      </c>
      <c r="AU482" s="1032"/>
      <c r="AV482" s="1032"/>
      <c r="AW482" s="1032">
        <f t="shared" si="83"/>
        <v>0</v>
      </c>
      <c r="AX482" s="1032">
        <f t="shared" si="97"/>
        <v>0</v>
      </c>
      <c r="AY482" s="1033"/>
      <c r="AZ482" s="1033"/>
      <c r="BA482" s="1033">
        <f t="shared" si="84"/>
        <v>0</v>
      </c>
      <c r="BB482" s="1033">
        <f t="shared" si="98"/>
        <v>0</v>
      </c>
      <c r="BC482" s="1034"/>
      <c r="BD482" s="1034"/>
      <c r="BE482" s="1034"/>
      <c r="BF482" s="1034"/>
      <c r="BG482" s="1424"/>
      <c r="BH482" s="1424"/>
    </row>
    <row r="483" spans="2:60" ht="15.75" customHeight="1" x14ac:dyDescent="0.25">
      <c r="B483" s="1014"/>
      <c r="C483" s="1014"/>
      <c r="D483" s="1015"/>
      <c r="E483" s="1016"/>
      <c r="F483" s="1017"/>
      <c r="G483" s="1017"/>
      <c r="H483" s="1019"/>
      <c r="I483" s="1020"/>
      <c r="J483" s="1021"/>
      <c r="K483" s="1022"/>
      <c r="L483" s="1022"/>
      <c r="M483" s="1023">
        <f t="shared" si="78"/>
        <v>0</v>
      </c>
      <c r="N483" s="1022">
        <f t="shared" si="88"/>
        <v>0</v>
      </c>
      <c r="O483" s="1025"/>
      <c r="P483" s="1025"/>
      <c r="Q483" s="1025">
        <f t="shared" si="79"/>
        <v>0</v>
      </c>
      <c r="R483" s="1025">
        <f t="shared" si="89"/>
        <v>0</v>
      </c>
      <c r="S483" s="1026"/>
      <c r="T483" s="1026"/>
      <c r="U483" s="1026">
        <f t="shared" si="86"/>
        <v>0</v>
      </c>
      <c r="V483" s="1026">
        <f t="shared" si="90"/>
        <v>0</v>
      </c>
      <c r="W483" s="1027"/>
      <c r="X483" s="1027"/>
      <c r="Y483" s="1027">
        <f t="shared" si="80"/>
        <v>0</v>
      </c>
      <c r="Z483" s="1027">
        <f t="shared" si="91"/>
        <v>0</v>
      </c>
      <c r="AA483" s="1028"/>
      <c r="AB483" s="1028"/>
      <c r="AC483" s="1028">
        <f t="shared" si="81"/>
        <v>-45</v>
      </c>
      <c r="AD483" s="1028">
        <f t="shared" si="92"/>
        <v>-900</v>
      </c>
      <c r="AE483" s="1029"/>
      <c r="AF483" s="1029"/>
      <c r="AG483" s="1029">
        <v>31</v>
      </c>
      <c r="AH483" s="1029">
        <f t="shared" si="93"/>
        <v>620</v>
      </c>
      <c r="AI483" s="1030"/>
      <c r="AJ483" s="1030"/>
      <c r="AK483" s="1030">
        <v>31</v>
      </c>
      <c r="AL483" s="1030">
        <f t="shared" si="94"/>
        <v>620</v>
      </c>
      <c r="AM483" s="1031"/>
      <c r="AN483" s="1031"/>
      <c r="AO483" s="1031">
        <v>28</v>
      </c>
      <c r="AP483" s="1031">
        <f t="shared" si="95"/>
        <v>560</v>
      </c>
      <c r="AQ483" s="1026"/>
      <c r="AR483" s="1026"/>
      <c r="AS483" s="1026">
        <f t="shared" si="82"/>
        <v>-45</v>
      </c>
      <c r="AT483" s="1026">
        <f t="shared" si="96"/>
        <v>-900</v>
      </c>
      <c r="AU483" s="1032"/>
      <c r="AV483" s="1032"/>
      <c r="AW483" s="1032">
        <f t="shared" si="83"/>
        <v>0</v>
      </c>
      <c r="AX483" s="1032">
        <f t="shared" si="97"/>
        <v>0</v>
      </c>
      <c r="AY483" s="1033"/>
      <c r="AZ483" s="1033"/>
      <c r="BA483" s="1033">
        <f t="shared" si="84"/>
        <v>0</v>
      </c>
      <c r="BB483" s="1033">
        <f t="shared" si="98"/>
        <v>0</v>
      </c>
      <c r="BC483" s="1034"/>
      <c r="BD483" s="1034"/>
      <c r="BE483" s="1034"/>
      <c r="BF483" s="1034"/>
      <c r="BG483" s="1424"/>
      <c r="BH483" s="1424"/>
    </row>
    <row r="484" spans="2:60" ht="15.75" customHeight="1" x14ac:dyDescent="0.25">
      <c r="B484" s="1038"/>
      <c r="C484" s="1038"/>
      <c r="D484" s="1015"/>
      <c r="E484" s="1016"/>
      <c r="F484" s="1017"/>
      <c r="G484" s="1017"/>
      <c r="H484" s="1019"/>
      <c r="I484" s="1020"/>
      <c r="J484" s="1021"/>
      <c r="K484" s="1022"/>
      <c r="L484" s="1022"/>
      <c r="M484" s="1023">
        <f t="shared" si="78"/>
        <v>0</v>
      </c>
      <c r="N484" s="1022">
        <f t="shared" si="88"/>
        <v>0</v>
      </c>
      <c r="O484" s="1025"/>
      <c r="P484" s="1025"/>
      <c r="Q484" s="1025">
        <f t="shared" si="79"/>
        <v>0</v>
      </c>
      <c r="R484" s="1025">
        <f t="shared" si="89"/>
        <v>0</v>
      </c>
      <c r="S484" s="1026"/>
      <c r="T484" s="1026"/>
      <c r="U484" s="1026">
        <f t="shared" si="86"/>
        <v>0</v>
      </c>
      <c r="V484" s="1026">
        <f t="shared" si="90"/>
        <v>0</v>
      </c>
      <c r="W484" s="1027"/>
      <c r="X484" s="1027"/>
      <c r="Y484" s="1027">
        <f t="shared" si="80"/>
        <v>0</v>
      </c>
      <c r="Z484" s="1027">
        <f t="shared" si="91"/>
        <v>0</v>
      </c>
      <c r="AA484" s="1028"/>
      <c r="AB484" s="1028"/>
      <c r="AC484" s="1028">
        <f t="shared" si="81"/>
        <v>-45</v>
      </c>
      <c r="AD484" s="1028">
        <f t="shared" si="92"/>
        <v>-900</v>
      </c>
      <c r="AE484" s="1029"/>
      <c r="AF484" s="1029"/>
      <c r="AG484" s="1029">
        <v>31</v>
      </c>
      <c r="AH484" s="1029">
        <f t="shared" si="93"/>
        <v>620</v>
      </c>
      <c r="AI484" s="1030"/>
      <c r="AJ484" s="1030"/>
      <c r="AK484" s="1030">
        <v>31</v>
      </c>
      <c r="AL484" s="1030">
        <f t="shared" si="94"/>
        <v>620</v>
      </c>
      <c r="AM484" s="1031"/>
      <c r="AN484" s="1031"/>
      <c r="AO484" s="1031">
        <v>28</v>
      </c>
      <c r="AP484" s="1031">
        <f t="shared" si="95"/>
        <v>560</v>
      </c>
      <c r="AQ484" s="1026"/>
      <c r="AR484" s="1026"/>
      <c r="AS484" s="1026">
        <f t="shared" si="82"/>
        <v>-45</v>
      </c>
      <c r="AT484" s="1026">
        <f t="shared" si="96"/>
        <v>-900</v>
      </c>
      <c r="AU484" s="1032"/>
      <c r="AV484" s="1032"/>
      <c r="AW484" s="1032">
        <f t="shared" si="83"/>
        <v>0</v>
      </c>
      <c r="AX484" s="1032">
        <f t="shared" si="97"/>
        <v>0</v>
      </c>
      <c r="AY484" s="1033"/>
      <c r="AZ484" s="1033"/>
      <c r="BA484" s="1033">
        <f t="shared" si="84"/>
        <v>0</v>
      </c>
      <c r="BB484" s="1033">
        <f t="shared" si="98"/>
        <v>0</v>
      </c>
      <c r="BC484" s="1034"/>
      <c r="BD484" s="1034"/>
      <c r="BE484" s="1034"/>
      <c r="BF484" s="1034"/>
      <c r="BG484" s="1424"/>
      <c r="BH484" s="1424"/>
    </row>
    <row r="485" spans="2:60" ht="15.75" customHeight="1" x14ac:dyDescent="0.25">
      <c r="B485" s="1014"/>
      <c r="C485" s="1014"/>
      <c r="D485" s="1015"/>
      <c r="E485" s="1016"/>
      <c r="F485" s="1017"/>
      <c r="G485" s="1017"/>
      <c r="H485" s="1019"/>
      <c r="I485" s="1020"/>
      <c r="J485" s="1021"/>
      <c r="K485" s="1022"/>
      <c r="L485" s="1022"/>
      <c r="M485" s="1023">
        <f t="shared" si="78"/>
        <v>0</v>
      </c>
      <c r="N485" s="1022">
        <f t="shared" si="88"/>
        <v>0</v>
      </c>
      <c r="O485" s="1025"/>
      <c r="P485" s="1025"/>
      <c r="Q485" s="1025">
        <f t="shared" si="79"/>
        <v>0</v>
      </c>
      <c r="R485" s="1025">
        <f t="shared" si="89"/>
        <v>0</v>
      </c>
      <c r="S485" s="1026"/>
      <c r="T485" s="1026"/>
      <c r="U485" s="1026">
        <f t="shared" si="86"/>
        <v>0</v>
      </c>
      <c r="V485" s="1026">
        <f t="shared" si="90"/>
        <v>0</v>
      </c>
      <c r="W485" s="1027"/>
      <c r="X485" s="1027"/>
      <c r="Y485" s="1027">
        <f t="shared" si="80"/>
        <v>0</v>
      </c>
      <c r="Z485" s="1027">
        <f t="shared" si="91"/>
        <v>0</v>
      </c>
      <c r="AA485" s="1028"/>
      <c r="AB485" s="1028"/>
      <c r="AC485" s="1028">
        <f t="shared" si="81"/>
        <v>-45</v>
      </c>
      <c r="AD485" s="1028">
        <f t="shared" si="92"/>
        <v>-900</v>
      </c>
      <c r="AE485" s="1029"/>
      <c r="AF485" s="1029"/>
      <c r="AG485" s="1029">
        <v>31</v>
      </c>
      <c r="AH485" s="1029">
        <f t="shared" si="93"/>
        <v>620</v>
      </c>
      <c r="AI485" s="1030"/>
      <c r="AJ485" s="1030"/>
      <c r="AK485" s="1030">
        <v>31</v>
      </c>
      <c r="AL485" s="1030">
        <f t="shared" si="94"/>
        <v>620</v>
      </c>
      <c r="AM485" s="1031"/>
      <c r="AN485" s="1031"/>
      <c r="AO485" s="1031">
        <v>28</v>
      </c>
      <c r="AP485" s="1031">
        <f t="shared" si="95"/>
        <v>560</v>
      </c>
      <c r="AQ485" s="1026"/>
      <c r="AR485" s="1026"/>
      <c r="AS485" s="1026">
        <f t="shared" si="82"/>
        <v>-45</v>
      </c>
      <c r="AT485" s="1026">
        <f t="shared" si="96"/>
        <v>-900</v>
      </c>
      <c r="AU485" s="1032"/>
      <c r="AV485" s="1032"/>
      <c r="AW485" s="1032">
        <f t="shared" si="83"/>
        <v>0</v>
      </c>
      <c r="AX485" s="1032">
        <f t="shared" si="97"/>
        <v>0</v>
      </c>
      <c r="AY485" s="1033"/>
      <c r="AZ485" s="1033"/>
      <c r="BA485" s="1033">
        <f t="shared" si="84"/>
        <v>0</v>
      </c>
      <c r="BB485" s="1033">
        <f t="shared" si="98"/>
        <v>0</v>
      </c>
      <c r="BC485" s="1034"/>
      <c r="BD485" s="1034"/>
      <c r="BE485" s="1034"/>
      <c r="BF485" s="1034"/>
      <c r="BG485" s="1424"/>
      <c r="BH485" s="1424"/>
    </row>
    <row r="486" spans="2:60" ht="15.75" customHeight="1" x14ac:dyDescent="0.25">
      <c r="B486" s="1038"/>
      <c r="C486" s="1038"/>
      <c r="D486" s="1015"/>
      <c r="E486" s="1016"/>
      <c r="F486" s="1017"/>
      <c r="G486" s="1017"/>
      <c r="H486" s="1019"/>
      <c r="I486" s="1020"/>
      <c r="J486" s="1021"/>
      <c r="K486" s="1022"/>
      <c r="L486" s="1022"/>
      <c r="M486" s="1023">
        <f t="shared" si="78"/>
        <v>0</v>
      </c>
      <c r="N486" s="1022">
        <f t="shared" si="88"/>
        <v>0</v>
      </c>
      <c r="O486" s="1025"/>
      <c r="P486" s="1025"/>
      <c r="Q486" s="1025">
        <f t="shared" si="79"/>
        <v>0</v>
      </c>
      <c r="R486" s="1025">
        <f t="shared" si="89"/>
        <v>0</v>
      </c>
      <c r="S486" s="1026"/>
      <c r="T486" s="1026"/>
      <c r="U486" s="1026">
        <f t="shared" si="86"/>
        <v>0</v>
      </c>
      <c r="V486" s="1026">
        <f t="shared" si="90"/>
        <v>0</v>
      </c>
      <c r="W486" s="1027"/>
      <c r="X486" s="1027"/>
      <c r="Y486" s="1027">
        <f t="shared" si="80"/>
        <v>0</v>
      </c>
      <c r="Z486" s="1027">
        <f t="shared" si="91"/>
        <v>0</v>
      </c>
      <c r="AA486" s="1028"/>
      <c r="AB486" s="1028"/>
      <c r="AC486" s="1028">
        <f t="shared" si="81"/>
        <v>-45</v>
      </c>
      <c r="AD486" s="1028">
        <f t="shared" si="92"/>
        <v>-900</v>
      </c>
      <c r="AE486" s="1029"/>
      <c r="AF486" s="1029"/>
      <c r="AG486" s="1029">
        <v>31</v>
      </c>
      <c r="AH486" s="1029">
        <f t="shared" si="93"/>
        <v>620</v>
      </c>
      <c r="AI486" s="1030"/>
      <c r="AJ486" s="1030"/>
      <c r="AK486" s="1030">
        <v>31</v>
      </c>
      <c r="AL486" s="1030">
        <f t="shared" si="94"/>
        <v>620</v>
      </c>
      <c r="AM486" s="1031"/>
      <c r="AN486" s="1031"/>
      <c r="AO486" s="1031">
        <v>28</v>
      </c>
      <c r="AP486" s="1031">
        <f t="shared" si="95"/>
        <v>560</v>
      </c>
      <c r="AQ486" s="1026"/>
      <c r="AR486" s="1026"/>
      <c r="AS486" s="1026">
        <f t="shared" si="82"/>
        <v>-45</v>
      </c>
      <c r="AT486" s="1026">
        <f t="shared" si="96"/>
        <v>-900</v>
      </c>
      <c r="AU486" s="1032"/>
      <c r="AV486" s="1032"/>
      <c r="AW486" s="1032">
        <f t="shared" si="83"/>
        <v>0</v>
      </c>
      <c r="AX486" s="1032">
        <f t="shared" si="97"/>
        <v>0</v>
      </c>
      <c r="AY486" s="1033"/>
      <c r="AZ486" s="1033"/>
      <c r="BA486" s="1033">
        <f t="shared" si="84"/>
        <v>0</v>
      </c>
      <c r="BB486" s="1033">
        <f t="shared" si="98"/>
        <v>0</v>
      </c>
      <c r="BC486" s="1034"/>
      <c r="BD486" s="1034"/>
      <c r="BE486" s="1034"/>
      <c r="BF486" s="1034"/>
      <c r="BG486" s="1424"/>
      <c r="BH486" s="1424"/>
    </row>
    <row r="487" spans="2:60" ht="15.75" customHeight="1" x14ac:dyDescent="0.25">
      <c r="B487" s="1014"/>
      <c r="C487" s="1014"/>
      <c r="D487" s="1015"/>
      <c r="E487" s="1016"/>
      <c r="F487" s="1017"/>
      <c r="G487" s="1017"/>
      <c r="H487" s="1019"/>
      <c r="I487" s="1020"/>
      <c r="J487" s="1021"/>
      <c r="K487" s="1022"/>
      <c r="L487" s="1022"/>
      <c r="M487" s="1023">
        <f t="shared" si="78"/>
        <v>0</v>
      </c>
      <c r="N487" s="1022">
        <f t="shared" si="88"/>
        <v>0</v>
      </c>
      <c r="O487" s="1025"/>
      <c r="P487" s="1025"/>
      <c r="Q487" s="1025">
        <f t="shared" si="79"/>
        <v>0</v>
      </c>
      <c r="R487" s="1025">
        <f t="shared" si="89"/>
        <v>0</v>
      </c>
      <c r="S487" s="1026"/>
      <c r="T487" s="1026"/>
      <c r="U487" s="1026">
        <f t="shared" si="86"/>
        <v>0</v>
      </c>
      <c r="V487" s="1026">
        <f t="shared" si="90"/>
        <v>0</v>
      </c>
      <c r="W487" s="1027"/>
      <c r="X487" s="1027"/>
      <c r="Y487" s="1027">
        <f t="shared" si="80"/>
        <v>0</v>
      </c>
      <c r="Z487" s="1027">
        <f t="shared" si="91"/>
        <v>0</v>
      </c>
      <c r="AA487" s="1028"/>
      <c r="AB487" s="1028"/>
      <c r="AC487" s="1028">
        <f t="shared" si="81"/>
        <v>-45</v>
      </c>
      <c r="AD487" s="1028">
        <f t="shared" si="92"/>
        <v>-900</v>
      </c>
      <c r="AE487" s="1029"/>
      <c r="AF487" s="1029"/>
      <c r="AG487" s="1029">
        <v>31</v>
      </c>
      <c r="AH487" s="1029">
        <f t="shared" si="93"/>
        <v>620</v>
      </c>
      <c r="AI487" s="1030"/>
      <c r="AJ487" s="1030"/>
      <c r="AK487" s="1030">
        <v>31</v>
      </c>
      <c r="AL487" s="1030">
        <f t="shared" si="94"/>
        <v>620</v>
      </c>
      <c r="AM487" s="1031"/>
      <c r="AN487" s="1031"/>
      <c r="AO487" s="1031">
        <v>28</v>
      </c>
      <c r="AP487" s="1031">
        <f t="shared" si="95"/>
        <v>560</v>
      </c>
      <c r="AQ487" s="1026"/>
      <c r="AR487" s="1026"/>
      <c r="AS487" s="1026">
        <f t="shared" si="82"/>
        <v>-45</v>
      </c>
      <c r="AT487" s="1026">
        <f t="shared" si="96"/>
        <v>-900</v>
      </c>
      <c r="AU487" s="1032"/>
      <c r="AV487" s="1032"/>
      <c r="AW487" s="1032">
        <f t="shared" si="83"/>
        <v>0</v>
      </c>
      <c r="AX487" s="1032">
        <f t="shared" si="97"/>
        <v>0</v>
      </c>
      <c r="AY487" s="1033"/>
      <c r="AZ487" s="1033"/>
      <c r="BA487" s="1033">
        <f t="shared" si="84"/>
        <v>0</v>
      </c>
      <c r="BB487" s="1033">
        <f t="shared" si="98"/>
        <v>0</v>
      </c>
      <c r="BC487" s="1034"/>
      <c r="BD487" s="1034"/>
      <c r="BE487" s="1034"/>
      <c r="BF487" s="1034"/>
      <c r="BG487" s="1424"/>
      <c r="BH487" s="1424"/>
    </row>
    <row r="488" spans="2:60" ht="15.75" customHeight="1" x14ac:dyDescent="0.25">
      <c r="B488" s="1038"/>
      <c r="C488" s="1038"/>
      <c r="D488" s="1015"/>
      <c r="E488" s="1016"/>
      <c r="F488" s="1017"/>
      <c r="G488" s="1017"/>
      <c r="H488" s="1019"/>
      <c r="I488" s="1020"/>
      <c r="J488" s="1021"/>
      <c r="K488" s="1022"/>
      <c r="L488" s="1022"/>
      <c r="M488" s="1023">
        <f t="shared" si="78"/>
        <v>0</v>
      </c>
      <c r="N488" s="1022">
        <f t="shared" si="88"/>
        <v>0</v>
      </c>
      <c r="O488" s="1025"/>
      <c r="P488" s="1025"/>
      <c r="Q488" s="1025">
        <f t="shared" si="79"/>
        <v>0</v>
      </c>
      <c r="R488" s="1025">
        <f t="shared" si="89"/>
        <v>0</v>
      </c>
      <c r="S488" s="1026"/>
      <c r="T488" s="1026"/>
      <c r="U488" s="1026">
        <f t="shared" si="86"/>
        <v>0</v>
      </c>
      <c r="V488" s="1026">
        <f t="shared" si="90"/>
        <v>0</v>
      </c>
      <c r="W488" s="1027"/>
      <c r="X488" s="1027"/>
      <c r="Y488" s="1027">
        <f t="shared" si="80"/>
        <v>0</v>
      </c>
      <c r="Z488" s="1027">
        <f t="shared" si="91"/>
        <v>0</v>
      </c>
      <c r="AA488" s="1028"/>
      <c r="AB488" s="1028"/>
      <c r="AC488" s="1028">
        <f t="shared" si="81"/>
        <v>-45</v>
      </c>
      <c r="AD488" s="1028">
        <f t="shared" si="92"/>
        <v>-900</v>
      </c>
      <c r="AE488" s="1029"/>
      <c r="AF488" s="1029"/>
      <c r="AG488" s="1029">
        <v>31</v>
      </c>
      <c r="AH488" s="1029">
        <f t="shared" si="93"/>
        <v>620</v>
      </c>
      <c r="AI488" s="1030"/>
      <c r="AJ488" s="1030"/>
      <c r="AK488" s="1030">
        <v>31</v>
      </c>
      <c r="AL488" s="1030">
        <f t="shared" si="94"/>
        <v>620</v>
      </c>
      <c r="AM488" s="1031"/>
      <c r="AN488" s="1031"/>
      <c r="AO488" s="1031">
        <v>28</v>
      </c>
      <c r="AP488" s="1031">
        <f t="shared" si="95"/>
        <v>560</v>
      </c>
      <c r="AQ488" s="1026"/>
      <c r="AR488" s="1026"/>
      <c r="AS488" s="1026">
        <f t="shared" si="82"/>
        <v>-45</v>
      </c>
      <c r="AT488" s="1026">
        <f t="shared" si="96"/>
        <v>-900</v>
      </c>
      <c r="AU488" s="1032"/>
      <c r="AV488" s="1032"/>
      <c r="AW488" s="1032">
        <f t="shared" si="83"/>
        <v>0</v>
      </c>
      <c r="AX488" s="1032">
        <f t="shared" si="97"/>
        <v>0</v>
      </c>
      <c r="AY488" s="1033"/>
      <c r="AZ488" s="1033"/>
      <c r="BA488" s="1033">
        <f t="shared" si="84"/>
        <v>0</v>
      </c>
      <c r="BB488" s="1033">
        <f t="shared" si="98"/>
        <v>0</v>
      </c>
      <c r="BC488" s="1034"/>
      <c r="BD488" s="1034"/>
      <c r="BE488" s="1034"/>
      <c r="BF488" s="1034"/>
      <c r="BG488" s="1424"/>
      <c r="BH488" s="1424"/>
    </row>
    <row r="489" spans="2:60" ht="15.75" customHeight="1" x14ac:dyDescent="0.25">
      <c r="B489" s="1014"/>
      <c r="C489" s="1014"/>
      <c r="D489" s="1015"/>
      <c r="E489" s="1016"/>
      <c r="F489" s="1017"/>
      <c r="G489" s="1017"/>
      <c r="H489" s="1019"/>
      <c r="I489" s="1020"/>
      <c r="J489" s="1021"/>
      <c r="K489" s="1022"/>
      <c r="L489" s="1022"/>
      <c r="M489" s="1023">
        <f t="shared" si="78"/>
        <v>0</v>
      </c>
      <c r="N489" s="1022">
        <f t="shared" si="88"/>
        <v>0</v>
      </c>
      <c r="O489" s="1025"/>
      <c r="P489" s="1025"/>
      <c r="Q489" s="1025">
        <f t="shared" si="79"/>
        <v>0</v>
      </c>
      <c r="R489" s="1025">
        <f t="shared" si="89"/>
        <v>0</v>
      </c>
      <c r="S489" s="1026"/>
      <c r="T489" s="1026"/>
      <c r="U489" s="1026">
        <f t="shared" si="86"/>
        <v>0</v>
      </c>
      <c r="V489" s="1026">
        <f t="shared" si="90"/>
        <v>0</v>
      </c>
      <c r="W489" s="1027"/>
      <c r="X489" s="1027"/>
      <c r="Y489" s="1027">
        <f t="shared" si="80"/>
        <v>0</v>
      </c>
      <c r="Z489" s="1027">
        <f t="shared" si="91"/>
        <v>0</v>
      </c>
      <c r="AA489" s="1028"/>
      <c r="AB489" s="1028"/>
      <c r="AC489" s="1028">
        <f t="shared" si="81"/>
        <v>-45</v>
      </c>
      <c r="AD489" s="1028">
        <f t="shared" si="92"/>
        <v>-900</v>
      </c>
      <c r="AE489" s="1029"/>
      <c r="AF489" s="1029"/>
      <c r="AG489" s="1029">
        <v>31</v>
      </c>
      <c r="AH489" s="1029">
        <f t="shared" si="93"/>
        <v>620</v>
      </c>
      <c r="AI489" s="1030"/>
      <c r="AJ489" s="1030"/>
      <c r="AK489" s="1030">
        <v>31</v>
      </c>
      <c r="AL489" s="1030">
        <f t="shared" si="94"/>
        <v>620</v>
      </c>
      <c r="AM489" s="1031"/>
      <c r="AN489" s="1031"/>
      <c r="AO489" s="1031">
        <v>28</v>
      </c>
      <c r="AP489" s="1031">
        <f t="shared" si="95"/>
        <v>560</v>
      </c>
      <c r="AQ489" s="1026"/>
      <c r="AR489" s="1026"/>
      <c r="AS489" s="1026">
        <f t="shared" si="82"/>
        <v>-45</v>
      </c>
      <c r="AT489" s="1026">
        <f t="shared" si="96"/>
        <v>-900</v>
      </c>
      <c r="AU489" s="1032"/>
      <c r="AV489" s="1032"/>
      <c r="AW489" s="1032">
        <f t="shared" si="83"/>
        <v>0</v>
      </c>
      <c r="AX489" s="1032">
        <f t="shared" si="97"/>
        <v>0</v>
      </c>
      <c r="AY489" s="1033"/>
      <c r="AZ489" s="1033"/>
      <c r="BA489" s="1033">
        <f t="shared" si="84"/>
        <v>0</v>
      </c>
      <c r="BB489" s="1033">
        <f t="shared" si="98"/>
        <v>0</v>
      </c>
      <c r="BC489" s="1034"/>
      <c r="BD489" s="1034"/>
      <c r="BE489" s="1034"/>
      <c r="BF489" s="1034"/>
      <c r="BG489" s="1424"/>
      <c r="BH489" s="1424"/>
    </row>
    <row r="490" spans="2:60" ht="15.75" customHeight="1" x14ac:dyDescent="0.25">
      <c r="B490" s="1038"/>
      <c r="C490" s="1038"/>
      <c r="D490" s="1015"/>
      <c r="E490" s="1016"/>
      <c r="F490" s="1017"/>
      <c r="G490" s="1017"/>
      <c r="H490" s="1019"/>
      <c r="I490" s="1020"/>
      <c r="J490" s="1021"/>
      <c r="K490" s="1022"/>
      <c r="L490" s="1022"/>
      <c r="M490" s="1023">
        <f t="shared" si="78"/>
        <v>0</v>
      </c>
      <c r="N490" s="1022">
        <f t="shared" si="88"/>
        <v>0</v>
      </c>
      <c r="O490" s="1025"/>
      <c r="P490" s="1025"/>
      <c r="Q490" s="1025">
        <f t="shared" si="79"/>
        <v>0</v>
      </c>
      <c r="R490" s="1025">
        <f t="shared" si="89"/>
        <v>0</v>
      </c>
      <c r="S490" s="1026"/>
      <c r="T490" s="1026"/>
      <c r="U490" s="1026">
        <f t="shared" si="86"/>
        <v>0</v>
      </c>
      <c r="V490" s="1026">
        <f t="shared" si="90"/>
        <v>0</v>
      </c>
      <c r="W490" s="1027"/>
      <c r="X490" s="1027"/>
      <c r="Y490" s="1027">
        <f t="shared" si="80"/>
        <v>0</v>
      </c>
      <c r="Z490" s="1027">
        <f t="shared" si="91"/>
        <v>0</v>
      </c>
      <c r="AA490" s="1028"/>
      <c r="AB490" s="1028"/>
      <c r="AC490" s="1028">
        <f t="shared" si="81"/>
        <v>-45</v>
      </c>
      <c r="AD490" s="1028">
        <f t="shared" si="92"/>
        <v>-900</v>
      </c>
      <c r="AE490" s="1029"/>
      <c r="AF490" s="1029"/>
      <c r="AG490" s="1029">
        <v>31</v>
      </c>
      <c r="AH490" s="1029">
        <f t="shared" si="93"/>
        <v>620</v>
      </c>
      <c r="AI490" s="1030"/>
      <c r="AJ490" s="1030"/>
      <c r="AK490" s="1030">
        <v>31</v>
      </c>
      <c r="AL490" s="1030">
        <f t="shared" si="94"/>
        <v>620</v>
      </c>
      <c r="AM490" s="1031"/>
      <c r="AN490" s="1031"/>
      <c r="AO490" s="1031">
        <v>28</v>
      </c>
      <c r="AP490" s="1031">
        <f t="shared" si="95"/>
        <v>560</v>
      </c>
      <c r="AQ490" s="1026"/>
      <c r="AR490" s="1026"/>
      <c r="AS490" s="1026">
        <f t="shared" si="82"/>
        <v>-45</v>
      </c>
      <c r="AT490" s="1026">
        <f t="shared" si="96"/>
        <v>-900</v>
      </c>
      <c r="AU490" s="1032"/>
      <c r="AV490" s="1032"/>
      <c r="AW490" s="1032">
        <f t="shared" si="83"/>
        <v>0</v>
      </c>
      <c r="AX490" s="1032">
        <f t="shared" si="97"/>
        <v>0</v>
      </c>
      <c r="AY490" s="1033"/>
      <c r="AZ490" s="1033"/>
      <c r="BA490" s="1033">
        <f t="shared" si="84"/>
        <v>0</v>
      </c>
      <c r="BB490" s="1033">
        <f t="shared" si="98"/>
        <v>0</v>
      </c>
      <c r="BC490" s="1034"/>
      <c r="BD490" s="1034"/>
      <c r="BE490" s="1034"/>
      <c r="BF490" s="1034"/>
      <c r="BG490" s="1424"/>
      <c r="BH490" s="1424"/>
    </row>
    <row r="491" spans="2:60" ht="15.75" customHeight="1" x14ac:dyDescent="0.25">
      <c r="B491" s="1014"/>
      <c r="C491" s="1014"/>
      <c r="D491" s="1015"/>
      <c r="E491" s="1016"/>
      <c r="F491" s="1017"/>
      <c r="G491" s="1017"/>
      <c r="H491" s="1019"/>
      <c r="I491" s="1020"/>
      <c r="J491" s="1021"/>
      <c r="K491" s="1022"/>
      <c r="L491" s="1022"/>
      <c r="M491" s="1023">
        <f t="shared" si="78"/>
        <v>0</v>
      </c>
      <c r="N491" s="1022">
        <f t="shared" si="88"/>
        <v>0</v>
      </c>
      <c r="O491" s="1025"/>
      <c r="P491" s="1025"/>
      <c r="Q491" s="1025">
        <f t="shared" si="79"/>
        <v>0</v>
      </c>
      <c r="R491" s="1025">
        <f t="shared" si="89"/>
        <v>0</v>
      </c>
      <c r="S491" s="1026"/>
      <c r="T491" s="1026"/>
      <c r="U491" s="1026">
        <f t="shared" si="86"/>
        <v>0</v>
      </c>
      <c r="V491" s="1026">
        <f t="shared" si="90"/>
        <v>0</v>
      </c>
      <c r="W491" s="1027"/>
      <c r="X491" s="1027"/>
      <c r="Y491" s="1027">
        <f t="shared" si="80"/>
        <v>0</v>
      </c>
      <c r="Z491" s="1027">
        <f t="shared" si="91"/>
        <v>0</v>
      </c>
      <c r="AA491" s="1028"/>
      <c r="AB491" s="1028"/>
      <c r="AC491" s="1028">
        <f t="shared" si="81"/>
        <v>-45</v>
      </c>
      <c r="AD491" s="1028">
        <f t="shared" si="92"/>
        <v>-900</v>
      </c>
      <c r="AE491" s="1029"/>
      <c r="AF491" s="1029"/>
      <c r="AG491" s="1029">
        <v>31</v>
      </c>
      <c r="AH491" s="1029">
        <f t="shared" si="93"/>
        <v>620</v>
      </c>
      <c r="AI491" s="1030"/>
      <c r="AJ491" s="1030"/>
      <c r="AK491" s="1030">
        <v>31</v>
      </c>
      <c r="AL491" s="1030">
        <f t="shared" si="94"/>
        <v>620</v>
      </c>
      <c r="AM491" s="1031"/>
      <c r="AN491" s="1031"/>
      <c r="AO491" s="1031">
        <v>28</v>
      </c>
      <c r="AP491" s="1031">
        <f t="shared" si="95"/>
        <v>560</v>
      </c>
      <c r="AQ491" s="1026"/>
      <c r="AR491" s="1026"/>
      <c r="AS491" s="1026">
        <f t="shared" si="82"/>
        <v>-45</v>
      </c>
      <c r="AT491" s="1026">
        <f t="shared" si="96"/>
        <v>-900</v>
      </c>
      <c r="AU491" s="1032"/>
      <c r="AV491" s="1032"/>
      <c r="AW491" s="1032">
        <f t="shared" si="83"/>
        <v>0</v>
      </c>
      <c r="AX491" s="1032">
        <f t="shared" si="97"/>
        <v>0</v>
      </c>
      <c r="AY491" s="1033"/>
      <c r="AZ491" s="1033"/>
      <c r="BA491" s="1033">
        <f t="shared" si="84"/>
        <v>0</v>
      </c>
      <c r="BB491" s="1033">
        <f t="shared" si="98"/>
        <v>0</v>
      </c>
      <c r="BC491" s="1034"/>
      <c r="BD491" s="1034"/>
      <c r="BE491" s="1034"/>
      <c r="BF491" s="1034"/>
      <c r="BG491" s="1424"/>
      <c r="BH491" s="1424"/>
    </row>
    <row r="492" spans="2:60" ht="15.75" customHeight="1" x14ac:dyDescent="0.25">
      <c r="B492" s="1038"/>
      <c r="C492" s="1038"/>
      <c r="D492" s="1015"/>
      <c r="E492" s="1016"/>
      <c r="F492" s="1017"/>
      <c r="G492" s="1017"/>
      <c r="H492" s="1019"/>
      <c r="I492" s="1020"/>
      <c r="J492" s="1021"/>
      <c r="K492" s="1022"/>
      <c r="L492" s="1022"/>
      <c r="M492" s="1023">
        <f t="shared" si="78"/>
        <v>0</v>
      </c>
      <c r="N492" s="1022">
        <f t="shared" si="88"/>
        <v>0</v>
      </c>
      <c r="O492" s="1025"/>
      <c r="P492" s="1025"/>
      <c r="Q492" s="1025">
        <f t="shared" si="79"/>
        <v>0</v>
      </c>
      <c r="R492" s="1025">
        <f t="shared" si="89"/>
        <v>0</v>
      </c>
      <c r="S492" s="1026"/>
      <c r="T492" s="1026"/>
      <c r="U492" s="1026">
        <f t="shared" si="86"/>
        <v>0</v>
      </c>
      <c r="V492" s="1026">
        <f t="shared" si="90"/>
        <v>0</v>
      </c>
      <c r="W492" s="1027"/>
      <c r="X492" s="1027"/>
      <c r="Y492" s="1027">
        <f t="shared" si="80"/>
        <v>0</v>
      </c>
      <c r="Z492" s="1027">
        <f t="shared" si="91"/>
        <v>0</v>
      </c>
      <c r="AA492" s="1028"/>
      <c r="AB492" s="1028"/>
      <c r="AC492" s="1028">
        <f t="shared" si="81"/>
        <v>-45</v>
      </c>
      <c r="AD492" s="1028">
        <f t="shared" si="92"/>
        <v>-900</v>
      </c>
      <c r="AE492" s="1029"/>
      <c r="AF492" s="1029"/>
      <c r="AG492" s="1029">
        <v>31</v>
      </c>
      <c r="AH492" s="1029">
        <f t="shared" si="93"/>
        <v>620</v>
      </c>
      <c r="AI492" s="1030"/>
      <c r="AJ492" s="1030"/>
      <c r="AK492" s="1030">
        <v>31</v>
      </c>
      <c r="AL492" s="1030">
        <f t="shared" si="94"/>
        <v>620</v>
      </c>
      <c r="AM492" s="1031"/>
      <c r="AN492" s="1031"/>
      <c r="AO492" s="1031">
        <v>28</v>
      </c>
      <c r="AP492" s="1031">
        <f t="shared" si="95"/>
        <v>560</v>
      </c>
      <c r="AQ492" s="1026"/>
      <c r="AR492" s="1026"/>
      <c r="AS492" s="1026">
        <f t="shared" si="82"/>
        <v>-45</v>
      </c>
      <c r="AT492" s="1026">
        <f t="shared" si="96"/>
        <v>-900</v>
      </c>
      <c r="AU492" s="1032"/>
      <c r="AV492" s="1032"/>
      <c r="AW492" s="1032">
        <f t="shared" si="83"/>
        <v>0</v>
      </c>
      <c r="AX492" s="1032">
        <f t="shared" si="97"/>
        <v>0</v>
      </c>
      <c r="AY492" s="1033"/>
      <c r="AZ492" s="1033"/>
      <c r="BA492" s="1033">
        <f t="shared" si="84"/>
        <v>0</v>
      </c>
      <c r="BB492" s="1033">
        <f t="shared" si="98"/>
        <v>0</v>
      </c>
      <c r="BC492" s="1034"/>
      <c r="BD492" s="1034"/>
      <c r="BE492" s="1034"/>
      <c r="BF492" s="1034"/>
      <c r="BG492" s="1424"/>
      <c r="BH492" s="1424"/>
    </row>
    <row r="493" spans="2:60" ht="15.75" customHeight="1" x14ac:dyDescent="0.25">
      <c r="B493" s="1014"/>
      <c r="C493" s="1014"/>
      <c r="D493" s="1015"/>
      <c r="E493" s="1016"/>
      <c r="F493" s="1017"/>
      <c r="G493" s="1017"/>
      <c r="H493" s="1019"/>
      <c r="I493" s="1020"/>
      <c r="J493" s="1021"/>
      <c r="K493" s="1022"/>
      <c r="L493" s="1022"/>
      <c r="M493" s="1023">
        <f t="shared" si="78"/>
        <v>0</v>
      </c>
      <c r="N493" s="1022">
        <f t="shared" si="88"/>
        <v>0</v>
      </c>
      <c r="O493" s="1025"/>
      <c r="P493" s="1025"/>
      <c r="Q493" s="1025">
        <f t="shared" si="79"/>
        <v>0</v>
      </c>
      <c r="R493" s="1025">
        <f t="shared" si="89"/>
        <v>0</v>
      </c>
      <c r="S493" s="1026"/>
      <c r="T493" s="1026"/>
      <c r="U493" s="1026">
        <f t="shared" si="86"/>
        <v>0</v>
      </c>
      <c r="V493" s="1026">
        <f t="shared" si="90"/>
        <v>0</v>
      </c>
      <c r="W493" s="1027"/>
      <c r="X493" s="1027"/>
      <c r="Y493" s="1027">
        <f t="shared" si="80"/>
        <v>0</v>
      </c>
      <c r="Z493" s="1027">
        <f t="shared" si="91"/>
        <v>0</v>
      </c>
      <c r="AA493" s="1028"/>
      <c r="AB493" s="1028"/>
      <c r="AC493" s="1028">
        <f t="shared" si="81"/>
        <v>-45</v>
      </c>
      <c r="AD493" s="1028">
        <f t="shared" si="92"/>
        <v>-900</v>
      </c>
      <c r="AE493" s="1029"/>
      <c r="AF493" s="1029"/>
      <c r="AG493" s="1029">
        <v>31</v>
      </c>
      <c r="AH493" s="1029">
        <f t="shared" si="93"/>
        <v>620</v>
      </c>
      <c r="AI493" s="1030"/>
      <c r="AJ493" s="1030"/>
      <c r="AK493" s="1030">
        <v>31</v>
      </c>
      <c r="AL493" s="1030">
        <f t="shared" si="94"/>
        <v>620</v>
      </c>
      <c r="AM493" s="1031"/>
      <c r="AN493" s="1031"/>
      <c r="AO493" s="1031">
        <v>28</v>
      </c>
      <c r="AP493" s="1031">
        <f t="shared" si="95"/>
        <v>560</v>
      </c>
      <c r="AQ493" s="1026"/>
      <c r="AR493" s="1026"/>
      <c r="AS493" s="1026">
        <f t="shared" si="82"/>
        <v>-45</v>
      </c>
      <c r="AT493" s="1026">
        <f t="shared" si="96"/>
        <v>-900</v>
      </c>
      <c r="AU493" s="1032"/>
      <c r="AV493" s="1032"/>
      <c r="AW493" s="1032">
        <f t="shared" si="83"/>
        <v>0</v>
      </c>
      <c r="AX493" s="1032">
        <f t="shared" si="97"/>
        <v>0</v>
      </c>
      <c r="AY493" s="1033"/>
      <c r="AZ493" s="1033"/>
      <c r="BA493" s="1033">
        <f t="shared" si="84"/>
        <v>0</v>
      </c>
      <c r="BB493" s="1033">
        <f t="shared" si="98"/>
        <v>0</v>
      </c>
      <c r="BC493" s="1034"/>
      <c r="BD493" s="1034"/>
      <c r="BE493" s="1034"/>
      <c r="BF493" s="1034"/>
      <c r="BG493" s="1424"/>
      <c r="BH493" s="1424"/>
    </row>
    <row r="494" spans="2:60" ht="15.75" customHeight="1" x14ac:dyDescent="0.25">
      <c r="B494" s="1038"/>
      <c r="C494" s="1038"/>
      <c r="D494" s="1015"/>
      <c r="E494" s="1016"/>
      <c r="F494" s="1017"/>
      <c r="G494" s="1017"/>
      <c r="H494" s="1019"/>
      <c r="I494" s="1020"/>
      <c r="J494" s="1021"/>
      <c r="K494" s="1022"/>
      <c r="L494" s="1022"/>
      <c r="M494" s="1023">
        <f t="shared" si="78"/>
        <v>0</v>
      </c>
      <c r="N494" s="1022">
        <f t="shared" si="88"/>
        <v>0</v>
      </c>
      <c r="O494" s="1025"/>
      <c r="P494" s="1025"/>
      <c r="Q494" s="1025">
        <f t="shared" si="79"/>
        <v>0</v>
      </c>
      <c r="R494" s="1025">
        <f t="shared" si="89"/>
        <v>0</v>
      </c>
      <c r="S494" s="1026"/>
      <c r="T494" s="1026"/>
      <c r="U494" s="1026">
        <f t="shared" si="86"/>
        <v>0</v>
      </c>
      <c r="V494" s="1026">
        <f t="shared" si="90"/>
        <v>0</v>
      </c>
      <c r="W494" s="1027"/>
      <c r="X494" s="1027"/>
      <c r="Y494" s="1027">
        <f t="shared" si="80"/>
        <v>0</v>
      </c>
      <c r="Z494" s="1027">
        <f t="shared" si="91"/>
        <v>0</v>
      </c>
      <c r="AA494" s="1028"/>
      <c r="AB494" s="1028"/>
      <c r="AC494" s="1028">
        <f t="shared" si="81"/>
        <v>-45</v>
      </c>
      <c r="AD494" s="1028">
        <f t="shared" si="92"/>
        <v>-900</v>
      </c>
      <c r="AE494" s="1029"/>
      <c r="AF494" s="1029"/>
      <c r="AG494" s="1029">
        <v>31</v>
      </c>
      <c r="AH494" s="1029">
        <f t="shared" si="93"/>
        <v>620</v>
      </c>
      <c r="AI494" s="1030"/>
      <c r="AJ494" s="1030"/>
      <c r="AK494" s="1030">
        <v>31</v>
      </c>
      <c r="AL494" s="1030">
        <f t="shared" si="94"/>
        <v>620</v>
      </c>
      <c r="AM494" s="1031"/>
      <c r="AN494" s="1031"/>
      <c r="AO494" s="1031">
        <v>28</v>
      </c>
      <c r="AP494" s="1031">
        <f t="shared" si="95"/>
        <v>560</v>
      </c>
      <c r="AQ494" s="1026"/>
      <c r="AR494" s="1026"/>
      <c r="AS494" s="1026">
        <f t="shared" si="82"/>
        <v>-45</v>
      </c>
      <c r="AT494" s="1026">
        <f t="shared" si="96"/>
        <v>-900</v>
      </c>
      <c r="AU494" s="1032"/>
      <c r="AV494" s="1032"/>
      <c r="AW494" s="1032">
        <f t="shared" si="83"/>
        <v>0</v>
      </c>
      <c r="AX494" s="1032">
        <f t="shared" si="97"/>
        <v>0</v>
      </c>
      <c r="AY494" s="1033"/>
      <c r="AZ494" s="1033"/>
      <c r="BA494" s="1033">
        <f t="shared" si="84"/>
        <v>0</v>
      </c>
      <c r="BB494" s="1033">
        <f t="shared" si="98"/>
        <v>0</v>
      </c>
      <c r="BC494" s="1034"/>
      <c r="BD494" s="1034"/>
      <c r="BE494" s="1034"/>
      <c r="BF494" s="1034"/>
      <c r="BG494" s="1424"/>
      <c r="BH494" s="1424"/>
    </row>
    <row r="495" spans="2:60" ht="15.75" customHeight="1" x14ac:dyDescent="0.25">
      <c r="B495" s="1014"/>
      <c r="C495" s="1014"/>
      <c r="D495" s="1015"/>
      <c r="E495" s="1016"/>
      <c r="F495" s="1017"/>
      <c r="G495" s="1017"/>
      <c r="H495" s="1019"/>
      <c r="I495" s="1020"/>
      <c r="J495" s="1021"/>
      <c r="K495" s="1022"/>
      <c r="L495" s="1022"/>
      <c r="M495" s="1023">
        <f t="shared" si="78"/>
        <v>0</v>
      </c>
      <c r="N495" s="1022">
        <f t="shared" si="88"/>
        <v>0</v>
      </c>
      <c r="O495" s="1025"/>
      <c r="P495" s="1025"/>
      <c r="Q495" s="1025">
        <f t="shared" si="79"/>
        <v>0</v>
      </c>
      <c r="R495" s="1025">
        <f t="shared" si="89"/>
        <v>0</v>
      </c>
      <c r="S495" s="1026"/>
      <c r="T495" s="1026"/>
      <c r="U495" s="1026">
        <f t="shared" si="86"/>
        <v>0</v>
      </c>
      <c r="V495" s="1026">
        <f t="shared" si="90"/>
        <v>0</v>
      </c>
      <c r="W495" s="1027"/>
      <c r="X495" s="1027"/>
      <c r="Y495" s="1027">
        <f t="shared" si="80"/>
        <v>0</v>
      </c>
      <c r="Z495" s="1027">
        <f t="shared" si="91"/>
        <v>0</v>
      </c>
      <c r="AA495" s="1028"/>
      <c r="AB495" s="1028"/>
      <c r="AC495" s="1028">
        <f t="shared" si="81"/>
        <v>-45</v>
      </c>
      <c r="AD495" s="1028">
        <f t="shared" si="92"/>
        <v>-900</v>
      </c>
      <c r="AE495" s="1029"/>
      <c r="AF495" s="1029"/>
      <c r="AG495" s="1029">
        <v>31</v>
      </c>
      <c r="AH495" s="1029">
        <f t="shared" si="93"/>
        <v>620</v>
      </c>
      <c r="AI495" s="1030"/>
      <c r="AJ495" s="1030"/>
      <c r="AK495" s="1030">
        <v>31</v>
      </c>
      <c r="AL495" s="1030">
        <f t="shared" si="94"/>
        <v>620</v>
      </c>
      <c r="AM495" s="1031"/>
      <c r="AN495" s="1031"/>
      <c r="AO495" s="1031">
        <v>28</v>
      </c>
      <c r="AP495" s="1031">
        <f t="shared" si="95"/>
        <v>560</v>
      </c>
      <c r="AQ495" s="1026"/>
      <c r="AR495" s="1026"/>
      <c r="AS495" s="1026">
        <f t="shared" si="82"/>
        <v>-45</v>
      </c>
      <c r="AT495" s="1026">
        <f t="shared" si="96"/>
        <v>-900</v>
      </c>
      <c r="AU495" s="1032"/>
      <c r="AV495" s="1032"/>
      <c r="AW495" s="1032">
        <f t="shared" si="83"/>
        <v>0</v>
      </c>
      <c r="AX495" s="1032">
        <f t="shared" si="97"/>
        <v>0</v>
      </c>
      <c r="AY495" s="1033"/>
      <c r="AZ495" s="1033"/>
      <c r="BA495" s="1033">
        <f t="shared" si="84"/>
        <v>0</v>
      </c>
      <c r="BB495" s="1033">
        <f t="shared" si="98"/>
        <v>0</v>
      </c>
      <c r="BC495" s="1034"/>
      <c r="BD495" s="1034"/>
      <c r="BE495" s="1034"/>
      <c r="BF495" s="1034"/>
      <c r="BG495" s="1424"/>
      <c r="BH495" s="1424"/>
    </row>
    <row r="496" spans="2:60" ht="15.75" customHeight="1" x14ac:dyDescent="0.25">
      <c r="B496" s="1038"/>
      <c r="C496" s="1038"/>
      <c r="D496" s="1015"/>
      <c r="E496" s="1016"/>
      <c r="F496" s="1017"/>
      <c r="G496" s="1017"/>
      <c r="H496" s="1019"/>
      <c r="I496" s="1020"/>
      <c r="J496" s="1021"/>
      <c r="K496" s="1022"/>
      <c r="L496" s="1022"/>
      <c r="M496" s="1023">
        <f t="shared" si="78"/>
        <v>0</v>
      </c>
      <c r="N496" s="1022">
        <f t="shared" si="88"/>
        <v>0</v>
      </c>
      <c r="O496" s="1025"/>
      <c r="P496" s="1025"/>
      <c r="Q496" s="1025">
        <f t="shared" si="79"/>
        <v>0</v>
      </c>
      <c r="R496" s="1025">
        <f t="shared" si="89"/>
        <v>0</v>
      </c>
      <c r="S496" s="1026"/>
      <c r="T496" s="1026"/>
      <c r="U496" s="1026">
        <f t="shared" si="86"/>
        <v>0</v>
      </c>
      <c r="V496" s="1026">
        <f t="shared" si="90"/>
        <v>0</v>
      </c>
      <c r="W496" s="1027"/>
      <c r="X496" s="1027"/>
      <c r="Y496" s="1027">
        <f t="shared" si="80"/>
        <v>0</v>
      </c>
      <c r="Z496" s="1027">
        <f t="shared" si="91"/>
        <v>0</v>
      </c>
      <c r="AA496" s="1028"/>
      <c r="AB496" s="1028"/>
      <c r="AC496" s="1028">
        <f t="shared" si="81"/>
        <v>-45</v>
      </c>
      <c r="AD496" s="1028">
        <f t="shared" si="92"/>
        <v>-900</v>
      </c>
      <c r="AE496" s="1029"/>
      <c r="AF496" s="1029"/>
      <c r="AG496" s="1029">
        <v>31</v>
      </c>
      <c r="AH496" s="1029">
        <f t="shared" si="93"/>
        <v>620</v>
      </c>
      <c r="AI496" s="1030"/>
      <c r="AJ496" s="1030"/>
      <c r="AK496" s="1030">
        <v>31</v>
      </c>
      <c r="AL496" s="1030">
        <f t="shared" si="94"/>
        <v>620</v>
      </c>
      <c r="AM496" s="1031"/>
      <c r="AN496" s="1031"/>
      <c r="AO496" s="1031">
        <v>28</v>
      </c>
      <c r="AP496" s="1031">
        <f t="shared" si="95"/>
        <v>560</v>
      </c>
      <c r="AQ496" s="1026"/>
      <c r="AR496" s="1026"/>
      <c r="AS496" s="1026">
        <f t="shared" si="82"/>
        <v>-45</v>
      </c>
      <c r="AT496" s="1026">
        <f t="shared" si="96"/>
        <v>-900</v>
      </c>
      <c r="AU496" s="1032"/>
      <c r="AV496" s="1032"/>
      <c r="AW496" s="1032">
        <f t="shared" si="83"/>
        <v>0</v>
      </c>
      <c r="AX496" s="1032">
        <f t="shared" si="97"/>
        <v>0</v>
      </c>
      <c r="AY496" s="1033"/>
      <c r="AZ496" s="1033"/>
      <c r="BA496" s="1033">
        <f t="shared" si="84"/>
        <v>0</v>
      </c>
      <c r="BB496" s="1033">
        <f t="shared" si="98"/>
        <v>0</v>
      </c>
      <c r="BC496" s="1034"/>
      <c r="BD496" s="1034"/>
      <c r="BE496" s="1034"/>
      <c r="BF496" s="1034"/>
      <c r="BG496" s="1424"/>
      <c r="BH496" s="1424"/>
    </row>
    <row r="497" spans="2:60" ht="15.75" customHeight="1" x14ac:dyDescent="0.25">
      <c r="B497" s="1014"/>
      <c r="C497" s="1014"/>
      <c r="D497" s="1015"/>
      <c r="E497" s="1016"/>
      <c r="F497" s="1017"/>
      <c r="G497" s="1017"/>
      <c r="H497" s="1019"/>
      <c r="I497" s="1020"/>
      <c r="J497" s="1021"/>
      <c r="K497" s="1022"/>
      <c r="L497" s="1022"/>
      <c r="M497" s="1023">
        <f t="shared" si="78"/>
        <v>0</v>
      </c>
      <c r="N497" s="1022">
        <f t="shared" si="88"/>
        <v>0</v>
      </c>
      <c r="O497" s="1025"/>
      <c r="P497" s="1025"/>
      <c r="Q497" s="1025">
        <f t="shared" si="79"/>
        <v>0</v>
      </c>
      <c r="R497" s="1025">
        <f t="shared" si="89"/>
        <v>0</v>
      </c>
      <c r="S497" s="1026"/>
      <c r="T497" s="1026"/>
      <c r="U497" s="1026">
        <f t="shared" si="86"/>
        <v>0</v>
      </c>
      <c r="V497" s="1026">
        <f t="shared" si="90"/>
        <v>0</v>
      </c>
      <c r="W497" s="1027"/>
      <c r="X497" s="1027"/>
      <c r="Y497" s="1027">
        <f t="shared" si="80"/>
        <v>0</v>
      </c>
      <c r="Z497" s="1027">
        <f t="shared" si="91"/>
        <v>0</v>
      </c>
      <c r="AA497" s="1028"/>
      <c r="AB497" s="1028"/>
      <c r="AC497" s="1028">
        <f t="shared" si="81"/>
        <v>-45</v>
      </c>
      <c r="AD497" s="1028">
        <f t="shared" si="92"/>
        <v>-900</v>
      </c>
      <c r="AE497" s="1029"/>
      <c r="AF497" s="1029"/>
      <c r="AG497" s="1029">
        <v>31</v>
      </c>
      <c r="AH497" s="1029">
        <f t="shared" si="93"/>
        <v>620</v>
      </c>
      <c r="AI497" s="1030"/>
      <c r="AJ497" s="1030"/>
      <c r="AK497" s="1030">
        <v>31</v>
      </c>
      <c r="AL497" s="1030">
        <f t="shared" si="94"/>
        <v>620</v>
      </c>
      <c r="AM497" s="1031"/>
      <c r="AN497" s="1031"/>
      <c r="AO497" s="1031">
        <v>28</v>
      </c>
      <c r="AP497" s="1031">
        <f t="shared" si="95"/>
        <v>560</v>
      </c>
      <c r="AQ497" s="1026"/>
      <c r="AR497" s="1026"/>
      <c r="AS497" s="1026">
        <f t="shared" si="82"/>
        <v>-45</v>
      </c>
      <c r="AT497" s="1026">
        <f t="shared" si="96"/>
        <v>-900</v>
      </c>
      <c r="AU497" s="1032"/>
      <c r="AV497" s="1032"/>
      <c r="AW497" s="1032">
        <f t="shared" si="83"/>
        <v>0</v>
      </c>
      <c r="AX497" s="1032">
        <f t="shared" si="97"/>
        <v>0</v>
      </c>
      <c r="AY497" s="1033"/>
      <c r="AZ497" s="1033"/>
      <c r="BA497" s="1033">
        <f t="shared" si="84"/>
        <v>0</v>
      </c>
      <c r="BB497" s="1033">
        <f t="shared" si="98"/>
        <v>0</v>
      </c>
      <c r="BC497" s="1034"/>
      <c r="BD497" s="1034"/>
      <c r="BE497" s="1034"/>
      <c r="BF497" s="1034"/>
      <c r="BG497" s="1424"/>
      <c r="BH497" s="1424"/>
    </row>
    <row r="498" spans="2:60" ht="15.75" customHeight="1" x14ac:dyDescent="0.25">
      <c r="B498" s="1038"/>
      <c r="C498" s="1038"/>
      <c r="D498" s="1015"/>
      <c r="E498" s="1016"/>
      <c r="F498" s="1017"/>
      <c r="G498" s="1017"/>
      <c r="H498" s="1019"/>
      <c r="I498" s="1020"/>
      <c r="J498" s="1021"/>
      <c r="K498" s="1022"/>
      <c r="L498" s="1022"/>
      <c r="M498" s="1023">
        <f t="shared" si="78"/>
        <v>0</v>
      </c>
      <c r="N498" s="1022">
        <f t="shared" si="88"/>
        <v>0</v>
      </c>
      <c r="O498" s="1025"/>
      <c r="P498" s="1025"/>
      <c r="Q498" s="1025">
        <f t="shared" si="79"/>
        <v>0</v>
      </c>
      <c r="R498" s="1025">
        <f t="shared" si="89"/>
        <v>0</v>
      </c>
      <c r="S498" s="1026"/>
      <c r="T498" s="1026"/>
      <c r="U498" s="1026">
        <f t="shared" si="86"/>
        <v>0</v>
      </c>
      <c r="V498" s="1026">
        <f t="shared" si="90"/>
        <v>0</v>
      </c>
      <c r="W498" s="1027"/>
      <c r="X498" s="1027"/>
      <c r="Y498" s="1027">
        <f t="shared" si="80"/>
        <v>0</v>
      </c>
      <c r="Z498" s="1027">
        <f t="shared" si="91"/>
        <v>0</v>
      </c>
      <c r="AA498" s="1028"/>
      <c r="AB498" s="1028"/>
      <c r="AC498" s="1028">
        <f t="shared" si="81"/>
        <v>-45</v>
      </c>
      <c r="AD498" s="1028">
        <f t="shared" si="92"/>
        <v>-900</v>
      </c>
      <c r="AE498" s="1029"/>
      <c r="AF498" s="1029"/>
      <c r="AG498" s="1029">
        <v>31</v>
      </c>
      <c r="AH498" s="1029">
        <f t="shared" si="93"/>
        <v>620</v>
      </c>
      <c r="AI498" s="1030"/>
      <c r="AJ498" s="1030"/>
      <c r="AK498" s="1030">
        <v>31</v>
      </c>
      <c r="AL498" s="1030">
        <f t="shared" si="94"/>
        <v>620</v>
      </c>
      <c r="AM498" s="1031"/>
      <c r="AN498" s="1031"/>
      <c r="AO498" s="1031">
        <v>28</v>
      </c>
      <c r="AP498" s="1031">
        <f t="shared" si="95"/>
        <v>560</v>
      </c>
      <c r="AQ498" s="1026"/>
      <c r="AR498" s="1026"/>
      <c r="AS498" s="1026">
        <f t="shared" si="82"/>
        <v>-45</v>
      </c>
      <c r="AT498" s="1026">
        <f t="shared" si="96"/>
        <v>-900</v>
      </c>
      <c r="AU498" s="1032"/>
      <c r="AV498" s="1032"/>
      <c r="AW498" s="1032">
        <f t="shared" si="83"/>
        <v>0</v>
      </c>
      <c r="AX498" s="1032">
        <f t="shared" si="97"/>
        <v>0</v>
      </c>
      <c r="AY498" s="1033"/>
      <c r="AZ498" s="1033"/>
      <c r="BA498" s="1033">
        <f t="shared" si="84"/>
        <v>0</v>
      </c>
      <c r="BB498" s="1033">
        <f t="shared" si="98"/>
        <v>0</v>
      </c>
      <c r="BC498" s="1034"/>
      <c r="BD498" s="1034"/>
      <c r="BE498" s="1034"/>
      <c r="BF498" s="1034"/>
      <c r="BG498" s="1424"/>
      <c r="BH498" s="1424"/>
    </row>
    <row r="499" spans="2:60" ht="15.75" customHeight="1" x14ac:dyDescent="0.25">
      <c r="B499" s="1014"/>
      <c r="C499" s="1014"/>
      <c r="D499" s="1015"/>
      <c r="E499" s="1016"/>
      <c r="F499" s="1017"/>
      <c r="G499" s="1017"/>
      <c r="H499" s="1019"/>
      <c r="I499" s="1020"/>
      <c r="J499" s="1021"/>
      <c r="K499" s="1022"/>
      <c r="L499" s="1022"/>
      <c r="M499" s="1023">
        <f t="shared" si="78"/>
        <v>0</v>
      </c>
      <c r="N499" s="1022">
        <f t="shared" si="88"/>
        <v>0</v>
      </c>
      <c r="O499" s="1025"/>
      <c r="P499" s="1025"/>
      <c r="Q499" s="1025">
        <f t="shared" si="79"/>
        <v>0</v>
      </c>
      <c r="R499" s="1025">
        <f t="shared" si="89"/>
        <v>0</v>
      </c>
      <c r="S499" s="1026"/>
      <c r="T499" s="1026"/>
      <c r="U499" s="1026">
        <f t="shared" si="86"/>
        <v>0</v>
      </c>
      <c r="V499" s="1026">
        <f t="shared" si="90"/>
        <v>0</v>
      </c>
      <c r="W499" s="1027"/>
      <c r="X499" s="1027"/>
      <c r="Y499" s="1027">
        <f t="shared" si="80"/>
        <v>0</v>
      </c>
      <c r="Z499" s="1027">
        <f t="shared" si="91"/>
        <v>0</v>
      </c>
      <c r="AA499" s="1028"/>
      <c r="AB499" s="1028"/>
      <c r="AC499" s="1028">
        <f t="shared" si="81"/>
        <v>-45</v>
      </c>
      <c r="AD499" s="1028">
        <f t="shared" si="92"/>
        <v>-900</v>
      </c>
      <c r="AE499" s="1029"/>
      <c r="AF499" s="1029"/>
      <c r="AG499" s="1029">
        <v>31</v>
      </c>
      <c r="AH499" s="1029">
        <f t="shared" si="93"/>
        <v>620</v>
      </c>
      <c r="AI499" s="1030"/>
      <c r="AJ499" s="1030"/>
      <c r="AK499" s="1030">
        <v>31</v>
      </c>
      <c r="AL499" s="1030">
        <f t="shared" si="94"/>
        <v>620</v>
      </c>
      <c r="AM499" s="1031"/>
      <c r="AN499" s="1031"/>
      <c r="AO499" s="1031">
        <v>28</v>
      </c>
      <c r="AP499" s="1031">
        <f t="shared" si="95"/>
        <v>560</v>
      </c>
      <c r="AQ499" s="1026"/>
      <c r="AR499" s="1026"/>
      <c r="AS499" s="1026">
        <f t="shared" si="82"/>
        <v>-45</v>
      </c>
      <c r="AT499" s="1026">
        <f t="shared" si="96"/>
        <v>-900</v>
      </c>
      <c r="AU499" s="1032"/>
      <c r="AV499" s="1032"/>
      <c r="AW499" s="1032">
        <f t="shared" si="83"/>
        <v>0</v>
      </c>
      <c r="AX499" s="1032">
        <f t="shared" si="97"/>
        <v>0</v>
      </c>
      <c r="AY499" s="1033"/>
      <c r="AZ499" s="1033"/>
      <c r="BA499" s="1033">
        <f t="shared" si="84"/>
        <v>0</v>
      </c>
      <c r="BB499" s="1033">
        <f t="shared" si="98"/>
        <v>0</v>
      </c>
      <c r="BC499" s="1034"/>
      <c r="BD499" s="1034"/>
      <c r="BE499" s="1034"/>
      <c r="BF499" s="1034"/>
      <c r="BG499" s="1424"/>
      <c r="BH499" s="1424"/>
    </row>
    <row r="500" spans="2:60" ht="15.75" customHeight="1" x14ac:dyDescent="0.25">
      <c r="B500" s="1038"/>
      <c r="C500" s="1038"/>
      <c r="D500" s="1015"/>
      <c r="E500" s="1016"/>
      <c r="F500" s="1017"/>
      <c r="G500" s="1017"/>
      <c r="H500" s="1019"/>
      <c r="I500" s="1020"/>
      <c r="J500" s="1021"/>
      <c r="K500" s="1022"/>
      <c r="L500" s="1022"/>
      <c r="M500" s="1023">
        <f t="shared" si="78"/>
        <v>0</v>
      </c>
      <c r="N500" s="1022">
        <f t="shared" si="88"/>
        <v>0</v>
      </c>
      <c r="O500" s="1025"/>
      <c r="P500" s="1025"/>
      <c r="Q500" s="1025">
        <f t="shared" si="79"/>
        <v>0</v>
      </c>
      <c r="R500" s="1025">
        <f t="shared" si="89"/>
        <v>0</v>
      </c>
      <c r="S500" s="1026"/>
      <c r="T500" s="1026"/>
      <c r="U500" s="1026">
        <f t="shared" si="86"/>
        <v>0</v>
      </c>
      <c r="V500" s="1026">
        <f t="shared" si="90"/>
        <v>0</v>
      </c>
      <c r="W500" s="1027"/>
      <c r="X500" s="1027"/>
      <c r="Y500" s="1027">
        <f t="shared" si="80"/>
        <v>0</v>
      </c>
      <c r="Z500" s="1027">
        <f t="shared" si="91"/>
        <v>0</v>
      </c>
      <c r="AA500" s="1028"/>
      <c r="AB500" s="1028"/>
      <c r="AC500" s="1028">
        <f t="shared" si="81"/>
        <v>-45</v>
      </c>
      <c r="AD500" s="1028">
        <f t="shared" si="92"/>
        <v>-900</v>
      </c>
      <c r="AE500" s="1029"/>
      <c r="AF500" s="1029"/>
      <c r="AG500" s="1029">
        <v>31</v>
      </c>
      <c r="AH500" s="1029">
        <f t="shared" si="93"/>
        <v>620</v>
      </c>
      <c r="AI500" s="1030"/>
      <c r="AJ500" s="1030"/>
      <c r="AK500" s="1030">
        <v>31</v>
      </c>
      <c r="AL500" s="1030">
        <f t="shared" si="94"/>
        <v>620</v>
      </c>
      <c r="AM500" s="1031"/>
      <c r="AN500" s="1031"/>
      <c r="AO500" s="1031">
        <v>28</v>
      </c>
      <c r="AP500" s="1031">
        <f t="shared" si="95"/>
        <v>560</v>
      </c>
      <c r="AQ500" s="1026"/>
      <c r="AR500" s="1026"/>
      <c r="AS500" s="1026">
        <f t="shared" si="82"/>
        <v>-45</v>
      </c>
      <c r="AT500" s="1026">
        <f t="shared" si="96"/>
        <v>-900</v>
      </c>
      <c r="AU500" s="1032"/>
      <c r="AV500" s="1032"/>
      <c r="AW500" s="1032">
        <f t="shared" si="83"/>
        <v>0</v>
      </c>
      <c r="AX500" s="1032">
        <f t="shared" si="97"/>
        <v>0</v>
      </c>
      <c r="AY500" s="1033"/>
      <c r="AZ500" s="1033"/>
      <c r="BA500" s="1033">
        <f t="shared" si="84"/>
        <v>0</v>
      </c>
      <c r="BB500" s="1033">
        <f t="shared" si="98"/>
        <v>0</v>
      </c>
      <c r="BC500" s="1034"/>
      <c r="BD500" s="1034"/>
      <c r="BE500" s="1034"/>
      <c r="BF500" s="1034"/>
      <c r="BG500" s="1424"/>
      <c r="BH500" s="1424"/>
    </row>
    <row r="501" spans="2:60" ht="15.75" customHeight="1" x14ac:dyDescent="0.25">
      <c r="B501" s="1014"/>
      <c r="C501" s="1014"/>
      <c r="D501" s="1015"/>
      <c r="E501" s="1016"/>
      <c r="F501" s="1017"/>
      <c r="G501" s="1017"/>
      <c r="H501" s="1019"/>
      <c r="I501" s="1020"/>
      <c r="J501" s="1021"/>
      <c r="K501" s="1022"/>
      <c r="L501" s="1022"/>
      <c r="M501" s="1023">
        <f t="shared" si="78"/>
        <v>0</v>
      </c>
      <c r="N501" s="1022">
        <f t="shared" si="88"/>
        <v>0</v>
      </c>
      <c r="O501" s="1025"/>
      <c r="P501" s="1025"/>
      <c r="Q501" s="1025">
        <f t="shared" si="79"/>
        <v>0</v>
      </c>
      <c r="R501" s="1025">
        <f t="shared" si="89"/>
        <v>0</v>
      </c>
      <c r="S501" s="1026"/>
      <c r="T501" s="1026"/>
      <c r="U501" s="1026">
        <f t="shared" si="86"/>
        <v>0</v>
      </c>
      <c r="V501" s="1026">
        <f t="shared" si="90"/>
        <v>0</v>
      </c>
      <c r="W501" s="1027"/>
      <c r="X501" s="1027"/>
      <c r="Y501" s="1027">
        <f t="shared" si="80"/>
        <v>0</v>
      </c>
      <c r="Z501" s="1027">
        <f t="shared" si="91"/>
        <v>0</v>
      </c>
      <c r="AA501" s="1028"/>
      <c r="AB501" s="1028"/>
      <c r="AC501" s="1028">
        <f t="shared" si="81"/>
        <v>-45</v>
      </c>
      <c r="AD501" s="1028">
        <f t="shared" si="92"/>
        <v>-900</v>
      </c>
      <c r="AE501" s="1029"/>
      <c r="AF501" s="1029"/>
      <c r="AG501" s="1029">
        <v>31</v>
      </c>
      <c r="AH501" s="1029">
        <f t="shared" si="93"/>
        <v>620</v>
      </c>
      <c r="AI501" s="1030"/>
      <c r="AJ501" s="1030"/>
      <c r="AK501" s="1030">
        <v>31</v>
      </c>
      <c r="AL501" s="1030">
        <f t="shared" si="94"/>
        <v>620</v>
      </c>
      <c r="AM501" s="1031"/>
      <c r="AN501" s="1031"/>
      <c r="AO501" s="1031">
        <v>28</v>
      </c>
      <c r="AP501" s="1031">
        <f t="shared" si="95"/>
        <v>560</v>
      </c>
      <c r="AQ501" s="1026"/>
      <c r="AR501" s="1026"/>
      <c r="AS501" s="1026">
        <f t="shared" si="82"/>
        <v>-45</v>
      </c>
      <c r="AT501" s="1026">
        <f t="shared" si="96"/>
        <v>-900</v>
      </c>
      <c r="AU501" s="1032"/>
      <c r="AV501" s="1032"/>
      <c r="AW501" s="1032">
        <f t="shared" si="83"/>
        <v>0</v>
      </c>
      <c r="AX501" s="1032">
        <f t="shared" si="97"/>
        <v>0</v>
      </c>
      <c r="AY501" s="1033"/>
      <c r="AZ501" s="1033"/>
      <c r="BA501" s="1033">
        <f t="shared" si="84"/>
        <v>0</v>
      </c>
      <c r="BB501" s="1033">
        <f t="shared" si="98"/>
        <v>0</v>
      </c>
      <c r="BC501" s="1034"/>
      <c r="BD501" s="1034"/>
      <c r="BE501" s="1034"/>
      <c r="BF501" s="1034"/>
      <c r="BG501" s="1424"/>
      <c r="BH501" s="1424"/>
    </row>
    <row r="502" spans="2:60" ht="15.75" customHeight="1" x14ac:dyDescent="0.25">
      <c r="B502" s="1038"/>
      <c r="C502" s="1038"/>
      <c r="D502" s="1015"/>
      <c r="E502" s="1016"/>
      <c r="F502" s="1017"/>
      <c r="G502" s="1017"/>
      <c r="H502" s="1019"/>
      <c r="I502" s="1020"/>
      <c r="J502" s="1021"/>
      <c r="K502" s="1022"/>
      <c r="L502" s="1022"/>
      <c r="M502" s="1023">
        <f t="shared" si="78"/>
        <v>0</v>
      </c>
      <c r="N502" s="1022">
        <f t="shared" si="88"/>
        <v>0</v>
      </c>
      <c r="O502" s="1025"/>
      <c r="P502" s="1025"/>
      <c r="Q502" s="1025">
        <f t="shared" si="79"/>
        <v>0</v>
      </c>
      <c r="R502" s="1025">
        <f t="shared" si="89"/>
        <v>0</v>
      </c>
      <c r="S502" s="1026"/>
      <c r="T502" s="1026"/>
      <c r="U502" s="1026">
        <f t="shared" si="86"/>
        <v>0</v>
      </c>
      <c r="V502" s="1026">
        <f t="shared" si="90"/>
        <v>0</v>
      </c>
      <c r="W502" s="1027"/>
      <c r="X502" s="1027"/>
      <c r="Y502" s="1027">
        <f t="shared" si="80"/>
        <v>0</v>
      </c>
      <c r="Z502" s="1027">
        <f t="shared" si="91"/>
        <v>0</v>
      </c>
      <c r="AA502" s="1028"/>
      <c r="AB502" s="1028"/>
      <c r="AC502" s="1028">
        <f t="shared" si="81"/>
        <v>-45</v>
      </c>
      <c r="AD502" s="1028">
        <f t="shared" si="92"/>
        <v>-900</v>
      </c>
      <c r="AE502" s="1029"/>
      <c r="AF502" s="1029"/>
      <c r="AG502" s="1029">
        <v>31</v>
      </c>
      <c r="AH502" s="1029">
        <f t="shared" si="93"/>
        <v>620</v>
      </c>
      <c r="AI502" s="1030"/>
      <c r="AJ502" s="1030"/>
      <c r="AK502" s="1030">
        <v>31</v>
      </c>
      <c r="AL502" s="1030">
        <f t="shared" si="94"/>
        <v>620</v>
      </c>
      <c r="AM502" s="1031"/>
      <c r="AN502" s="1031"/>
      <c r="AO502" s="1031">
        <v>28</v>
      </c>
      <c r="AP502" s="1031">
        <f t="shared" si="95"/>
        <v>560</v>
      </c>
      <c r="AQ502" s="1026"/>
      <c r="AR502" s="1026"/>
      <c r="AS502" s="1026">
        <f t="shared" si="82"/>
        <v>-45</v>
      </c>
      <c r="AT502" s="1026">
        <f t="shared" si="96"/>
        <v>-900</v>
      </c>
      <c r="AU502" s="1032"/>
      <c r="AV502" s="1032"/>
      <c r="AW502" s="1032">
        <f t="shared" si="83"/>
        <v>0</v>
      </c>
      <c r="AX502" s="1032">
        <f t="shared" si="97"/>
        <v>0</v>
      </c>
      <c r="AY502" s="1033"/>
      <c r="AZ502" s="1033"/>
      <c r="BA502" s="1033">
        <f t="shared" si="84"/>
        <v>0</v>
      </c>
      <c r="BB502" s="1033">
        <f t="shared" si="98"/>
        <v>0</v>
      </c>
      <c r="BC502" s="1034"/>
      <c r="BD502" s="1034"/>
      <c r="BE502" s="1034"/>
      <c r="BF502" s="1034"/>
      <c r="BG502" s="1424"/>
      <c r="BH502" s="1424"/>
    </row>
    <row r="503" spans="2:60" ht="15.75" customHeight="1" x14ac:dyDescent="0.25">
      <c r="B503" s="1014"/>
      <c r="C503" s="1014"/>
      <c r="D503" s="1015"/>
      <c r="E503" s="1016"/>
      <c r="F503" s="1017"/>
      <c r="G503" s="1017"/>
      <c r="H503" s="1019"/>
      <c r="I503" s="1020"/>
      <c r="J503" s="1021"/>
      <c r="K503" s="1022"/>
      <c r="L503" s="1022"/>
      <c r="M503" s="1023">
        <f t="shared" si="78"/>
        <v>0</v>
      </c>
      <c r="N503" s="1022">
        <f t="shared" si="88"/>
        <v>0</v>
      </c>
      <c r="O503" s="1025"/>
      <c r="P503" s="1025"/>
      <c r="Q503" s="1025">
        <f t="shared" si="79"/>
        <v>0</v>
      </c>
      <c r="R503" s="1025">
        <f t="shared" si="89"/>
        <v>0</v>
      </c>
      <c r="S503" s="1026"/>
      <c r="T503" s="1026"/>
      <c r="U503" s="1026">
        <f t="shared" si="86"/>
        <v>0</v>
      </c>
      <c r="V503" s="1026">
        <f t="shared" si="90"/>
        <v>0</v>
      </c>
      <c r="W503" s="1027"/>
      <c r="X503" s="1027"/>
      <c r="Y503" s="1027">
        <f t="shared" si="80"/>
        <v>0</v>
      </c>
      <c r="Z503" s="1027">
        <f t="shared" si="91"/>
        <v>0</v>
      </c>
      <c r="AA503" s="1028"/>
      <c r="AB503" s="1028"/>
      <c r="AC503" s="1028">
        <f t="shared" si="81"/>
        <v>-45</v>
      </c>
      <c r="AD503" s="1028">
        <f t="shared" si="92"/>
        <v>-900</v>
      </c>
      <c r="AE503" s="1029"/>
      <c r="AF503" s="1029"/>
      <c r="AG503" s="1029">
        <v>31</v>
      </c>
      <c r="AH503" s="1029">
        <f t="shared" si="93"/>
        <v>620</v>
      </c>
      <c r="AI503" s="1030"/>
      <c r="AJ503" s="1030"/>
      <c r="AK503" s="1030">
        <v>31</v>
      </c>
      <c r="AL503" s="1030">
        <f t="shared" si="94"/>
        <v>620</v>
      </c>
      <c r="AM503" s="1031"/>
      <c r="AN503" s="1031"/>
      <c r="AO503" s="1031">
        <v>28</v>
      </c>
      <c r="AP503" s="1031">
        <f t="shared" si="95"/>
        <v>560</v>
      </c>
      <c r="AQ503" s="1026"/>
      <c r="AR503" s="1026"/>
      <c r="AS503" s="1026">
        <f t="shared" si="82"/>
        <v>-45</v>
      </c>
      <c r="AT503" s="1026">
        <f t="shared" si="96"/>
        <v>-900</v>
      </c>
      <c r="AU503" s="1032"/>
      <c r="AV503" s="1032"/>
      <c r="AW503" s="1032">
        <f t="shared" si="83"/>
        <v>0</v>
      </c>
      <c r="AX503" s="1032">
        <f t="shared" si="97"/>
        <v>0</v>
      </c>
      <c r="AY503" s="1033"/>
      <c r="AZ503" s="1033"/>
      <c r="BA503" s="1033">
        <f t="shared" si="84"/>
        <v>0</v>
      </c>
      <c r="BB503" s="1033">
        <f t="shared" si="98"/>
        <v>0</v>
      </c>
      <c r="BC503" s="1034"/>
      <c r="BD503" s="1034"/>
      <c r="BE503" s="1034"/>
      <c r="BF503" s="1034"/>
      <c r="BG503" s="1424"/>
      <c r="BH503" s="1424"/>
    </row>
    <row r="504" spans="2:60" ht="15.75" customHeight="1" x14ac:dyDescent="0.25">
      <c r="B504" s="1038"/>
      <c r="C504" s="1038"/>
      <c r="D504" s="1015"/>
      <c r="E504" s="1016"/>
      <c r="F504" s="1017"/>
      <c r="G504" s="1017"/>
      <c r="H504" s="1019"/>
      <c r="I504" s="1020"/>
      <c r="J504" s="1021"/>
      <c r="K504" s="1022"/>
      <c r="L504" s="1022"/>
      <c r="M504" s="1023">
        <f t="shared" si="78"/>
        <v>0</v>
      </c>
      <c r="N504" s="1022">
        <f t="shared" si="88"/>
        <v>0</v>
      </c>
      <c r="O504" s="1025"/>
      <c r="P504" s="1025"/>
      <c r="Q504" s="1025">
        <f t="shared" si="79"/>
        <v>0</v>
      </c>
      <c r="R504" s="1025">
        <f t="shared" si="89"/>
        <v>0</v>
      </c>
      <c r="S504" s="1026"/>
      <c r="T504" s="1026"/>
      <c r="U504" s="1026">
        <f t="shared" si="86"/>
        <v>0</v>
      </c>
      <c r="V504" s="1026">
        <f t="shared" si="90"/>
        <v>0</v>
      </c>
      <c r="W504" s="1027"/>
      <c r="X504" s="1027"/>
      <c r="Y504" s="1027">
        <f t="shared" si="80"/>
        <v>0</v>
      </c>
      <c r="Z504" s="1027">
        <f t="shared" si="91"/>
        <v>0</v>
      </c>
      <c r="AA504" s="1028"/>
      <c r="AB504" s="1028"/>
      <c r="AC504" s="1028">
        <f t="shared" si="81"/>
        <v>-45</v>
      </c>
      <c r="AD504" s="1028">
        <f t="shared" si="92"/>
        <v>-900</v>
      </c>
      <c r="AE504" s="1029"/>
      <c r="AF504" s="1029"/>
      <c r="AG504" s="1029">
        <v>31</v>
      </c>
      <c r="AH504" s="1029">
        <f t="shared" si="93"/>
        <v>620</v>
      </c>
      <c r="AI504" s="1030"/>
      <c r="AJ504" s="1030"/>
      <c r="AK504" s="1030">
        <v>31</v>
      </c>
      <c r="AL504" s="1030">
        <f t="shared" si="94"/>
        <v>620</v>
      </c>
      <c r="AM504" s="1031"/>
      <c r="AN504" s="1031"/>
      <c r="AO504" s="1031">
        <v>28</v>
      </c>
      <c r="AP504" s="1031">
        <f t="shared" si="95"/>
        <v>560</v>
      </c>
      <c r="AQ504" s="1026"/>
      <c r="AR504" s="1026"/>
      <c r="AS504" s="1026">
        <f t="shared" si="82"/>
        <v>-45</v>
      </c>
      <c r="AT504" s="1026">
        <f t="shared" si="96"/>
        <v>-900</v>
      </c>
      <c r="AU504" s="1032"/>
      <c r="AV504" s="1032"/>
      <c r="AW504" s="1032">
        <f t="shared" si="83"/>
        <v>0</v>
      </c>
      <c r="AX504" s="1032">
        <f t="shared" si="97"/>
        <v>0</v>
      </c>
      <c r="AY504" s="1033"/>
      <c r="AZ504" s="1033"/>
      <c r="BA504" s="1033">
        <f t="shared" si="84"/>
        <v>0</v>
      </c>
      <c r="BB504" s="1033">
        <f t="shared" si="98"/>
        <v>0</v>
      </c>
      <c r="BC504" s="1034"/>
      <c r="BD504" s="1034"/>
      <c r="BE504" s="1034"/>
      <c r="BF504" s="1034"/>
      <c r="BG504" s="1424"/>
      <c r="BH504" s="1424"/>
    </row>
    <row r="505" spans="2:60" ht="15.75" customHeight="1" x14ac:dyDescent="0.25">
      <c r="B505" s="1014"/>
      <c r="C505" s="1014"/>
      <c r="D505" s="1015"/>
      <c r="E505" s="1016"/>
      <c r="F505" s="1017"/>
      <c r="G505" s="1017"/>
      <c r="H505" s="1019"/>
      <c r="I505" s="1020"/>
      <c r="J505" s="1021"/>
      <c r="K505" s="1022"/>
      <c r="L505" s="1022"/>
      <c r="M505" s="1023">
        <f t="shared" si="78"/>
        <v>0</v>
      </c>
      <c r="N505" s="1022">
        <f t="shared" si="88"/>
        <v>0</v>
      </c>
      <c r="O505" s="1025"/>
      <c r="P505" s="1025"/>
      <c r="Q505" s="1025">
        <f t="shared" si="79"/>
        <v>0</v>
      </c>
      <c r="R505" s="1025">
        <f t="shared" si="89"/>
        <v>0</v>
      </c>
      <c r="S505" s="1026"/>
      <c r="T505" s="1026"/>
      <c r="U505" s="1026">
        <f t="shared" si="86"/>
        <v>0</v>
      </c>
      <c r="V505" s="1026">
        <f t="shared" si="90"/>
        <v>0</v>
      </c>
      <c r="W505" s="1027"/>
      <c r="X505" s="1027"/>
      <c r="Y505" s="1027">
        <f t="shared" si="80"/>
        <v>0</v>
      </c>
      <c r="Z505" s="1027">
        <f t="shared" si="91"/>
        <v>0</v>
      </c>
      <c r="AA505" s="1028"/>
      <c r="AB505" s="1028"/>
      <c r="AC505" s="1028">
        <f t="shared" si="81"/>
        <v>-45</v>
      </c>
      <c r="AD505" s="1028">
        <f t="shared" si="92"/>
        <v>-900</v>
      </c>
      <c r="AE505" s="1029"/>
      <c r="AF505" s="1029"/>
      <c r="AG505" s="1029">
        <v>31</v>
      </c>
      <c r="AH505" s="1029">
        <f t="shared" si="93"/>
        <v>620</v>
      </c>
      <c r="AI505" s="1030"/>
      <c r="AJ505" s="1030"/>
      <c r="AK505" s="1030">
        <v>31</v>
      </c>
      <c r="AL505" s="1030">
        <f t="shared" si="94"/>
        <v>620</v>
      </c>
      <c r="AM505" s="1031"/>
      <c r="AN505" s="1031"/>
      <c r="AO505" s="1031">
        <v>28</v>
      </c>
      <c r="AP505" s="1031">
        <f t="shared" si="95"/>
        <v>560</v>
      </c>
      <c r="AQ505" s="1026"/>
      <c r="AR505" s="1026"/>
      <c r="AS505" s="1026">
        <f t="shared" si="82"/>
        <v>-45</v>
      </c>
      <c r="AT505" s="1026">
        <f t="shared" si="96"/>
        <v>-900</v>
      </c>
      <c r="AU505" s="1032"/>
      <c r="AV505" s="1032"/>
      <c r="AW505" s="1032">
        <f t="shared" si="83"/>
        <v>0</v>
      </c>
      <c r="AX505" s="1032">
        <f t="shared" si="97"/>
        <v>0</v>
      </c>
      <c r="AY505" s="1033"/>
      <c r="AZ505" s="1033"/>
      <c r="BA505" s="1033">
        <f t="shared" si="84"/>
        <v>0</v>
      </c>
      <c r="BB505" s="1033">
        <f t="shared" si="98"/>
        <v>0</v>
      </c>
      <c r="BC505" s="1034"/>
      <c r="BD505" s="1034"/>
      <c r="BE505" s="1034"/>
      <c r="BF505" s="1034"/>
      <c r="BG505" s="1424"/>
      <c r="BH505" s="1424"/>
    </row>
    <row r="506" spans="2:60" ht="15.75" customHeight="1" x14ac:dyDescent="0.25">
      <c r="B506" s="1038"/>
      <c r="C506" s="1038"/>
      <c r="D506" s="1015"/>
      <c r="E506" s="1016"/>
      <c r="F506" s="1017"/>
      <c r="G506" s="1017"/>
      <c r="H506" s="1019"/>
      <c r="I506" s="1020"/>
      <c r="J506" s="1021"/>
      <c r="K506" s="1022"/>
      <c r="L506" s="1022"/>
      <c r="M506" s="1023">
        <f t="shared" si="78"/>
        <v>0</v>
      </c>
      <c r="N506" s="1022">
        <f t="shared" si="88"/>
        <v>0</v>
      </c>
      <c r="O506" s="1025"/>
      <c r="P506" s="1025"/>
      <c r="Q506" s="1025">
        <f t="shared" si="79"/>
        <v>0</v>
      </c>
      <c r="R506" s="1025">
        <f t="shared" si="89"/>
        <v>0</v>
      </c>
      <c r="S506" s="1026"/>
      <c r="T506" s="1026"/>
      <c r="U506" s="1026">
        <f t="shared" si="86"/>
        <v>0</v>
      </c>
      <c r="V506" s="1026">
        <f t="shared" si="90"/>
        <v>0</v>
      </c>
      <c r="W506" s="1027"/>
      <c r="X506" s="1027"/>
      <c r="Y506" s="1027">
        <f t="shared" si="80"/>
        <v>0</v>
      </c>
      <c r="Z506" s="1027">
        <f t="shared" si="91"/>
        <v>0</v>
      </c>
      <c r="AA506" s="1028"/>
      <c r="AB506" s="1028"/>
      <c r="AC506" s="1028">
        <f t="shared" si="81"/>
        <v>-45</v>
      </c>
      <c r="AD506" s="1028">
        <f t="shared" si="92"/>
        <v>-900</v>
      </c>
      <c r="AE506" s="1029"/>
      <c r="AF506" s="1029"/>
      <c r="AG506" s="1029">
        <v>31</v>
      </c>
      <c r="AH506" s="1029">
        <f t="shared" si="93"/>
        <v>620</v>
      </c>
      <c r="AI506" s="1030"/>
      <c r="AJ506" s="1030"/>
      <c r="AK506" s="1030">
        <v>31</v>
      </c>
      <c r="AL506" s="1030">
        <f t="shared" si="94"/>
        <v>620</v>
      </c>
      <c r="AM506" s="1031"/>
      <c r="AN506" s="1031"/>
      <c r="AO506" s="1031">
        <v>28</v>
      </c>
      <c r="AP506" s="1031">
        <f t="shared" si="95"/>
        <v>560</v>
      </c>
      <c r="AQ506" s="1026"/>
      <c r="AR506" s="1026"/>
      <c r="AS506" s="1026">
        <f t="shared" si="82"/>
        <v>-45</v>
      </c>
      <c r="AT506" s="1026">
        <f t="shared" si="96"/>
        <v>-900</v>
      </c>
      <c r="AU506" s="1032"/>
      <c r="AV506" s="1032"/>
      <c r="AW506" s="1032">
        <f t="shared" si="83"/>
        <v>0</v>
      </c>
      <c r="AX506" s="1032">
        <f t="shared" si="97"/>
        <v>0</v>
      </c>
      <c r="AY506" s="1033"/>
      <c r="AZ506" s="1033"/>
      <c r="BA506" s="1033">
        <f t="shared" si="84"/>
        <v>0</v>
      </c>
      <c r="BB506" s="1033">
        <f t="shared" si="98"/>
        <v>0</v>
      </c>
      <c r="BC506" s="1034"/>
      <c r="BD506" s="1034"/>
      <c r="BE506" s="1034"/>
      <c r="BF506" s="1034"/>
      <c r="BG506" s="1424"/>
      <c r="BH506" s="1424"/>
    </row>
    <row r="507" spans="2:60" ht="15.75" customHeight="1" x14ac:dyDescent="0.25">
      <c r="B507" s="1014"/>
      <c r="C507" s="1014"/>
      <c r="D507" s="1015"/>
      <c r="E507" s="1016"/>
      <c r="F507" s="1017"/>
      <c r="G507" s="1017"/>
      <c r="H507" s="1019"/>
      <c r="I507" s="1020"/>
      <c r="J507" s="1021"/>
      <c r="K507" s="1022"/>
      <c r="L507" s="1022"/>
      <c r="M507" s="1023">
        <f t="shared" si="78"/>
        <v>0</v>
      </c>
      <c r="N507" s="1022">
        <f t="shared" si="88"/>
        <v>0</v>
      </c>
      <c r="O507" s="1025"/>
      <c r="P507" s="1025"/>
      <c r="Q507" s="1025">
        <f t="shared" si="79"/>
        <v>0</v>
      </c>
      <c r="R507" s="1025">
        <f t="shared" si="89"/>
        <v>0</v>
      </c>
      <c r="S507" s="1026"/>
      <c r="T507" s="1026"/>
      <c r="U507" s="1026">
        <f t="shared" si="86"/>
        <v>0</v>
      </c>
      <c r="V507" s="1026">
        <f t="shared" si="90"/>
        <v>0</v>
      </c>
      <c r="W507" s="1027"/>
      <c r="X507" s="1027"/>
      <c r="Y507" s="1027">
        <f t="shared" si="80"/>
        <v>0</v>
      </c>
      <c r="Z507" s="1027">
        <f t="shared" si="91"/>
        <v>0</v>
      </c>
      <c r="AA507" s="1028"/>
      <c r="AB507" s="1028"/>
      <c r="AC507" s="1028">
        <f t="shared" si="81"/>
        <v>-45</v>
      </c>
      <c r="AD507" s="1028">
        <f t="shared" si="92"/>
        <v>-900</v>
      </c>
      <c r="AE507" s="1029"/>
      <c r="AF507" s="1029"/>
      <c r="AG507" s="1029">
        <v>31</v>
      </c>
      <c r="AH507" s="1029">
        <f t="shared" si="93"/>
        <v>620</v>
      </c>
      <c r="AI507" s="1030"/>
      <c r="AJ507" s="1030"/>
      <c r="AK507" s="1030">
        <v>31</v>
      </c>
      <c r="AL507" s="1030">
        <f t="shared" si="94"/>
        <v>620</v>
      </c>
      <c r="AM507" s="1031"/>
      <c r="AN507" s="1031"/>
      <c r="AO507" s="1031">
        <v>28</v>
      </c>
      <c r="AP507" s="1031">
        <f t="shared" si="95"/>
        <v>560</v>
      </c>
      <c r="AQ507" s="1026"/>
      <c r="AR507" s="1026"/>
      <c r="AS507" s="1026">
        <f t="shared" si="82"/>
        <v>-45</v>
      </c>
      <c r="AT507" s="1026">
        <f t="shared" si="96"/>
        <v>-900</v>
      </c>
      <c r="AU507" s="1032"/>
      <c r="AV507" s="1032"/>
      <c r="AW507" s="1032">
        <f t="shared" si="83"/>
        <v>0</v>
      </c>
      <c r="AX507" s="1032">
        <f t="shared" si="97"/>
        <v>0</v>
      </c>
      <c r="AY507" s="1033"/>
      <c r="AZ507" s="1033"/>
      <c r="BA507" s="1033">
        <f t="shared" si="84"/>
        <v>0</v>
      </c>
      <c r="BB507" s="1033">
        <f t="shared" si="98"/>
        <v>0</v>
      </c>
      <c r="BC507" s="1034"/>
      <c r="BD507" s="1034"/>
      <c r="BE507" s="1034"/>
      <c r="BF507" s="1034"/>
      <c r="BG507" s="1424"/>
      <c r="BH507" s="1424"/>
    </row>
    <row r="508" spans="2:60" ht="15.75" customHeight="1" x14ac:dyDescent="0.25">
      <c r="B508" s="1038"/>
      <c r="C508" s="1038"/>
      <c r="D508" s="1015"/>
      <c r="E508" s="1016"/>
      <c r="F508" s="1017"/>
      <c r="G508" s="1017"/>
      <c r="H508" s="1019"/>
      <c r="I508" s="1020"/>
      <c r="J508" s="1021"/>
      <c r="K508" s="1022"/>
      <c r="L508" s="1022"/>
      <c r="M508" s="1023">
        <f t="shared" si="78"/>
        <v>0</v>
      </c>
      <c r="N508" s="1022">
        <f t="shared" si="88"/>
        <v>0</v>
      </c>
      <c r="O508" s="1025"/>
      <c r="P508" s="1025"/>
      <c r="Q508" s="1025">
        <f t="shared" si="79"/>
        <v>0</v>
      </c>
      <c r="R508" s="1025">
        <f t="shared" si="89"/>
        <v>0</v>
      </c>
      <c r="S508" s="1026"/>
      <c r="T508" s="1026"/>
      <c r="U508" s="1026">
        <f t="shared" si="86"/>
        <v>0</v>
      </c>
      <c r="V508" s="1026">
        <f t="shared" si="90"/>
        <v>0</v>
      </c>
      <c r="W508" s="1027"/>
      <c r="X508" s="1027"/>
      <c r="Y508" s="1027">
        <f t="shared" si="80"/>
        <v>0</v>
      </c>
      <c r="Z508" s="1027">
        <f t="shared" si="91"/>
        <v>0</v>
      </c>
      <c r="AA508" s="1028"/>
      <c r="AB508" s="1028"/>
      <c r="AC508" s="1028">
        <f t="shared" si="81"/>
        <v>-45</v>
      </c>
      <c r="AD508" s="1028">
        <f t="shared" si="92"/>
        <v>-900</v>
      </c>
      <c r="AE508" s="1029"/>
      <c r="AF508" s="1029"/>
      <c r="AG508" s="1029">
        <v>31</v>
      </c>
      <c r="AH508" s="1029">
        <f t="shared" si="93"/>
        <v>620</v>
      </c>
      <c r="AI508" s="1030"/>
      <c r="AJ508" s="1030"/>
      <c r="AK508" s="1030">
        <v>31</v>
      </c>
      <c r="AL508" s="1030">
        <f t="shared" si="94"/>
        <v>620</v>
      </c>
      <c r="AM508" s="1031"/>
      <c r="AN508" s="1031"/>
      <c r="AO508" s="1031">
        <v>28</v>
      </c>
      <c r="AP508" s="1031">
        <f t="shared" si="95"/>
        <v>560</v>
      </c>
      <c r="AQ508" s="1026"/>
      <c r="AR508" s="1026"/>
      <c r="AS508" s="1026">
        <f t="shared" si="82"/>
        <v>-45</v>
      </c>
      <c r="AT508" s="1026">
        <f t="shared" si="96"/>
        <v>-900</v>
      </c>
      <c r="AU508" s="1032"/>
      <c r="AV508" s="1032"/>
      <c r="AW508" s="1032">
        <f t="shared" si="83"/>
        <v>0</v>
      </c>
      <c r="AX508" s="1032">
        <f t="shared" si="97"/>
        <v>0</v>
      </c>
      <c r="AY508" s="1033"/>
      <c r="AZ508" s="1033"/>
      <c r="BA508" s="1033">
        <f t="shared" si="84"/>
        <v>0</v>
      </c>
      <c r="BB508" s="1033">
        <f t="shared" si="98"/>
        <v>0</v>
      </c>
      <c r="BC508" s="1034"/>
      <c r="BD508" s="1034"/>
      <c r="BE508" s="1034"/>
      <c r="BF508" s="1034"/>
      <c r="BG508" s="1424"/>
      <c r="BH508" s="1424"/>
    </row>
    <row r="509" spans="2:60" ht="15.75" customHeight="1" x14ac:dyDescent="0.25">
      <c r="B509" s="1014"/>
      <c r="C509" s="1014"/>
      <c r="D509" s="1015"/>
      <c r="E509" s="1016"/>
      <c r="F509" s="1017"/>
      <c r="G509" s="1017"/>
      <c r="H509" s="1019"/>
      <c r="I509" s="1020"/>
      <c r="J509" s="1021"/>
      <c r="K509" s="1022"/>
      <c r="L509" s="1022"/>
      <c r="M509" s="1023">
        <f t="shared" si="78"/>
        <v>0</v>
      </c>
      <c r="N509" s="1022">
        <f t="shared" si="88"/>
        <v>0</v>
      </c>
      <c r="O509" s="1025"/>
      <c r="P509" s="1025"/>
      <c r="Q509" s="1025">
        <f t="shared" si="79"/>
        <v>0</v>
      </c>
      <c r="R509" s="1025">
        <f t="shared" si="89"/>
        <v>0</v>
      </c>
      <c r="S509" s="1026"/>
      <c r="T509" s="1026"/>
      <c r="U509" s="1026">
        <f t="shared" si="86"/>
        <v>0</v>
      </c>
      <c r="V509" s="1026">
        <f t="shared" si="90"/>
        <v>0</v>
      </c>
      <c r="W509" s="1027"/>
      <c r="X509" s="1027"/>
      <c r="Y509" s="1027">
        <f t="shared" si="80"/>
        <v>0</v>
      </c>
      <c r="Z509" s="1027">
        <f t="shared" si="91"/>
        <v>0</v>
      </c>
      <c r="AA509" s="1028"/>
      <c r="AB509" s="1028"/>
      <c r="AC509" s="1028">
        <f t="shared" si="81"/>
        <v>-45</v>
      </c>
      <c r="AD509" s="1028">
        <f t="shared" si="92"/>
        <v>-900</v>
      </c>
      <c r="AE509" s="1029"/>
      <c r="AF509" s="1029"/>
      <c r="AG509" s="1029">
        <v>31</v>
      </c>
      <c r="AH509" s="1029">
        <f t="shared" si="93"/>
        <v>620</v>
      </c>
      <c r="AI509" s="1030"/>
      <c r="AJ509" s="1030"/>
      <c r="AK509" s="1030">
        <v>31</v>
      </c>
      <c r="AL509" s="1030">
        <f t="shared" si="94"/>
        <v>620</v>
      </c>
      <c r="AM509" s="1031"/>
      <c r="AN509" s="1031"/>
      <c r="AO509" s="1031">
        <v>28</v>
      </c>
      <c r="AP509" s="1031">
        <f t="shared" si="95"/>
        <v>560</v>
      </c>
      <c r="AQ509" s="1026"/>
      <c r="AR509" s="1026"/>
      <c r="AS509" s="1026">
        <f t="shared" si="82"/>
        <v>-45</v>
      </c>
      <c r="AT509" s="1026">
        <f t="shared" si="96"/>
        <v>-900</v>
      </c>
      <c r="AU509" s="1032"/>
      <c r="AV509" s="1032"/>
      <c r="AW509" s="1032">
        <f t="shared" si="83"/>
        <v>0</v>
      </c>
      <c r="AX509" s="1032">
        <f t="shared" si="97"/>
        <v>0</v>
      </c>
      <c r="AY509" s="1033"/>
      <c r="AZ509" s="1033"/>
      <c r="BA509" s="1033">
        <f t="shared" si="84"/>
        <v>0</v>
      </c>
      <c r="BB509" s="1033">
        <f t="shared" si="98"/>
        <v>0</v>
      </c>
      <c r="BC509" s="1034"/>
      <c r="BD509" s="1034"/>
      <c r="BE509" s="1034"/>
      <c r="BF509" s="1034"/>
      <c r="BG509" s="1424"/>
      <c r="BH509" s="1424"/>
    </row>
    <row r="510" spans="2:60" ht="15.75" customHeight="1" x14ac:dyDescent="0.25">
      <c r="B510" s="1038"/>
      <c r="C510" s="1038"/>
      <c r="D510" s="1015"/>
      <c r="E510" s="1016"/>
      <c r="F510" s="1017"/>
      <c r="G510" s="1017"/>
      <c r="H510" s="1019"/>
      <c r="I510" s="1020"/>
      <c r="J510" s="1021"/>
      <c r="K510" s="1022"/>
      <c r="L510" s="1022"/>
      <c r="M510" s="1023">
        <f t="shared" si="78"/>
        <v>0</v>
      </c>
      <c r="N510" s="1022">
        <f t="shared" si="88"/>
        <v>0</v>
      </c>
      <c r="O510" s="1025"/>
      <c r="P510" s="1025"/>
      <c r="Q510" s="1025">
        <f t="shared" si="79"/>
        <v>0</v>
      </c>
      <c r="R510" s="1025">
        <f t="shared" si="89"/>
        <v>0</v>
      </c>
      <c r="S510" s="1026"/>
      <c r="T510" s="1026"/>
      <c r="U510" s="1026">
        <f t="shared" si="86"/>
        <v>0</v>
      </c>
      <c r="V510" s="1026">
        <f t="shared" si="90"/>
        <v>0</v>
      </c>
      <c r="W510" s="1027"/>
      <c r="X510" s="1027"/>
      <c r="Y510" s="1027">
        <f t="shared" si="80"/>
        <v>0</v>
      </c>
      <c r="Z510" s="1027">
        <f t="shared" si="91"/>
        <v>0</v>
      </c>
      <c r="AA510" s="1028"/>
      <c r="AB510" s="1028"/>
      <c r="AC510" s="1028">
        <f t="shared" si="81"/>
        <v>-45</v>
      </c>
      <c r="AD510" s="1028">
        <f t="shared" si="92"/>
        <v>-900</v>
      </c>
      <c r="AE510" s="1029"/>
      <c r="AF510" s="1029"/>
      <c r="AG510" s="1029">
        <v>31</v>
      </c>
      <c r="AH510" s="1029">
        <f t="shared" si="93"/>
        <v>620</v>
      </c>
      <c r="AI510" s="1030"/>
      <c r="AJ510" s="1030"/>
      <c r="AK510" s="1030">
        <v>31</v>
      </c>
      <c r="AL510" s="1030">
        <f t="shared" si="94"/>
        <v>620</v>
      </c>
      <c r="AM510" s="1031"/>
      <c r="AN510" s="1031"/>
      <c r="AO510" s="1031">
        <v>28</v>
      </c>
      <c r="AP510" s="1031">
        <f t="shared" si="95"/>
        <v>560</v>
      </c>
      <c r="AQ510" s="1026"/>
      <c r="AR510" s="1026"/>
      <c r="AS510" s="1026">
        <f t="shared" si="82"/>
        <v>-45</v>
      </c>
      <c r="AT510" s="1026">
        <f t="shared" si="96"/>
        <v>-900</v>
      </c>
      <c r="AU510" s="1032"/>
      <c r="AV510" s="1032"/>
      <c r="AW510" s="1032">
        <f t="shared" si="83"/>
        <v>0</v>
      </c>
      <c r="AX510" s="1032">
        <f t="shared" si="97"/>
        <v>0</v>
      </c>
      <c r="AY510" s="1033"/>
      <c r="AZ510" s="1033"/>
      <c r="BA510" s="1033">
        <f t="shared" si="84"/>
        <v>0</v>
      </c>
      <c r="BB510" s="1033">
        <f t="shared" si="98"/>
        <v>0</v>
      </c>
      <c r="BC510" s="1034"/>
      <c r="BD510" s="1034"/>
      <c r="BE510" s="1034"/>
      <c r="BF510" s="1034"/>
      <c r="BG510" s="1424"/>
      <c r="BH510" s="1424"/>
    </row>
    <row r="511" spans="2:60" ht="15.75" customHeight="1" x14ac:dyDescent="0.25">
      <c r="B511" s="1014"/>
      <c r="C511" s="1014"/>
      <c r="D511" s="1015"/>
      <c r="E511" s="1016"/>
      <c r="F511" s="1017"/>
      <c r="G511" s="1017"/>
      <c r="H511" s="1019"/>
      <c r="I511" s="1020"/>
      <c r="J511" s="1021"/>
      <c r="K511" s="1022"/>
      <c r="L511" s="1022"/>
      <c r="M511" s="1023">
        <f t="shared" si="78"/>
        <v>0</v>
      </c>
      <c r="N511" s="1022">
        <f t="shared" si="88"/>
        <v>0</v>
      </c>
      <c r="O511" s="1025"/>
      <c r="P511" s="1025"/>
      <c r="Q511" s="1025">
        <f t="shared" si="79"/>
        <v>0</v>
      </c>
      <c r="R511" s="1025">
        <f t="shared" si="89"/>
        <v>0</v>
      </c>
      <c r="S511" s="1026"/>
      <c r="T511" s="1026"/>
      <c r="U511" s="1026">
        <f t="shared" si="86"/>
        <v>0</v>
      </c>
      <c r="V511" s="1026">
        <f t="shared" si="90"/>
        <v>0</v>
      </c>
      <c r="W511" s="1027"/>
      <c r="X511" s="1027"/>
      <c r="Y511" s="1027">
        <f t="shared" si="80"/>
        <v>0</v>
      </c>
      <c r="Z511" s="1027">
        <f t="shared" si="91"/>
        <v>0</v>
      </c>
      <c r="AA511" s="1028"/>
      <c r="AB511" s="1028"/>
      <c r="AC511" s="1028">
        <f t="shared" si="81"/>
        <v>-45</v>
      </c>
      <c r="AD511" s="1028">
        <f t="shared" si="92"/>
        <v>-900</v>
      </c>
      <c r="AE511" s="1029"/>
      <c r="AF511" s="1029"/>
      <c r="AG511" s="1029">
        <v>31</v>
      </c>
      <c r="AH511" s="1029">
        <f t="shared" si="93"/>
        <v>620</v>
      </c>
      <c r="AI511" s="1030"/>
      <c r="AJ511" s="1030"/>
      <c r="AK511" s="1030">
        <v>31</v>
      </c>
      <c r="AL511" s="1030">
        <f t="shared" si="94"/>
        <v>620</v>
      </c>
      <c r="AM511" s="1031"/>
      <c r="AN511" s="1031"/>
      <c r="AO511" s="1031">
        <v>28</v>
      </c>
      <c r="AP511" s="1031">
        <f t="shared" si="95"/>
        <v>560</v>
      </c>
      <c r="AQ511" s="1026"/>
      <c r="AR511" s="1026"/>
      <c r="AS511" s="1026">
        <f t="shared" si="82"/>
        <v>-45</v>
      </c>
      <c r="AT511" s="1026">
        <f t="shared" si="96"/>
        <v>-900</v>
      </c>
      <c r="AU511" s="1032"/>
      <c r="AV511" s="1032"/>
      <c r="AW511" s="1032">
        <f t="shared" si="83"/>
        <v>0</v>
      </c>
      <c r="AX511" s="1032">
        <f t="shared" si="97"/>
        <v>0</v>
      </c>
      <c r="AY511" s="1033"/>
      <c r="AZ511" s="1033"/>
      <c r="BA511" s="1033">
        <f t="shared" si="84"/>
        <v>0</v>
      </c>
      <c r="BB511" s="1033">
        <f t="shared" si="98"/>
        <v>0</v>
      </c>
      <c r="BC511" s="1034"/>
      <c r="BD511" s="1034"/>
      <c r="BE511" s="1034"/>
      <c r="BF511" s="1034"/>
      <c r="BG511" s="1424"/>
      <c r="BH511" s="1424"/>
    </row>
    <row r="512" spans="2:60" ht="15.75" customHeight="1" x14ac:dyDescent="0.25">
      <c r="B512" s="1038"/>
      <c r="C512" s="1038"/>
      <c r="D512" s="1015"/>
      <c r="E512" s="1016"/>
      <c r="F512" s="1017"/>
      <c r="G512" s="1017"/>
      <c r="H512" s="1019"/>
      <c r="I512" s="1020"/>
      <c r="J512" s="1021"/>
      <c r="K512" s="1022"/>
      <c r="L512" s="1022"/>
      <c r="M512" s="1023">
        <f t="shared" si="78"/>
        <v>0</v>
      </c>
      <c r="N512" s="1022">
        <f t="shared" si="88"/>
        <v>0</v>
      </c>
      <c r="O512" s="1025"/>
      <c r="P512" s="1025"/>
      <c r="Q512" s="1025">
        <f t="shared" si="79"/>
        <v>0</v>
      </c>
      <c r="R512" s="1025">
        <f t="shared" si="89"/>
        <v>0</v>
      </c>
      <c r="S512" s="1026"/>
      <c r="T512" s="1026"/>
      <c r="U512" s="1026">
        <f t="shared" si="86"/>
        <v>0</v>
      </c>
      <c r="V512" s="1026">
        <f t="shared" si="90"/>
        <v>0</v>
      </c>
      <c r="W512" s="1027"/>
      <c r="X512" s="1027"/>
      <c r="Y512" s="1027">
        <f t="shared" si="80"/>
        <v>0</v>
      </c>
      <c r="Z512" s="1027">
        <f t="shared" si="91"/>
        <v>0</v>
      </c>
      <c r="AA512" s="1028"/>
      <c r="AB512" s="1028"/>
      <c r="AC512" s="1028">
        <f t="shared" si="81"/>
        <v>-45</v>
      </c>
      <c r="AD512" s="1028">
        <f t="shared" si="92"/>
        <v>-900</v>
      </c>
      <c r="AE512" s="1029"/>
      <c r="AF512" s="1029"/>
      <c r="AG512" s="1029">
        <v>31</v>
      </c>
      <c r="AH512" s="1029">
        <f t="shared" si="93"/>
        <v>620</v>
      </c>
      <c r="AI512" s="1030"/>
      <c r="AJ512" s="1030"/>
      <c r="AK512" s="1030">
        <v>31</v>
      </c>
      <c r="AL512" s="1030">
        <f t="shared" si="94"/>
        <v>620</v>
      </c>
      <c r="AM512" s="1031"/>
      <c r="AN512" s="1031"/>
      <c r="AO512" s="1031">
        <v>28</v>
      </c>
      <c r="AP512" s="1031">
        <f t="shared" si="95"/>
        <v>560</v>
      </c>
      <c r="AQ512" s="1026"/>
      <c r="AR512" s="1026"/>
      <c r="AS512" s="1026">
        <f t="shared" si="82"/>
        <v>-45</v>
      </c>
      <c r="AT512" s="1026">
        <f t="shared" si="96"/>
        <v>-900</v>
      </c>
      <c r="AU512" s="1032"/>
      <c r="AV512" s="1032"/>
      <c r="AW512" s="1032">
        <f t="shared" si="83"/>
        <v>0</v>
      </c>
      <c r="AX512" s="1032">
        <f t="shared" si="97"/>
        <v>0</v>
      </c>
      <c r="AY512" s="1033"/>
      <c r="AZ512" s="1033"/>
      <c r="BA512" s="1033">
        <f t="shared" si="84"/>
        <v>0</v>
      </c>
      <c r="BB512" s="1033">
        <f t="shared" si="98"/>
        <v>0</v>
      </c>
      <c r="BC512" s="1034"/>
      <c r="BD512" s="1034"/>
      <c r="BE512" s="1034"/>
      <c r="BF512" s="1034"/>
      <c r="BG512" s="1424"/>
      <c r="BH512" s="1424"/>
    </row>
    <row r="513" spans="2:60" ht="15.75" customHeight="1" x14ac:dyDescent="0.25">
      <c r="B513" s="1014"/>
      <c r="C513" s="1014"/>
      <c r="D513" s="1015"/>
      <c r="E513" s="1016"/>
      <c r="F513" s="1017"/>
      <c r="G513" s="1017"/>
      <c r="H513" s="1019"/>
      <c r="I513" s="1020"/>
      <c r="J513" s="1021"/>
      <c r="K513" s="1022"/>
      <c r="L513" s="1022"/>
      <c r="M513" s="1023">
        <f t="shared" si="78"/>
        <v>0</v>
      </c>
      <c r="N513" s="1022">
        <f t="shared" si="88"/>
        <v>0</v>
      </c>
      <c r="O513" s="1025"/>
      <c r="P513" s="1025"/>
      <c r="Q513" s="1025">
        <f t="shared" si="79"/>
        <v>0</v>
      </c>
      <c r="R513" s="1025">
        <f t="shared" si="89"/>
        <v>0</v>
      </c>
      <c r="S513" s="1026"/>
      <c r="T513" s="1026"/>
      <c r="U513" s="1026">
        <f t="shared" si="86"/>
        <v>0</v>
      </c>
      <c r="V513" s="1026">
        <f t="shared" si="90"/>
        <v>0</v>
      </c>
      <c r="W513" s="1027"/>
      <c r="X513" s="1027"/>
      <c r="Y513" s="1027">
        <f t="shared" si="80"/>
        <v>0</v>
      </c>
      <c r="Z513" s="1027">
        <f t="shared" si="91"/>
        <v>0</v>
      </c>
      <c r="AA513" s="1028"/>
      <c r="AB513" s="1028"/>
      <c r="AC513" s="1028">
        <f t="shared" si="81"/>
        <v>-45</v>
      </c>
      <c r="AD513" s="1028">
        <f t="shared" si="92"/>
        <v>-900</v>
      </c>
      <c r="AE513" s="1029"/>
      <c r="AF513" s="1029"/>
      <c r="AG513" s="1029">
        <v>31</v>
      </c>
      <c r="AH513" s="1029">
        <f t="shared" si="93"/>
        <v>620</v>
      </c>
      <c r="AI513" s="1030"/>
      <c r="AJ513" s="1030"/>
      <c r="AK513" s="1030">
        <v>31</v>
      </c>
      <c r="AL513" s="1030">
        <f t="shared" si="94"/>
        <v>620</v>
      </c>
      <c r="AM513" s="1031"/>
      <c r="AN513" s="1031"/>
      <c r="AO513" s="1031">
        <v>28</v>
      </c>
      <c r="AP513" s="1031">
        <f t="shared" si="95"/>
        <v>560</v>
      </c>
      <c r="AQ513" s="1026"/>
      <c r="AR513" s="1026"/>
      <c r="AS513" s="1026">
        <f t="shared" si="82"/>
        <v>-45</v>
      </c>
      <c r="AT513" s="1026">
        <f t="shared" si="96"/>
        <v>-900</v>
      </c>
      <c r="AU513" s="1032"/>
      <c r="AV513" s="1032"/>
      <c r="AW513" s="1032">
        <f t="shared" si="83"/>
        <v>0</v>
      </c>
      <c r="AX513" s="1032">
        <f t="shared" si="97"/>
        <v>0</v>
      </c>
      <c r="AY513" s="1033"/>
      <c r="AZ513" s="1033"/>
      <c r="BA513" s="1033">
        <f t="shared" si="84"/>
        <v>0</v>
      </c>
      <c r="BB513" s="1033">
        <f t="shared" si="98"/>
        <v>0</v>
      </c>
      <c r="BC513" s="1034"/>
      <c r="BD513" s="1034"/>
      <c r="BE513" s="1034"/>
      <c r="BF513" s="1034"/>
      <c r="BG513" s="1424"/>
      <c r="BH513" s="1424"/>
    </row>
    <row r="514" spans="2:60" ht="15.75" customHeight="1" x14ac:dyDescent="0.25">
      <c r="B514" s="1038"/>
      <c r="C514" s="1038"/>
      <c r="D514" s="1015"/>
      <c r="E514" s="1016"/>
      <c r="F514" s="1017"/>
      <c r="G514" s="1017"/>
      <c r="H514" s="1019"/>
      <c r="I514" s="1020"/>
      <c r="J514" s="1021"/>
      <c r="K514" s="1022"/>
      <c r="L514" s="1022"/>
      <c r="M514" s="1023">
        <f t="shared" si="78"/>
        <v>0</v>
      </c>
      <c r="N514" s="1022">
        <f t="shared" si="88"/>
        <v>0</v>
      </c>
      <c r="O514" s="1025"/>
      <c r="P514" s="1025"/>
      <c r="Q514" s="1025">
        <f t="shared" si="79"/>
        <v>0</v>
      </c>
      <c r="R514" s="1025">
        <f t="shared" si="89"/>
        <v>0</v>
      </c>
      <c r="S514" s="1026"/>
      <c r="T514" s="1026"/>
      <c r="U514" s="1026">
        <f t="shared" si="86"/>
        <v>0</v>
      </c>
      <c r="V514" s="1026">
        <f t="shared" si="90"/>
        <v>0</v>
      </c>
      <c r="W514" s="1027"/>
      <c r="X514" s="1027"/>
      <c r="Y514" s="1027">
        <f t="shared" si="80"/>
        <v>0</v>
      </c>
      <c r="Z514" s="1027">
        <f t="shared" si="91"/>
        <v>0</v>
      </c>
      <c r="AA514" s="1028"/>
      <c r="AB514" s="1028"/>
      <c r="AC514" s="1028">
        <f t="shared" si="81"/>
        <v>-45</v>
      </c>
      <c r="AD514" s="1028">
        <f t="shared" si="92"/>
        <v>-900</v>
      </c>
      <c r="AE514" s="1029"/>
      <c r="AF514" s="1029"/>
      <c r="AG514" s="1029">
        <v>31</v>
      </c>
      <c r="AH514" s="1029">
        <f t="shared" si="93"/>
        <v>620</v>
      </c>
      <c r="AI514" s="1030"/>
      <c r="AJ514" s="1030"/>
      <c r="AK514" s="1030">
        <v>31</v>
      </c>
      <c r="AL514" s="1030">
        <f t="shared" si="94"/>
        <v>620</v>
      </c>
      <c r="AM514" s="1031"/>
      <c r="AN514" s="1031"/>
      <c r="AO514" s="1031">
        <v>28</v>
      </c>
      <c r="AP514" s="1031">
        <f t="shared" si="95"/>
        <v>560</v>
      </c>
      <c r="AQ514" s="1026"/>
      <c r="AR514" s="1026"/>
      <c r="AS514" s="1026">
        <f t="shared" si="82"/>
        <v>-45</v>
      </c>
      <c r="AT514" s="1026">
        <f t="shared" si="96"/>
        <v>-900</v>
      </c>
      <c r="AU514" s="1032"/>
      <c r="AV514" s="1032"/>
      <c r="AW514" s="1032">
        <f t="shared" si="83"/>
        <v>0</v>
      </c>
      <c r="AX514" s="1032">
        <f t="shared" si="97"/>
        <v>0</v>
      </c>
      <c r="AY514" s="1033"/>
      <c r="AZ514" s="1033"/>
      <c r="BA514" s="1033">
        <f t="shared" si="84"/>
        <v>0</v>
      </c>
      <c r="BB514" s="1033">
        <f t="shared" si="98"/>
        <v>0</v>
      </c>
      <c r="BC514" s="1034"/>
      <c r="BD514" s="1034"/>
      <c r="BE514" s="1034"/>
      <c r="BF514" s="1034"/>
      <c r="BG514" s="1424"/>
      <c r="BH514" s="1424"/>
    </row>
    <row r="515" spans="2:60" ht="15.75" customHeight="1" x14ac:dyDescent="0.25">
      <c r="B515" s="1014"/>
      <c r="C515" s="1014"/>
      <c r="D515" s="1015"/>
      <c r="E515" s="1016"/>
      <c r="F515" s="1017"/>
      <c r="G515" s="1017"/>
      <c r="H515" s="1019"/>
      <c r="I515" s="1020"/>
      <c r="J515" s="1021"/>
      <c r="K515" s="1022"/>
      <c r="L515" s="1022"/>
      <c r="M515" s="1023">
        <f t="shared" si="78"/>
        <v>0</v>
      </c>
      <c r="N515" s="1022">
        <f t="shared" si="88"/>
        <v>0</v>
      </c>
      <c r="O515" s="1025"/>
      <c r="P515" s="1025"/>
      <c r="Q515" s="1025">
        <f t="shared" si="79"/>
        <v>0</v>
      </c>
      <c r="R515" s="1025">
        <f t="shared" si="89"/>
        <v>0</v>
      </c>
      <c r="S515" s="1026"/>
      <c r="T515" s="1026"/>
      <c r="U515" s="1026">
        <f t="shared" si="86"/>
        <v>0</v>
      </c>
      <c r="V515" s="1026">
        <f t="shared" si="90"/>
        <v>0</v>
      </c>
      <c r="W515" s="1027"/>
      <c r="X515" s="1027"/>
      <c r="Y515" s="1027">
        <f t="shared" si="80"/>
        <v>0</v>
      </c>
      <c r="Z515" s="1027">
        <f t="shared" si="91"/>
        <v>0</v>
      </c>
      <c r="AA515" s="1028"/>
      <c r="AB515" s="1028"/>
      <c r="AC515" s="1028">
        <f t="shared" si="81"/>
        <v>-45</v>
      </c>
      <c r="AD515" s="1028">
        <f t="shared" si="92"/>
        <v>-900</v>
      </c>
      <c r="AE515" s="1029"/>
      <c r="AF515" s="1029"/>
      <c r="AG515" s="1029">
        <v>31</v>
      </c>
      <c r="AH515" s="1029">
        <f t="shared" si="93"/>
        <v>620</v>
      </c>
      <c r="AI515" s="1030"/>
      <c r="AJ515" s="1030"/>
      <c r="AK515" s="1030">
        <v>31</v>
      </c>
      <c r="AL515" s="1030">
        <f t="shared" si="94"/>
        <v>620</v>
      </c>
      <c r="AM515" s="1031"/>
      <c r="AN515" s="1031"/>
      <c r="AO515" s="1031">
        <v>28</v>
      </c>
      <c r="AP515" s="1031">
        <f t="shared" si="95"/>
        <v>560</v>
      </c>
      <c r="AQ515" s="1026"/>
      <c r="AR515" s="1026"/>
      <c r="AS515" s="1026">
        <f t="shared" si="82"/>
        <v>-45</v>
      </c>
      <c r="AT515" s="1026">
        <f t="shared" si="96"/>
        <v>-900</v>
      </c>
      <c r="AU515" s="1032"/>
      <c r="AV515" s="1032"/>
      <c r="AW515" s="1032">
        <f t="shared" si="83"/>
        <v>0</v>
      </c>
      <c r="AX515" s="1032">
        <f t="shared" si="97"/>
        <v>0</v>
      </c>
      <c r="AY515" s="1033"/>
      <c r="AZ515" s="1033"/>
      <c r="BA515" s="1033">
        <f t="shared" si="84"/>
        <v>0</v>
      </c>
      <c r="BB515" s="1033">
        <f t="shared" si="98"/>
        <v>0</v>
      </c>
      <c r="BC515" s="1034"/>
      <c r="BD515" s="1034"/>
      <c r="BE515" s="1034"/>
      <c r="BF515" s="1034"/>
      <c r="BG515" s="1424"/>
      <c r="BH515" s="1424"/>
    </row>
    <row r="516" spans="2:60" ht="15.75" customHeight="1" x14ac:dyDescent="0.25">
      <c r="B516" s="1038"/>
      <c r="C516" s="1038"/>
      <c r="D516" s="1015"/>
      <c r="E516" s="1016"/>
      <c r="F516" s="1017"/>
      <c r="G516" s="1017"/>
      <c r="H516" s="1019"/>
      <c r="I516" s="1020"/>
      <c r="J516" s="1021"/>
      <c r="K516" s="1022"/>
      <c r="L516" s="1022"/>
      <c r="M516" s="1023">
        <f t="shared" si="78"/>
        <v>0</v>
      </c>
      <c r="N516" s="1022">
        <f t="shared" si="88"/>
        <v>0</v>
      </c>
      <c r="O516" s="1025"/>
      <c r="P516" s="1025"/>
      <c r="Q516" s="1025">
        <f t="shared" si="79"/>
        <v>0</v>
      </c>
      <c r="R516" s="1025">
        <f t="shared" si="89"/>
        <v>0</v>
      </c>
      <c r="S516" s="1026"/>
      <c r="T516" s="1026"/>
      <c r="U516" s="1026">
        <f t="shared" si="86"/>
        <v>0</v>
      </c>
      <c r="V516" s="1026">
        <f t="shared" si="90"/>
        <v>0</v>
      </c>
      <c r="W516" s="1027"/>
      <c r="X516" s="1027"/>
      <c r="Y516" s="1027">
        <f t="shared" si="80"/>
        <v>0</v>
      </c>
      <c r="Z516" s="1027">
        <f t="shared" si="91"/>
        <v>0</v>
      </c>
      <c r="AA516" s="1028"/>
      <c r="AB516" s="1028"/>
      <c r="AC516" s="1028">
        <f t="shared" si="81"/>
        <v>-45</v>
      </c>
      <c r="AD516" s="1028">
        <f t="shared" si="92"/>
        <v>-900</v>
      </c>
      <c r="AE516" s="1029"/>
      <c r="AF516" s="1029"/>
      <c r="AG516" s="1029">
        <v>31</v>
      </c>
      <c r="AH516" s="1029">
        <f t="shared" si="93"/>
        <v>620</v>
      </c>
      <c r="AI516" s="1030"/>
      <c r="AJ516" s="1030"/>
      <c r="AK516" s="1030">
        <v>31</v>
      </c>
      <c r="AL516" s="1030">
        <f t="shared" si="94"/>
        <v>620</v>
      </c>
      <c r="AM516" s="1031"/>
      <c r="AN516" s="1031"/>
      <c r="AO516" s="1031">
        <v>28</v>
      </c>
      <c r="AP516" s="1031">
        <f t="shared" si="95"/>
        <v>560</v>
      </c>
      <c r="AQ516" s="1026"/>
      <c r="AR516" s="1026"/>
      <c r="AS516" s="1026">
        <f t="shared" si="82"/>
        <v>-45</v>
      </c>
      <c r="AT516" s="1026">
        <f t="shared" si="96"/>
        <v>-900</v>
      </c>
      <c r="AU516" s="1032"/>
      <c r="AV516" s="1032"/>
      <c r="AW516" s="1032">
        <f t="shared" si="83"/>
        <v>0</v>
      </c>
      <c r="AX516" s="1032">
        <f t="shared" si="97"/>
        <v>0</v>
      </c>
      <c r="AY516" s="1033"/>
      <c r="AZ516" s="1033"/>
      <c r="BA516" s="1033">
        <f t="shared" si="84"/>
        <v>0</v>
      </c>
      <c r="BB516" s="1033">
        <f t="shared" si="98"/>
        <v>0</v>
      </c>
      <c r="BC516" s="1034"/>
      <c r="BD516" s="1034"/>
      <c r="BE516" s="1034"/>
      <c r="BF516" s="1034"/>
      <c r="BG516" s="1424"/>
      <c r="BH516" s="1424"/>
    </row>
    <row r="517" spans="2:60" ht="15.75" customHeight="1" x14ac:dyDescent="0.25">
      <c r="B517" s="1014"/>
      <c r="C517" s="1014"/>
      <c r="D517" s="1015"/>
      <c r="E517" s="1016"/>
      <c r="F517" s="1017"/>
      <c r="G517" s="1017"/>
      <c r="H517" s="1019"/>
      <c r="I517" s="1020"/>
      <c r="J517" s="1021"/>
      <c r="K517" s="1022"/>
      <c r="L517" s="1022"/>
      <c r="M517" s="1023">
        <f t="shared" si="78"/>
        <v>0</v>
      </c>
      <c r="N517" s="1022">
        <f t="shared" si="88"/>
        <v>0</v>
      </c>
      <c r="O517" s="1025"/>
      <c r="P517" s="1025"/>
      <c r="Q517" s="1025">
        <f t="shared" si="79"/>
        <v>0</v>
      </c>
      <c r="R517" s="1025">
        <f t="shared" si="89"/>
        <v>0</v>
      </c>
      <c r="S517" s="1026"/>
      <c r="T517" s="1026"/>
      <c r="U517" s="1026">
        <f t="shared" si="86"/>
        <v>0</v>
      </c>
      <c r="V517" s="1026">
        <f t="shared" si="90"/>
        <v>0</v>
      </c>
      <c r="W517" s="1027"/>
      <c r="X517" s="1027"/>
      <c r="Y517" s="1027">
        <f t="shared" si="80"/>
        <v>0</v>
      </c>
      <c r="Z517" s="1027">
        <f t="shared" si="91"/>
        <v>0</v>
      </c>
      <c r="AA517" s="1028"/>
      <c r="AB517" s="1028"/>
      <c r="AC517" s="1028">
        <f t="shared" si="81"/>
        <v>-45</v>
      </c>
      <c r="AD517" s="1028">
        <f t="shared" si="92"/>
        <v>-900</v>
      </c>
      <c r="AE517" s="1029"/>
      <c r="AF517" s="1029"/>
      <c r="AG517" s="1029">
        <v>31</v>
      </c>
      <c r="AH517" s="1029">
        <f t="shared" si="93"/>
        <v>620</v>
      </c>
      <c r="AI517" s="1030"/>
      <c r="AJ517" s="1030"/>
      <c r="AK517" s="1030">
        <v>31</v>
      </c>
      <c r="AL517" s="1030">
        <f t="shared" si="94"/>
        <v>620</v>
      </c>
      <c r="AM517" s="1031"/>
      <c r="AN517" s="1031"/>
      <c r="AO517" s="1031">
        <v>28</v>
      </c>
      <c r="AP517" s="1031">
        <f t="shared" si="95"/>
        <v>560</v>
      </c>
      <c r="AQ517" s="1026"/>
      <c r="AR517" s="1026"/>
      <c r="AS517" s="1026">
        <f t="shared" si="82"/>
        <v>-45</v>
      </c>
      <c r="AT517" s="1026">
        <f t="shared" si="96"/>
        <v>-900</v>
      </c>
      <c r="AU517" s="1032"/>
      <c r="AV517" s="1032"/>
      <c r="AW517" s="1032">
        <f t="shared" si="83"/>
        <v>0</v>
      </c>
      <c r="AX517" s="1032">
        <f t="shared" si="97"/>
        <v>0</v>
      </c>
      <c r="AY517" s="1033"/>
      <c r="AZ517" s="1033"/>
      <c r="BA517" s="1033">
        <f t="shared" si="84"/>
        <v>0</v>
      </c>
      <c r="BB517" s="1033">
        <f t="shared" si="98"/>
        <v>0</v>
      </c>
      <c r="BC517" s="1034"/>
      <c r="BD517" s="1034"/>
      <c r="BE517" s="1034"/>
      <c r="BF517" s="1034"/>
      <c r="BG517" s="1424"/>
      <c r="BH517" s="1424"/>
    </row>
    <row r="518" spans="2:60" ht="15.75" customHeight="1" x14ac:dyDescent="0.25">
      <c r="B518" s="1038"/>
      <c r="C518" s="1038"/>
      <c r="D518" s="1015"/>
      <c r="E518" s="1016"/>
      <c r="F518" s="1017"/>
      <c r="G518" s="1017"/>
      <c r="H518" s="1019"/>
      <c r="I518" s="1020"/>
      <c r="J518" s="1021"/>
      <c r="K518" s="1022"/>
      <c r="L518" s="1022"/>
      <c r="M518" s="1023">
        <f t="shared" si="78"/>
        <v>0</v>
      </c>
      <c r="N518" s="1022">
        <f t="shared" si="88"/>
        <v>0</v>
      </c>
      <c r="O518" s="1025"/>
      <c r="P518" s="1025"/>
      <c r="Q518" s="1025">
        <f t="shared" si="79"/>
        <v>0</v>
      </c>
      <c r="R518" s="1025">
        <f t="shared" si="89"/>
        <v>0</v>
      </c>
      <c r="S518" s="1026"/>
      <c r="T518" s="1026"/>
      <c r="U518" s="1026">
        <f t="shared" si="86"/>
        <v>0</v>
      </c>
      <c r="V518" s="1026">
        <f t="shared" si="90"/>
        <v>0</v>
      </c>
      <c r="W518" s="1027"/>
      <c r="X518" s="1027"/>
      <c r="Y518" s="1027">
        <f t="shared" si="80"/>
        <v>0</v>
      </c>
      <c r="Z518" s="1027">
        <f t="shared" si="91"/>
        <v>0</v>
      </c>
      <c r="AA518" s="1028"/>
      <c r="AB518" s="1028"/>
      <c r="AC518" s="1028">
        <f t="shared" si="81"/>
        <v>-45</v>
      </c>
      <c r="AD518" s="1028">
        <f t="shared" si="92"/>
        <v>-900</v>
      </c>
      <c r="AE518" s="1029"/>
      <c r="AF518" s="1029"/>
      <c r="AG518" s="1029">
        <v>31</v>
      </c>
      <c r="AH518" s="1029">
        <f t="shared" si="93"/>
        <v>620</v>
      </c>
      <c r="AI518" s="1030"/>
      <c r="AJ518" s="1030"/>
      <c r="AK518" s="1030">
        <v>31</v>
      </c>
      <c r="AL518" s="1030">
        <f t="shared" si="94"/>
        <v>620</v>
      </c>
      <c r="AM518" s="1031"/>
      <c r="AN518" s="1031"/>
      <c r="AO518" s="1031">
        <v>28</v>
      </c>
      <c r="AP518" s="1031">
        <f t="shared" si="95"/>
        <v>560</v>
      </c>
      <c r="AQ518" s="1026"/>
      <c r="AR518" s="1026"/>
      <c r="AS518" s="1026">
        <f t="shared" si="82"/>
        <v>-45</v>
      </c>
      <c r="AT518" s="1026">
        <f t="shared" si="96"/>
        <v>-900</v>
      </c>
      <c r="AU518" s="1032"/>
      <c r="AV518" s="1032"/>
      <c r="AW518" s="1032">
        <f t="shared" si="83"/>
        <v>0</v>
      </c>
      <c r="AX518" s="1032">
        <f t="shared" si="97"/>
        <v>0</v>
      </c>
      <c r="AY518" s="1033"/>
      <c r="AZ518" s="1033"/>
      <c r="BA518" s="1033">
        <f t="shared" si="84"/>
        <v>0</v>
      </c>
      <c r="BB518" s="1033">
        <f t="shared" si="98"/>
        <v>0</v>
      </c>
      <c r="BC518" s="1034"/>
      <c r="BD518" s="1034"/>
      <c r="BE518" s="1034"/>
      <c r="BF518" s="1034"/>
      <c r="BG518" s="1424"/>
      <c r="BH518" s="1424"/>
    </row>
    <row r="519" spans="2:60" ht="15.75" customHeight="1" x14ac:dyDescent="0.25">
      <c r="B519" s="1014"/>
      <c r="C519" s="1014"/>
      <c r="D519" s="1015"/>
      <c r="E519" s="1016"/>
      <c r="F519" s="1017"/>
      <c r="G519" s="1017"/>
      <c r="H519" s="1019"/>
      <c r="I519" s="1020"/>
      <c r="J519" s="1021"/>
      <c r="K519" s="1022"/>
      <c r="L519" s="1022"/>
      <c r="M519" s="1023">
        <f t="shared" si="78"/>
        <v>0</v>
      </c>
      <c r="N519" s="1022">
        <f t="shared" si="88"/>
        <v>0</v>
      </c>
      <c r="O519" s="1025"/>
      <c r="P519" s="1025"/>
      <c r="Q519" s="1025">
        <f t="shared" si="79"/>
        <v>0</v>
      </c>
      <c r="R519" s="1025">
        <f t="shared" si="89"/>
        <v>0</v>
      </c>
      <c r="S519" s="1026"/>
      <c r="T519" s="1026"/>
      <c r="U519" s="1026">
        <f t="shared" si="86"/>
        <v>0</v>
      </c>
      <c r="V519" s="1026">
        <f t="shared" si="90"/>
        <v>0</v>
      </c>
      <c r="W519" s="1027"/>
      <c r="X519" s="1027"/>
      <c r="Y519" s="1027">
        <f t="shared" si="80"/>
        <v>0</v>
      </c>
      <c r="Z519" s="1027">
        <f t="shared" si="91"/>
        <v>0</v>
      </c>
      <c r="AA519" s="1028"/>
      <c r="AB519" s="1028"/>
      <c r="AC519" s="1028">
        <f t="shared" si="81"/>
        <v>-45</v>
      </c>
      <c r="AD519" s="1028">
        <f t="shared" si="92"/>
        <v>-900</v>
      </c>
      <c r="AE519" s="1029"/>
      <c r="AF519" s="1029"/>
      <c r="AG519" s="1029">
        <v>31</v>
      </c>
      <c r="AH519" s="1029">
        <f t="shared" si="93"/>
        <v>620</v>
      </c>
      <c r="AI519" s="1030"/>
      <c r="AJ519" s="1030"/>
      <c r="AK519" s="1030">
        <v>31</v>
      </c>
      <c r="AL519" s="1030">
        <f t="shared" si="94"/>
        <v>620</v>
      </c>
      <c r="AM519" s="1031"/>
      <c r="AN519" s="1031"/>
      <c r="AO519" s="1031">
        <v>28</v>
      </c>
      <c r="AP519" s="1031">
        <f t="shared" si="95"/>
        <v>560</v>
      </c>
      <c r="AQ519" s="1026"/>
      <c r="AR519" s="1026"/>
      <c r="AS519" s="1026">
        <f t="shared" si="82"/>
        <v>-45</v>
      </c>
      <c r="AT519" s="1026">
        <f t="shared" si="96"/>
        <v>-900</v>
      </c>
      <c r="AU519" s="1032"/>
      <c r="AV519" s="1032"/>
      <c r="AW519" s="1032">
        <f t="shared" si="83"/>
        <v>0</v>
      </c>
      <c r="AX519" s="1032">
        <f t="shared" si="97"/>
        <v>0</v>
      </c>
      <c r="AY519" s="1033"/>
      <c r="AZ519" s="1033"/>
      <c r="BA519" s="1033">
        <f t="shared" si="84"/>
        <v>0</v>
      </c>
      <c r="BB519" s="1033">
        <f t="shared" si="98"/>
        <v>0</v>
      </c>
      <c r="BC519" s="1034"/>
      <c r="BD519" s="1034"/>
      <c r="BE519" s="1034"/>
      <c r="BF519" s="1034"/>
      <c r="BG519" s="1424"/>
      <c r="BH519" s="1424"/>
    </row>
    <row r="520" spans="2:60" ht="15.75" customHeight="1" x14ac:dyDescent="0.25">
      <c r="B520" s="1038"/>
      <c r="C520" s="1038"/>
      <c r="D520" s="1015"/>
      <c r="E520" s="1016"/>
      <c r="F520" s="1017"/>
      <c r="G520" s="1017"/>
      <c r="H520" s="1019"/>
      <c r="I520" s="1020"/>
      <c r="J520" s="1021"/>
      <c r="K520" s="1022"/>
      <c r="L520" s="1022"/>
      <c r="M520" s="1023">
        <f t="shared" si="78"/>
        <v>0</v>
      </c>
      <c r="N520" s="1022">
        <f t="shared" si="88"/>
        <v>0</v>
      </c>
      <c r="O520" s="1025"/>
      <c r="P520" s="1025"/>
      <c r="Q520" s="1025">
        <f t="shared" si="79"/>
        <v>0</v>
      </c>
      <c r="R520" s="1025">
        <f t="shared" si="89"/>
        <v>0</v>
      </c>
      <c r="S520" s="1026"/>
      <c r="T520" s="1026"/>
      <c r="U520" s="1026">
        <f t="shared" si="86"/>
        <v>0</v>
      </c>
      <c r="V520" s="1026">
        <f t="shared" si="90"/>
        <v>0</v>
      </c>
      <c r="W520" s="1027"/>
      <c r="X520" s="1027"/>
      <c r="Y520" s="1027">
        <f t="shared" si="80"/>
        <v>0</v>
      </c>
      <c r="Z520" s="1027">
        <f t="shared" si="91"/>
        <v>0</v>
      </c>
      <c r="AA520" s="1028"/>
      <c r="AB520" s="1028"/>
      <c r="AC520" s="1028">
        <f t="shared" si="81"/>
        <v>-45</v>
      </c>
      <c r="AD520" s="1028">
        <f t="shared" si="92"/>
        <v>-900</v>
      </c>
      <c r="AE520" s="1029"/>
      <c r="AF520" s="1029"/>
      <c r="AG520" s="1029">
        <v>31</v>
      </c>
      <c r="AH520" s="1029">
        <f t="shared" si="93"/>
        <v>620</v>
      </c>
      <c r="AI520" s="1030"/>
      <c r="AJ520" s="1030"/>
      <c r="AK520" s="1030">
        <v>31</v>
      </c>
      <c r="AL520" s="1030">
        <f t="shared" si="94"/>
        <v>620</v>
      </c>
      <c r="AM520" s="1031"/>
      <c r="AN520" s="1031"/>
      <c r="AO520" s="1031">
        <v>28</v>
      </c>
      <c r="AP520" s="1031">
        <f t="shared" si="95"/>
        <v>560</v>
      </c>
      <c r="AQ520" s="1026"/>
      <c r="AR520" s="1026"/>
      <c r="AS520" s="1026">
        <f t="shared" si="82"/>
        <v>-45</v>
      </c>
      <c r="AT520" s="1026">
        <f t="shared" si="96"/>
        <v>-900</v>
      </c>
      <c r="AU520" s="1032"/>
      <c r="AV520" s="1032"/>
      <c r="AW520" s="1032">
        <f t="shared" si="83"/>
        <v>0</v>
      </c>
      <c r="AX520" s="1032">
        <f t="shared" si="97"/>
        <v>0</v>
      </c>
      <c r="AY520" s="1033"/>
      <c r="AZ520" s="1033"/>
      <c r="BA520" s="1033">
        <f t="shared" si="84"/>
        <v>0</v>
      </c>
      <c r="BB520" s="1033">
        <f t="shared" si="98"/>
        <v>0</v>
      </c>
      <c r="BC520" s="1034"/>
      <c r="BD520" s="1034"/>
      <c r="BE520" s="1034"/>
      <c r="BF520" s="1034"/>
      <c r="BG520" s="1424"/>
      <c r="BH520" s="1424"/>
    </row>
    <row r="521" spans="2:60" ht="15.75" customHeight="1" x14ac:dyDescent="0.25">
      <c r="B521" s="1014"/>
      <c r="C521" s="1014"/>
      <c r="D521" s="1015"/>
      <c r="E521" s="1016"/>
      <c r="F521" s="1017"/>
      <c r="G521" s="1017"/>
      <c r="H521" s="1019"/>
      <c r="I521" s="1020"/>
      <c r="J521" s="1021"/>
      <c r="K521" s="1022"/>
      <c r="L521" s="1022"/>
      <c r="M521" s="1023">
        <f t="shared" ref="M521:M548" si="99">MAX(0,E521-Q521-U521-Y521-AC521-AG521-AK521-AO521-AS521-AW521-BA521-BE521)</f>
        <v>0</v>
      </c>
      <c r="N521" s="1022">
        <f t="shared" si="88"/>
        <v>0</v>
      </c>
      <c r="O521" s="1025"/>
      <c r="P521" s="1025"/>
      <c r="Q521" s="1025">
        <f t="shared" ref="Q521:Q548" si="100">IF((E521-273)&gt;0,IF((E521-273)/2&gt;31,31,(E521-273)/2),0)</f>
        <v>0</v>
      </c>
      <c r="R521" s="1025">
        <f t="shared" si="89"/>
        <v>0</v>
      </c>
      <c r="S521" s="1026"/>
      <c r="T521" s="1026"/>
      <c r="U521" s="1026">
        <f t="shared" si="86"/>
        <v>0</v>
      </c>
      <c r="V521" s="1026">
        <f t="shared" si="90"/>
        <v>0</v>
      </c>
      <c r="W521" s="1027"/>
      <c r="X521" s="1027"/>
      <c r="Y521" s="1027">
        <f t="shared" ref="Y521:Y548" si="101">IF((E521-151)&gt;0,IF((E521-151)/2&gt;31,31,(E521-151)/2),0)</f>
        <v>0</v>
      </c>
      <c r="Z521" s="1027">
        <f t="shared" si="91"/>
        <v>0</v>
      </c>
      <c r="AA521" s="1028"/>
      <c r="AB521" s="1028"/>
      <c r="AC521" s="1028">
        <f t="shared" ref="AC521:AC548" si="102">IF((E521-90)/2&gt;30,30,(E521-90)/2)</f>
        <v>-45</v>
      </c>
      <c r="AD521" s="1028">
        <f t="shared" si="92"/>
        <v>-900</v>
      </c>
      <c r="AE521" s="1029"/>
      <c r="AF521" s="1029"/>
      <c r="AG521" s="1029">
        <v>31</v>
      </c>
      <c r="AH521" s="1029">
        <f t="shared" si="93"/>
        <v>620</v>
      </c>
      <c r="AI521" s="1030"/>
      <c r="AJ521" s="1030"/>
      <c r="AK521" s="1030">
        <v>31</v>
      </c>
      <c r="AL521" s="1030">
        <f t="shared" si="94"/>
        <v>620</v>
      </c>
      <c r="AM521" s="1031"/>
      <c r="AN521" s="1031"/>
      <c r="AO521" s="1031">
        <v>28</v>
      </c>
      <c r="AP521" s="1031">
        <f t="shared" si="95"/>
        <v>560</v>
      </c>
      <c r="AQ521" s="1026"/>
      <c r="AR521" s="1026"/>
      <c r="AS521" s="1026">
        <f t="shared" ref="AS521:AS548" si="103">IF((E521-90)/2&gt;31,31,(E521-90)/2)</f>
        <v>-45</v>
      </c>
      <c r="AT521" s="1026">
        <f t="shared" si="96"/>
        <v>-900</v>
      </c>
      <c r="AU521" s="1032"/>
      <c r="AV521" s="1032"/>
      <c r="AW521" s="1032">
        <f t="shared" ref="AW521:AW548" si="104">IF((E521-151)&gt;0,IF((E521-151)/2&gt;30,30,(E521-151)/2),0)</f>
        <v>0</v>
      </c>
      <c r="AX521" s="1032">
        <f t="shared" si="97"/>
        <v>0</v>
      </c>
      <c r="AY521" s="1033"/>
      <c r="AZ521" s="1033"/>
      <c r="BA521" s="1033">
        <f t="shared" ref="BA521:BA548" si="105">IF((E521-212)&gt;0,IF((E521-212)/2&gt;31,31,(E521-212)/2),0)</f>
        <v>0</v>
      </c>
      <c r="BB521" s="1033">
        <f t="shared" si="98"/>
        <v>0</v>
      </c>
      <c r="BC521" s="1034"/>
      <c r="BD521" s="1034"/>
      <c r="BE521" s="1034"/>
      <c r="BF521" s="1034"/>
      <c r="BG521" s="1424"/>
      <c r="BH521" s="1424"/>
    </row>
    <row r="522" spans="2:60" ht="15.75" customHeight="1" x14ac:dyDescent="0.25">
      <c r="B522" s="1038"/>
      <c r="C522" s="1038"/>
      <c r="D522" s="1015"/>
      <c r="E522" s="1016"/>
      <c r="F522" s="1017"/>
      <c r="G522" s="1017"/>
      <c r="H522" s="1019"/>
      <c r="I522" s="1020"/>
      <c r="J522" s="1021"/>
      <c r="K522" s="1022"/>
      <c r="L522" s="1022"/>
      <c r="M522" s="1023">
        <f t="shared" si="99"/>
        <v>0</v>
      </c>
      <c r="N522" s="1022">
        <f t="shared" si="88"/>
        <v>0</v>
      </c>
      <c r="O522" s="1025"/>
      <c r="P522" s="1025"/>
      <c r="Q522" s="1025">
        <f t="shared" si="100"/>
        <v>0</v>
      </c>
      <c r="R522" s="1025">
        <f t="shared" si="89"/>
        <v>0</v>
      </c>
      <c r="S522" s="1026"/>
      <c r="T522" s="1026"/>
      <c r="U522" s="1026">
        <f t="shared" ref="U522:U548" si="106">IF((E522-212)&gt;0,IF((E522-212)/2&gt;30,30,(E522-212)/2),0)</f>
        <v>0</v>
      </c>
      <c r="V522" s="1026">
        <f t="shared" si="90"/>
        <v>0</v>
      </c>
      <c r="W522" s="1027"/>
      <c r="X522" s="1027"/>
      <c r="Y522" s="1027">
        <f t="shared" si="101"/>
        <v>0</v>
      </c>
      <c r="Z522" s="1027">
        <f t="shared" si="91"/>
        <v>0</v>
      </c>
      <c r="AA522" s="1028"/>
      <c r="AB522" s="1028"/>
      <c r="AC522" s="1028">
        <f t="shared" si="102"/>
        <v>-45</v>
      </c>
      <c r="AD522" s="1028">
        <f t="shared" si="92"/>
        <v>-900</v>
      </c>
      <c r="AE522" s="1029"/>
      <c r="AF522" s="1029"/>
      <c r="AG522" s="1029">
        <v>31</v>
      </c>
      <c r="AH522" s="1029">
        <f t="shared" ref="AH522:AH548" si="107">AG522*(20-AE522)</f>
        <v>620</v>
      </c>
      <c r="AI522" s="1030"/>
      <c r="AJ522" s="1030"/>
      <c r="AK522" s="1030">
        <v>31</v>
      </c>
      <c r="AL522" s="1030">
        <f t="shared" ref="AL522:AL548" si="108">AK522*(20-AI522)</f>
        <v>620</v>
      </c>
      <c r="AM522" s="1031"/>
      <c r="AN522" s="1031"/>
      <c r="AO522" s="1031">
        <v>28</v>
      </c>
      <c r="AP522" s="1031">
        <f t="shared" ref="AP522:AP548" si="109">AO522*(20-AM522)</f>
        <v>560</v>
      </c>
      <c r="AQ522" s="1026"/>
      <c r="AR522" s="1026"/>
      <c r="AS522" s="1026">
        <f t="shared" si="103"/>
        <v>-45</v>
      </c>
      <c r="AT522" s="1026">
        <f t="shared" si="96"/>
        <v>-900</v>
      </c>
      <c r="AU522" s="1032"/>
      <c r="AV522" s="1032"/>
      <c r="AW522" s="1032">
        <f t="shared" si="104"/>
        <v>0</v>
      </c>
      <c r="AX522" s="1032">
        <f t="shared" si="97"/>
        <v>0</v>
      </c>
      <c r="AY522" s="1033"/>
      <c r="AZ522" s="1033"/>
      <c r="BA522" s="1033">
        <f t="shared" si="105"/>
        <v>0</v>
      </c>
      <c r="BB522" s="1033">
        <f t="shared" si="98"/>
        <v>0</v>
      </c>
      <c r="BC522" s="1034"/>
      <c r="BD522" s="1034"/>
      <c r="BE522" s="1034"/>
      <c r="BF522" s="1034"/>
      <c r="BG522" s="1424"/>
      <c r="BH522" s="1424"/>
    </row>
    <row r="523" spans="2:60" ht="15.75" customHeight="1" x14ac:dyDescent="0.25">
      <c r="B523" s="1014"/>
      <c r="C523" s="1014"/>
      <c r="D523" s="1015"/>
      <c r="E523" s="1016"/>
      <c r="F523" s="1017"/>
      <c r="G523" s="1017"/>
      <c r="H523" s="1019"/>
      <c r="I523" s="1020"/>
      <c r="J523" s="1021"/>
      <c r="K523" s="1022"/>
      <c r="L523" s="1022"/>
      <c r="M523" s="1023">
        <f t="shared" si="99"/>
        <v>0</v>
      </c>
      <c r="N523" s="1022">
        <f t="shared" ref="N523:N548" si="110">M523*(20-K523)</f>
        <v>0</v>
      </c>
      <c r="O523" s="1025"/>
      <c r="P523" s="1025"/>
      <c r="Q523" s="1025">
        <f t="shared" si="100"/>
        <v>0</v>
      </c>
      <c r="R523" s="1025">
        <f t="shared" ref="R523:R548" si="111">Q523*(20-O523)</f>
        <v>0</v>
      </c>
      <c r="S523" s="1026"/>
      <c r="T523" s="1026"/>
      <c r="U523" s="1026">
        <f t="shared" si="106"/>
        <v>0</v>
      </c>
      <c r="V523" s="1026">
        <f t="shared" ref="V523:V548" si="112">U523*(20-S523)</f>
        <v>0</v>
      </c>
      <c r="W523" s="1027"/>
      <c r="X523" s="1027"/>
      <c r="Y523" s="1027">
        <f t="shared" si="101"/>
        <v>0</v>
      </c>
      <c r="Z523" s="1027">
        <f t="shared" ref="Z523:Z548" si="113">Y523*(20-W523)</f>
        <v>0</v>
      </c>
      <c r="AA523" s="1028"/>
      <c r="AB523" s="1028"/>
      <c r="AC523" s="1028">
        <f t="shared" si="102"/>
        <v>-45</v>
      </c>
      <c r="AD523" s="1028">
        <f t="shared" ref="AD523:AD548" si="114">AC523*(20-AA523)</f>
        <v>-900</v>
      </c>
      <c r="AE523" s="1029"/>
      <c r="AF523" s="1029"/>
      <c r="AG523" s="1029">
        <v>31</v>
      </c>
      <c r="AH523" s="1029">
        <f t="shared" si="107"/>
        <v>620</v>
      </c>
      <c r="AI523" s="1030"/>
      <c r="AJ523" s="1030"/>
      <c r="AK523" s="1030">
        <v>31</v>
      </c>
      <c r="AL523" s="1030">
        <f t="shared" si="108"/>
        <v>620</v>
      </c>
      <c r="AM523" s="1031"/>
      <c r="AN523" s="1031"/>
      <c r="AO523" s="1031">
        <v>28</v>
      </c>
      <c r="AP523" s="1031">
        <f t="shared" si="109"/>
        <v>560</v>
      </c>
      <c r="AQ523" s="1026"/>
      <c r="AR523" s="1026"/>
      <c r="AS523" s="1026">
        <f t="shared" si="103"/>
        <v>-45</v>
      </c>
      <c r="AT523" s="1026">
        <f t="shared" ref="AT523:AT548" si="115">AS523*(20-AQ523)</f>
        <v>-900</v>
      </c>
      <c r="AU523" s="1032"/>
      <c r="AV523" s="1032"/>
      <c r="AW523" s="1032">
        <f t="shared" si="104"/>
        <v>0</v>
      </c>
      <c r="AX523" s="1032">
        <f t="shared" ref="AX523:AX548" si="116">AW523*(20-AU523)</f>
        <v>0</v>
      </c>
      <c r="AY523" s="1033"/>
      <c r="AZ523" s="1033"/>
      <c r="BA523" s="1033">
        <f t="shared" si="105"/>
        <v>0</v>
      </c>
      <c r="BB523" s="1033">
        <f t="shared" ref="BB523:BB548" si="117">BA523*(20-AY523)</f>
        <v>0</v>
      </c>
      <c r="BC523" s="1034"/>
      <c r="BD523" s="1034"/>
      <c r="BE523" s="1034"/>
      <c r="BF523" s="1034"/>
      <c r="BG523" s="1424"/>
      <c r="BH523" s="1424"/>
    </row>
    <row r="524" spans="2:60" ht="15.75" customHeight="1" x14ac:dyDescent="0.25">
      <c r="B524" s="1038"/>
      <c r="C524" s="1038"/>
      <c r="D524" s="1015"/>
      <c r="E524" s="1016"/>
      <c r="F524" s="1017"/>
      <c r="G524" s="1017"/>
      <c r="H524" s="1019"/>
      <c r="I524" s="1020"/>
      <c r="J524" s="1021"/>
      <c r="K524" s="1022"/>
      <c r="L524" s="1022"/>
      <c r="M524" s="1023">
        <f t="shared" si="99"/>
        <v>0</v>
      </c>
      <c r="N524" s="1022">
        <f t="shared" si="110"/>
        <v>0</v>
      </c>
      <c r="O524" s="1025"/>
      <c r="P524" s="1025"/>
      <c r="Q524" s="1025">
        <f t="shared" si="100"/>
        <v>0</v>
      </c>
      <c r="R524" s="1025">
        <f t="shared" si="111"/>
        <v>0</v>
      </c>
      <c r="S524" s="1026"/>
      <c r="T524" s="1026"/>
      <c r="U524" s="1026">
        <f t="shared" si="106"/>
        <v>0</v>
      </c>
      <c r="V524" s="1026">
        <f t="shared" si="112"/>
        <v>0</v>
      </c>
      <c r="W524" s="1027"/>
      <c r="X524" s="1027"/>
      <c r="Y524" s="1027">
        <f t="shared" si="101"/>
        <v>0</v>
      </c>
      <c r="Z524" s="1027">
        <f t="shared" si="113"/>
        <v>0</v>
      </c>
      <c r="AA524" s="1028"/>
      <c r="AB524" s="1028"/>
      <c r="AC524" s="1028">
        <f t="shared" si="102"/>
        <v>-45</v>
      </c>
      <c r="AD524" s="1028">
        <f t="shared" si="114"/>
        <v>-900</v>
      </c>
      <c r="AE524" s="1029"/>
      <c r="AF524" s="1029"/>
      <c r="AG524" s="1029">
        <v>31</v>
      </c>
      <c r="AH524" s="1029">
        <f t="shared" si="107"/>
        <v>620</v>
      </c>
      <c r="AI524" s="1030"/>
      <c r="AJ524" s="1030"/>
      <c r="AK524" s="1030">
        <v>31</v>
      </c>
      <c r="AL524" s="1030">
        <f t="shared" si="108"/>
        <v>620</v>
      </c>
      <c r="AM524" s="1031"/>
      <c r="AN524" s="1031"/>
      <c r="AO524" s="1031">
        <v>28</v>
      </c>
      <c r="AP524" s="1031">
        <f t="shared" si="109"/>
        <v>560</v>
      </c>
      <c r="AQ524" s="1026"/>
      <c r="AR524" s="1026"/>
      <c r="AS524" s="1026">
        <f t="shared" si="103"/>
        <v>-45</v>
      </c>
      <c r="AT524" s="1026">
        <f t="shared" si="115"/>
        <v>-900</v>
      </c>
      <c r="AU524" s="1032"/>
      <c r="AV524" s="1032"/>
      <c r="AW524" s="1032">
        <f t="shared" si="104"/>
        <v>0</v>
      </c>
      <c r="AX524" s="1032">
        <f t="shared" si="116"/>
        <v>0</v>
      </c>
      <c r="AY524" s="1033"/>
      <c r="AZ524" s="1033"/>
      <c r="BA524" s="1033">
        <f t="shared" si="105"/>
        <v>0</v>
      </c>
      <c r="BB524" s="1033">
        <f t="shared" si="117"/>
        <v>0</v>
      </c>
      <c r="BC524" s="1034"/>
      <c r="BD524" s="1034"/>
      <c r="BE524" s="1034"/>
      <c r="BF524" s="1034"/>
      <c r="BG524" s="1424"/>
      <c r="BH524" s="1424"/>
    </row>
    <row r="525" spans="2:60" ht="15.75" customHeight="1" x14ac:dyDescent="0.25">
      <c r="B525" s="1014"/>
      <c r="C525" s="1014"/>
      <c r="D525" s="1015"/>
      <c r="E525" s="1016"/>
      <c r="F525" s="1017"/>
      <c r="G525" s="1017"/>
      <c r="H525" s="1019"/>
      <c r="I525" s="1020"/>
      <c r="J525" s="1021"/>
      <c r="K525" s="1022"/>
      <c r="L525" s="1022"/>
      <c r="M525" s="1023">
        <f t="shared" si="99"/>
        <v>0</v>
      </c>
      <c r="N525" s="1022">
        <f t="shared" si="110"/>
        <v>0</v>
      </c>
      <c r="O525" s="1025"/>
      <c r="P525" s="1025"/>
      <c r="Q525" s="1025">
        <f t="shared" si="100"/>
        <v>0</v>
      </c>
      <c r="R525" s="1025">
        <f t="shared" si="111"/>
        <v>0</v>
      </c>
      <c r="S525" s="1026"/>
      <c r="T525" s="1026"/>
      <c r="U525" s="1026">
        <f t="shared" si="106"/>
        <v>0</v>
      </c>
      <c r="V525" s="1026">
        <f t="shared" si="112"/>
        <v>0</v>
      </c>
      <c r="W525" s="1027"/>
      <c r="X525" s="1027"/>
      <c r="Y525" s="1027">
        <f t="shared" si="101"/>
        <v>0</v>
      </c>
      <c r="Z525" s="1027">
        <f t="shared" si="113"/>
        <v>0</v>
      </c>
      <c r="AA525" s="1028"/>
      <c r="AB525" s="1028"/>
      <c r="AC525" s="1028">
        <f t="shared" si="102"/>
        <v>-45</v>
      </c>
      <c r="AD525" s="1028">
        <f t="shared" si="114"/>
        <v>-900</v>
      </c>
      <c r="AE525" s="1029"/>
      <c r="AF525" s="1029"/>
      <c r="AG525" s="1029">
        <v>31</v>
      </c>
      <c r="AH525" s="1029">
        <f t="shared" si="107"/>
        <v>620</v>
      </c>
      <c r="AI525" s="1030"/>
      <c r="AJ525" s="1030"/>
      <c r="AK525" s="1030">
        <v>31</v>
      </c>
      <c r="AL525" s="1030">
        <f t="shared" si="108"/>
        <v>620</v>
      </c>
      <c r="AM525" s="1031"/>
      <c r="AN525" s="1031"/>
      <c r="AO525" s="1031">
        <v>28</v>
      </c>
      <c r="AP525" s="1031">
        <f t="shared" si="109"/>
        <v>560</v>
      </c>
      <c r="AQ525" s="1026"/>
      <c r="AR525" s="1026"/>
      <c r="AS525" s="1026">
        <f t="shared" si="103"/>
        <v>-45</v>
      </c>
      <c r="AT525" s="1026">
        <f t="shared" si="115"/>
        <v>-900</v>
      </c>
      <c r="AU525" s="1032"/>
      <c r="AV525" s="1032"/>
      <c r="AW525" s="1032">
        <f t="shared" si="104"/>
        <v>0</v>
      </c>
      <c r="AX525" s="1032">
        <f t="shared" si="116"/>
        <v>0</v>
      </c>
      <c r="AY525" s="1033"/>
      <c r="AZ525" s="1033"/>
      <c r="BA525" s="1033">
        <f t="shared" si="105"/>
        <v>0</v>
      </c>
      <c r="BB525" s="1033">
        <f t="shared" si="117"/>
        <v>0</v>
      </c>
      <c r="BC525" s="1034"/>
      <c r="BD525" s="1034"/>
      <c r="BE525" s="1034"/>
      <c r="BF525" s="1034"/>
      <c r="BG525" s="1424"/>
      <c r="BH525" s="1424"/>
    </row>
    <row r="526" spans="2:60" ht="15.75" customHeight="1" x14ac:dyDescent="0.25">
      <c r="B526" s="1038"/>
      <c r="C526" s="1038"/>
      <c r="D526" s="1015"/>
      <c r="E526" s="1016"/>
      <c r="F526" s="1017"/>
      <c r="G526" s="1017"/>
      <c r="H526" s="1019"/>
      <c r="I526" s="1020"/>
      <c r="J526" s="1021"/>
      <c r="K526" s="1022"/>
      <c r="L526" s="1022"/>
      <c r="M526" s="1023">
        <f t="shared" si="99"/>
        <v>0</v>
      </c>
      <c r="N526" s="1022">
        <f t="shared" si="110"/>
        <v>0</v>
      </c>
      <c r="O526" s="1025"/>
      <c r="P526" s="1025"/>
      <c r="Q526" s="1025">
        <f t="shared" si="100"/>
        <v>0</v>
      </c>
      <c r="R526" s="1025">
        <f t="shared" si="111"/>
        <v>0</v>
      </c>
      <c r="S526" s="1026"/>
      <c r="T526" s="1026"/>
      <c r="U526" s="1026">
        <f t="shared" si="106"/>
        <v>0</v>
      </c>
      <c r="V526" s="1026">
        <f t="shared" si="112"/>
        <v>0</v>
      </c>
      <c r="W526" s="1027"/>
      <c r="X526" s="1027"/>
      <c r="Y526" s="1027">
        <f t="shared" si="101"/>
        <v>0</v>
      </c>
      <c r="Z526" s="1027">
        <f t="shared" si="113"/>
        <v>0</v>
      </c>
      <c r="AA526" s="1028"/>
      <c r="AB526" s="1028"/>
      <c r="AC526" s="1028">
        <f t="shared" si="102"/>
        <v>-45</v>
      </c>
      <c r="AD526" s="1028">
        <f t="shared" si="114"/>
        <v>-900</v>
      </c>
      <c r="AE526" s="1029"/>
      <c r="AF526" s="1029"/>
      <c r="AG526" s="1029">
        <v>31</v>
      </c>
      <c r="AH526" s="1029">
        <f t="shared" si="107"/>
        <v>620</v>
      </c>
      <c r="AI526" s="1030"/>
      <c r="AJ526" s="1030"/>
      <c r="AK526" s="1030">
        <v>31</v>
      </c>
      <c r="AL526" s="1030">
        <f t="shared" si="108"/>
        <v>620</v>
      </c>
      <c r="AM526" s="1031"/>
      <c r="AN526" s="1031"/>
      <c r="AO526" s="1031">
        <v>28</v>
      </c>
      <c r="AP526" s="1031">
        <f t="shared" si="109"/>
        <v>560</v>
      </c>
      <c r="AQ526" s="1026"/>
      <c r="AR526" s="1026"/>
      <c r="AS526" s="1026">
        <f t="shared" si="103"/>
        <v>-45</v>
      </c>
      <c r="AT526" s="1026">
        <f t="shared" si="115"/>
        <v>-900</v>
      </c>
      <c r="AU526" s="1032"/>
      <c r="AV526" s="1032"/>
      <c r="AW526" s="1032">
        <f t="shared" si="104"/>
        <v>0</v>
      </c>
      <c r="AX526" s="1032">
        <f t="shared" si="116"/>
        <v>0</v>
      </c>
      <c r="AY526" s="1033"/>
      <c r="AZ526" s="1033"/>
      <c r="BA526" s="1033">
        <f t="shared" si="105"/>
        <v>0</v>
      </c>
      <c r="BB526" s="1033">
        <f t="shared" si="117"/>
        <v>0</v>
      </c>
      <c r="BC526" s="1034"/>
      <c r="BD526" s="1034"/>
      <c r="BE526" s="1034"/>
      <c r="BF526" s="1034"/>
      <c r="BG526" s="1424"/>
      <c r="BH526" s="1424"/>
    </row>
    <row r="527" spans="2:60" ht="15.75" customHeight="1" x14ac:dyDescent="0.25">
      <c r="B527" s="1014"/>
      <c r="C527" s="1014"/>
      <c r="D527" s="1015"/>
      <c r="E527" s="1016"/>
      <c r="F527" s="1017"/>
      <c r="G527" s="1017"/>
      <c r="H527" s="1019"/>
      <c r="I527" s="1020"/>
      <c r="J527" s="1021"/>
      <c r="K527" s="1022"/>
      <c r="L527" s="1022"/>
      <c r="M527" s="1023">
        <f t="shared" si="99"/>
        <v>0</v>
      </c>
      <c r="N527" s="1022">
        <f t="shared" si="110"/>
        <v>0</v>
      </c>
      <c r="O527" s="1025"/>
      <c r="P527" s="1025"/>
      <c r="Q527" s="1025">
        <f t="shared" si="100"/>
        <v>0</v>
      </c>
      <c r="R527" s="1025">
        <f t="shared" si="111"/>
        <v>0</v>
      </c>
      <c r="S527" s="1026"/>
      <c r="T527" s="1026"/>
      <c r="U527" s="1026">
        <f t="shared" si="106"/>
        <v>0</v>
      </c>
      <c r="V527" s="1026">
        <f t="shared" si="112"/>
        <v>0</v>
      </c>
      <c r="W527" s="1027"/>
      <c r="X527" s="1027"/>
      <c r="Y527" s="1027">
        <f t="shared" si="101"/>
        <v>0</v>
      </c>
      <c r="Z527" s="1027">
        <f t="shared" si="113"/>
        <v>0</v>
      </c>
      <c r="AA527" s="1028"/>
      <c r="AB527" s="1028"/>
      <c r="AC527" s="1028">
        <f t="shared" si="102"/>
        <v>-45</v>
      </c>
      <c r="AD527" s="1028">
        <f t="shared" si="114"/>
        <v>-900</v>
      </c>
      <c r="AE527" s="1029"/>
      <c r="AF527" s="1029"/>
      <c r="AG527" s="1029">
        <v>31</v>
      </c>
      <c r="AH527" s="1029">
        <f t="shared" si="107"/>
        <v>620</v>
      </c>
      <c r="AI527" s="1030"/>
      <c r="AJ527" s="1030"/>
      <c r="AK527" s="1030">
        <v>31</v>
      </c>
      <c r="AL527" s="1030">
        <f t="shared" si="108"/>
        <v>620</v>
      </c>
      <c r="AM527" s="1031"/>
      <c r="AN527" s="1031"/>
      <c r="AO527" s="1031">
        <v>28</v>
      </c>
      <c r="AP527" s="1031">
        <f t="shared" si="109"/>
        <v>560</v>
      </c>
      <c r="AQ527" s="1026"/>
      <c r="AR527" s="1026"/>
      <c r="AS527" s="1026">
        <f t="shared" si="103"/>
        <v>-45</v>
      </c>
      <c r="AT527" s="1026">
        <f t="shared" si="115"/>
        <v>-900</v>
      </c>
      <c r="AU527" s="1032"/>
      <c r="AV527" s="1032"/>
      <c r="AW527" s="1032">
        <f t="shared" si="104"/>
        <v>0</v>
      </c>
      <c r="AX527" s="1032">
        <f t="shared" si="116"/>
        <v>0</v>
      </c>
      <c r="AY527" s="1033"/>
      <c r="AZ527" s="1033"/>
      <c r="BA527" s="1033">
        <f t="shared" si="105"/>
        <v>0</v>
      </c>
      <c r="BB527" s="1033">
        <f t="shared" si="117"/>
        <v>0</v>
      </c>
      <c r="BC527" s="1034"/>
      <c r="BD527" s="1034"/>
      <c r="BE527" s="1034"/>
      <c r="BF527" s="1034"/>
      <c r="BG527" s="1424"/>
      <c r="BH527" s="1424"/>
    </row>
    <row r="528" spans="2:60" ht="15.75" customHeight="1" x14ac:dyDescent="0.25">
      <c r="B528" s="1038"/>
      <c r="C528" s="1038"/>
      <c r="D528" s="1015"/>
      <c r="E528" s="1016"/>
      <c r="F528" s="1017"/>
      <c r="G528" s="1017"/>
      <c r="H528" s="1019"/>
      <c r="I528" s="1020"/>
      <c r="J528" s="1021"/>
      <c r="K528" s="1022"/>
      <c r="L528" s="1022"/>
      <c r="M528" s="1023">
        <f t="shared" si="99"/>
        <v>0</v>
      </c>
      <c r="N528" s="1022">
        <f t="shared" si="110"/>
        <v>0</v>
      </c>
      <c r="O528" s="1025"/>
      <c r="P528" s="1025"/>
      <c r="Q528" s="1025">
        <f t="shared" si="100"/>
        <v>0</v>
      </c>
      <c r="R528" s="1025">
        <f t="shared" si="111"/>
        <v>0</v>
      </c>
      <c r="S528" s="1026"/>
      <c r="T528" s="1026"/>
      <c r="U528" s="1026">
        <f t="shared" si="106"/>
        <v>0</v>
      </c>
      <c r="V528" s="1026">
        <f t="shared" si="112"/>
        <v>0</v>
      </c>
      <c r="W528" s="1027"/>
      <c r="X528" s="1027"/>
      <c r="Y528" s="1027">
        <f t="shared" si="101"/>
        <v>0</v>
      </c>
      <c r="Z528" s="1027">
        <f t="shared" si="113"/>
        <v>0</v>
      </c>
      <c r="AA528" s="1028"/>
      <c r="AB528" s="1028"/>
      <c r="AC528" s="1028">
        <f t="shared" si="102"/>
        <v>-45</v>
      </c>
      <c r="AD528" s="1028">
        <f t="shared" si="114"/>
        <v>-900</v>
      </c>
      <c r="AE528" s="1029"/>
      <c r="AF528" s="1029"/>
      <c r="AG528" s="1029">
        <v>31</v>
      </c>
      <c r="AH528" s="1029">
        <f t="shared" si="107"/>
        <v>620</v>
      </c>
      <c r="AI528" s="1030"/>
      <c r="AJ528" s="1030"/>
      <c r="AK528" s="1030">
        <v>31</v>
      </c>
      <c r="AL528" s="1030">
        <f t="shared" si="108"/>
        <v>620</v>
      </c>
      <c r="AM528" s="1031"/>
      <c r="AN528" s="1031"/>
      <c r="AO528" s="1031">
        <v>28</v>
      </c>
      <c r="AP528" s="1031">
        <f t="shared" si="109"/>
        <v>560</v>
      </c>
      <c r="AQ528" s="1026"/>
      <c r="AR528" s="1026"/>
      <c r="AS528" s="1026">
        <f t="shared" si="103"/>
        <v>-45</v>
      </c>
      <c r="AT528" s="1026">
        <f t="shared" si="115"/>
        <v>-900</v>
      </c>
      <c r="AU528" s="1032"/>
      <c r="AV528" s="1032"/>
      <c r="AW528" s="1032">
        <f t="shared" si="104"/>
        <v>0</v>
      </c>
      <c r="AX528" s="1032">
        <f t="shared" si="116"/>
        <v>0</v>
      </c>
      <c r="AY528" s="1033"/>
      <c r="AZ528" s="1033"/>
      <c r="BA528" s="1033">
        <f t="shared" si="105"/>
        <v>0</v>
      </c>
      <c r="BB528" s="1033">
        <f t="shared" si="117"/>
        <v>0</v>
      </c>
      <c r="BC528" s="1034"/>
      <c r="BD528" s="1034"/>
      <c r="BE528" s="1034"/>
      <c r="BF528" s="1034"/>
      <c r="BG528" s="1424"/>
      <c r="BH528" s="1424"/>
    </row>
    <row r="529" spans="1:60" ht="15.75" customHeight="1" x14ac:dyDescent="0.25">
      <c r="B529" s="1014"/>
      <c r="C529" s="1014"/>
      <c r="D529" s="1015"/>
      <c r="E529" s="1016"/>
      <c r="F529" s="1017"/>
      <c r="G529" s="1017"/>
      <c r="H529" s="1019"/>
      <c r="I529" s="1020"/>
      <c r="J529" s="1021"/>
      <c r="K529" s="1022"/>
      <c r="L529" s="1022"/>
      <c r="M529" s="1023">
        <f t="shared" si="99"/>
        <v>0</v>
      </c>
      <c r="N529" s="1022">
        <f t="shared" si="110"/>
        <v>0</v>
      </c>
      <c r="O529" s="1025"/>
      <c r="P529" s="1025"/>
      <c r="Q529" s="1025">
        <f t="shared" si="100"/>
        <v>0</v>
      </c>
      <c r="R529" s="1025">
        <f t="shared" si="111"/>
        <v>0</v>
      </c>
      <c r="S529" s="1026"/>
      <c r="T529" s="1026"/>
      <c r="U529" s="1026">
        <f t="shared" si="106"/>
        <v>0</v>
      </c>
      <c r="V529" s="1026">
        <f t="shared" si="112"/>
        <v>0</v>
      </c>
      <c r="W529" s="1027"/>
      <c r="X529" s="1027"/>
      <c r="Y529" s="1027">
        <f t="shared" si="101"/>
        <v>0</v>
      </c>
      <c r="Z529" s="1027">
        <f t="shared" si="113"/>
        <v>0</v>
      </c>
      <c r="AA529" s="1028"/>
      <c r="AB529" s="1028"/>
      <c r="AC529" s="1028">
        <f t="shared" si="102"/>
        <v>-45</v>
      </c>
      <c r="AD529" s="1028">
        <f t="shared" si="114"/>
        <v>-900</v>
      </c>
      <c r="AE529" s="1029"/>
      <c r="AF529" s="1029"/>
      <c r="AG529" s="1029">
        <v>31</v>
      </c>
      <c r="AH529" s="1029">
        <f t="shared" si="107"/>
        <v>620</v>
      </c>
      <c r="AI529" s="1030"/>
      <c r="AJ529" s="1030"/>
      <c r="AK529" s="1030">
        <v>31</v>
      </c>
      <c r="AL529" s="1030">
        <f t="shared" si="108"/>
        <v>620</v>
      </c>
      <c r="AM529" s="1031"/>
      <c r="AN529" s="1031"/>
      <c r="AO529" s="1031">
        <v>28</v>
      </c>
      <c r="AP529" s="1031">
        <f t="shared" si="109"/>
        <v>560</v>
      </c>
      <c r="AQ529" s="1026"/>
      <c r="AR529" s="1026"/>
      <c r="AS529" s="1026">
        <f t="shared" si="103"/>
        <v>-45</v>
      </c>
      <c r="AT529" s="1026">
        <f t="shared" si="115"/>
        <v>-900</v>
      </c>
      <c r="AU529" s="1032"/>
      <c r="AV529" s="1032"/>
      <c r="AW529" s="1032">
        <f t="shared" si="104"/>
        <v>0</v>
      </c>
      <c r="AX529" s="1032">
        <f t="shared" si="116"/>
        <v>0</v>
      </c>
      <c r="AY529" s="1033"/>
      <c r="AZ529" s="1033"/>
      <c r="BA529" s="1033">
        <f t="shared" si="105"/>
        <v>0</v>
      </c>
      <c r="BB529" s="1033">
        <f t="shared" si="117"/>
        <v>0</v>
      </c>
      <c r="BC529" s="1034"/>
      <c r="BD529" s="1034"/>
      <c r="BE529" s="1034"/>
      <c r="BF529" s="1034"/>
      <c r="BG529" s="1424"/>
      <c r="BH529" s="1424"/>
    </row>
    <row r="530" spans="1:60" ht="15.75" customHeight="1" x14ac:dyDescent="0.25">
      <c r="B530" s="1038"/>
      <c r="C530" s="1038"/>
      <c r="D530" s="1015"/>
      <c r="E530" s="1016"/>
      <c r="F530" s="1017"/>
      <c r="G530" s="1017"/>
      <c r="H530" s="1019"/>
      <c r="I530" s="1020"/>
      <c r="J530" s="1021"/>
      <c r="K530" s="1022"/>
      <c r="L530" s="1022"/>
      <c r="M530" s="1023">
        <f t="shared" si="99"/>
        <v>0</v>
      </c>
      <c r="N530" s="1022">
        <f t="shared" si="110"/>
        <v>0</v>
      </c>
      <c r="O530" s="1025"/>
      <c r="P530" s="1025"/>
      <c r="Q530" s="1025">
        <f t="shared" si="100"/>
        <v>0</v>
      </c>
      <c r="R530" s="1025">
        <f t="shared" si="111"/>
        <v>0</v>
      </c>
      <c r="S530" s="1026"/>
      <c r="T530" s="1026"/>
      <c r="U530" s="1026">
        <f t="shared" si="106"/>
        <v>0</v>
      </c>
      <c r="V530" s="1026">
        <f t="shared" si="112"/>
        <v>0</v>
      </c>
      <c r="W530" s="1027"/>
      <c r="X530" s="1027"/>
      <c r="Y530" s="1027">
        <f t="shared" si="101"/>
        <v>0</v>
      </c>
      <c r="Z530" s="1027">
        <f t="shared" si="113"/>
        <v>0</v>
      </c>
      <c r="AA530" s="1028"/>
      <c r="AB530" s="1028"/>
      <c r="AC530" s="1028">
        <f t="shared" si="102"/>
        <v>-45</v>
      </c>
      <c r="AD530" s="1028">
        <f t="shared" si="114"/>
        <v>-900</v>
      </c>
      <c r="AE530" s="1029"/>
      <c r="AF530" s="1029"/>
      <c r="AG530" s="1029">
        <v>31</v>
      </c>
      <c r="AH530" s="1029">
        <f t="shared" si="107"/>
        <v>620</v>
      </c>
      <c r="AI530" s="1030"/>
      <c r="AJ530" s="1030"/>
      <c r="AK530" s="1030">
        <v>31</v>
      </c>
      <c r="AL530" s="1030">
        <f t="shared" si="108"/>
        <v>620</v>
      </c>
      <c r="AM530" s="1031"/>
      <c r="AN530" s="1031"/>
      <c r="AO530" s="1031">
        <v>28</v>
      </c>
      <c r="AP530" s="1031">
        <f t="shared" si="109"/>
        <v>560</v>
      </c>
      <c r="AQ530" s="1026"/>
      <c r="AR530" s="1026"/>
      <c r="AS530" s="1026">
        <f t="shared" si="103"/>
        <v>-45</v>
      </c>
      <c r="AT530" s="1026">
        <f t="shared" si="115"/>
        <v>-900</v>
      </c>
      <c r="AU530" s="1032"/>
      <c r="AV530" s="1032"/>
      <c r="AW530" s="1032">
        <f t="shared" si="104"/>
        <v>0</v>
      </c>
      <c r="AX530" s="1032">
        <f t="shared" si="116"/>
        <v>0</v>
      </c>
      <c r="AY530" s="1033"/>
      <c r="AZ530" s="1033"/>
      <c r="BA530" s="1033">
        <f t="shared" si="105"/>
        <v>0</v>
      </c>
      <c r="BB530" s="1033">
        <f t="shared" si="117"/>
        <v>0</v>
      </c>
      <c r="BC530" s="1034"/>
      <c r="BD530" s="1034"/>
      <c r="BE530" s="1034"/>
      <c r="BF530" s="1034"/>
      <c r="BG530" s="1424"/>
      <c r="BH530" s="1424"/>
    </row>
    <row r="531" spans="1:60" ht="15.75" customHeight="1" x14ac:dyDescent="0.25">
      <c r="B531" s="1014"/>
      <c r="C531" s="1014"/>
      <c r="D531" s="1015"/>
      <c r="E531" s="1016"/>
      <c r="F531" s="1017"/>
      <c r="G531" s="1017"/>
      <c r="H531" s="1019"/>
      <c r="I531" s="1020"/>
      <c r="J531" s="1021"/>
      <c r="K531" s="1022"/>
      <c r="L531" s="1022"/>
      <c r="M531" s="1023">
        <f t="shared" si="99"/>
        <v>0</v>
      </c>
      <c r="N531" s="1022">
        <f t="shared" si="110"/>
        <v>0</v>
      </c>
      <c r="O531" s="1025"/>
      <c r="P531" s="1025"/>
      <c r="Q531" s="1025">
        <f t="shared" si="100"/>
        <v>0</v>
      </c>
      <c r="R531" s="1025">
        <f t="shared" si="111"/>
        <v>0</v>
      </c>
      <c r="S531" s="1026"/>
      <c r="T531" s="1026"/>
      <c r="U531" s="1026">
        <f t="shared" si="106"/>
        <v>0</v>
      </c>
      <c r="V531" s="1026">
        <f t="shared" si="112"/>
        <v>0</v>
      </c>
      <c r="W531" s="1027"/>
      <c r="X531" s="1027"/>
      <c r="Y531" s="1027">
        <f t="shared" si="101"/>
        <v>0</v>
      </c>
      <c r="Z531" s="1027">
        <f t="shared" si="113"/>
        <v>0</v>
      </c>
      <c r="AA531" s="1028"/>
      <c r="AB531" s="1028"/>
      <c r="AC531" s="1028">
        <f t="shared" si="102"/>
        <v>-45</v>
      </c>
      <c r="AD531" s="1028">
        <f t="shared" si="114"/>
        <v>-900</v>
      </c>
      <c r="AE531" s="1029"/>
      <c r="AF531" s="1029"/>
      <c r="AG531" s="1029">
        <v>31</v>
      </c>
      <c r="AH531" s="1029">
        <f t="shared" si="107"/>
        <v>620</v>
      </c>
      <c r="AI531" s="1030"/>
      <c r="AJ531" s="1030"/>
      <c r="AK531" s="1030">
        <v>31</v>
      </c>
      <c r="AL531" s="1030">
        <f t="shared" si="108"/>
        <v>620</v>
      </c>
      <c r="AM531" s="1031"/>
      <c r="AN531" s="1031"/>
      <c r="AO531" s="1031">
        <v>28</v>
      </c>
      <c r="AP531" s="1031">
        <f t="shared" si="109"/>
        <v>560</v>
      </c>
      <c r="AQ531" s="1026"/>
      <c r="AR531" s="1026"/>
      <c r="AS531" s="1026">
        <f t="shared" si="103"/>
        <v>-45</v>
      </c>
      <c r="AT531" s="1026">
        <f t="shared" si="115"/>
        <v>-900</v>
      </c>
      <c r="AU531" s="1032"/>
      <c r="AV531" s="1032"/>
      <c r="AW531" s="1032">
        <f t="shared" si="104"/>
        <v>0</v>
      </c>
      <c r="AX531" s="1032">
        <f t="shared" si="116"/>
        <v>0</v>
      </c>
      <c r="AY531" s="1033"/>
      <c r="AZ531" s="1033"/>
      <c r="BA531" s="1033">
        <f t="shared" si="105"/>
        <v>0</v>
      </c>
      <c r="BB531" s="1033">
        <f t="shared" si="117"/>
        <v>0</v>
      </c>
      <c r="BC531" s="1034"/>
      <c r="BD531" s="1034"/>
      <c r="BE531" s="1034"/>
      <c r="BF531" s="1034"/>
      <c r="BG531" s="1424"/>
      <c r="BH531" s="1424"/>
    </row>
    <row r="532" spans="1:60" ht="15.75" customHeight="1" x14ac:dyDescent="0.25">
      <c r="A532" s="985"/>
      <c r="B532" s="1038"/>
      <c r="C532" s="1038"/>
      <c r="D532" s="1015"/>
      <c r="E532" s="1016"/>
      <c r="F532" s="1017"/>
      <c r="G532" s="1017"/>
      <c r="H532" s="1019"/>
      <c r="I532" s="1020"/>
      <c r="J532" s="1021"/>
      <c r="K532" s="1022"/>
      <c r="L532" s="1022"/>
      <c r="M532" s="1023">
        <f t="shared" si="99"/>
        <v>0</v>
      </c>
      <c r="N532" s="1022">
        <f t="shared" si="110"/>
        <v>0</v>
      </c>
      <c r="O532" s="1025"/>
      <c r="P532" s="1025"/>
      <c r="Q532" s="1025">
        <f t="shared" si="100"/>
        <v>0</v>
      </c>
      <c r="R532" s="1025">
        <f t="shared" si="111"/>
        <v>0</v>
      </c>
      <c r="S532" s="1026"/>
      <c r="T532" s="1026"/>
      <c r="U532" s="1026">
        <f t="shared" si="106"/>
        <v>0</v>
      </c>
      <c r="V532" s="1026">
        <f t="shared" si="112"/>
        <v>0</v>
      </c>
      <c r="W532" s="1027"/>
      <c r="X532" s="1027"/>
      <c r="Y532" s="1027">
        <f t="shared" si="101"/>
        <v>0</v>
      </c>
      <c r="Z532" s="1027">
        <f t="shared" si="113"/>
        <v>0</v>
      </c>
      <c r="AA532" s="1028"/>
      <c r="AB532" s="1028"/>
      <c r="AC532" s="1028">
        <f t="shared" si="102"/>
        <v>-45</v>
      </c>
      <c r="AD532" s="1028">
        <f t="shared" si="114"/>
        <v>-900</v>
      </c>
      <c r="AE532" s="1029"/>
      <c r="AF532" s="1029"/>
      <c r="AG532" s="1029">
        <v>31</v>
      </c>
      <c r="AH532" s="1029">
        <f t="shared" si="107"/>
        <v>620</v>
      </c>
      <c r="AI532" s="1030"/>
      <c r="AJ532" s="1030"/>
      <c r="AK532" s="1030">
        <v>31</v>
      </c>
      <c r="AL532" s="1030">
        <f t="shared" si="108"/>
        <v>620</v>
      </c>
      <c r="AM532" s="1031"/>
      <c r="AN532" s="1031"/>
      <c r="AO532" s="1031">
        <v>28</v>
      </c>
      <c r="AP532" s="1031">
        <f t="shared" si="109"/>
        <v>560</v>
      </c>
      <c r="AQ532" s="1026"/>
      <c r="AR532" s="1026"/>
      <c r="AS532" s="1026">
        <f t="shared" si="103"/>
        <v>-45</v>
      </c>
      <c r="AT532" s="1026">
        <f t="shared" si="115"/>
        <v>-900</v>
      </c>
      <c r="AU532" s="1032"/>
      <c r="AV532" s="1032"/>
      <c r="AW532" s="1032">
        <f t="shared" si="104"/>
        <v>0</v>
      </c>
      <c r="AX532" s="1032">
        <f t="shared" si="116"/>
        <v>0</v>
      </c>
      <c r="AY532" s="1033"/>
      <c r="AZ532" s="1033"/>
      <c r="BA532" s="1033">
        <f t="shared" si="105"/>
        <v>0</v>
      </c>
      <c r="BB532" s="1033">
        <f t="shared" si="117"/>
        <v>0</v>
      </c>
      <c r="BC532" s="1034"/>
      <c r="BD532" s="1034"/>
      <c r="BE532" s="1034"/>
      <c r="BF532" s="1034"/>
      <c r="BG532" s="1424"/>
      <c r="BH532" s="1424"/>
    </row>
    <row r="533" spans="1:60" ht="15.75" customHeight="1" x14ac:dyDescent="0.25">
      <c r="B533" s="1014"/>
      <c r="C533" s="1014"/>
      <c r="D533" s="1015"/>
      <c r="E533" s="1016"/>
      <c r="F533" s="1017"/>
      <c r="G533" s="1017"/>
      <c r="H533" s="1019"/>
      <c r="I533" s="1020"/>
      <c r="J533" s="1021"/>
      <c r="K533" s="1022"/>
      <c r="L533" s="1022"/>
      <c r="M533" s="1023">
        <f t="shared" si="99"/>
        <v>0</v>
      </c>
      <c r="N533" s="1022">
        <f t="shared" si="110"/>
        <v>0</v>
      </c>
      <c r="O533" s="1025"/>
      <c r="P533" s="1025"/>
      <c r="Q533" s="1025">
        <f t="shared" si="100"/>
        <v>0</v>
      </c>
      <c r="R533" s="1025">
        <f t="shared" si="111"/>
        <v>0</v>
      </c>
      <c r="S533" s="1026"/>
      <c r="T533" s="1026"/>
      <c r="U533" s="1026">
        <f t="shared" si="106"/>
        <v>0</v>
      </c>
      <c r="V533" s="1026">
        <f t="shared" si="112"/>
        <v>0</v>
      </c>
      <c r="W533" s="1027"/>
      <c r="X533" s="1027"/>
      <c r="Y533" s="1027">
        <f t="shared" si="101"/>
        <v>0</v>
      </c>
      <c r="Z533" s="1027">
        <f t="shared" si="113"/>
        <v>0</v>
      </c>
      <c r="AA533" s="1028"/>
      <c r="AB533" s="1028"/>
      <c r="AC533" s="1028">
        <f t="shared" si="102"/>
        <v>-45</v>
      </c>
      <c r="AD533" s="1028">
        <f t="shared" si="114"/>
        <v>-900</v>
      </c>
      <c r="AE533" s="1029"/>
      <c r="AF533" s="1029"/>
      <c r="AG533" s="1029">
        <v>31</v>
      </c>
      <c r="AH533" s="1029">
        <f t="shared" si="107"/>
        <v>620</v>
      </c>
      <c r="AI533" s="1030"/>
      <c r="AJ533" s="1030"/>
      <c r="AK533" s="1030">
        <v>31</v>
      </c>
      <c r="AL533" s="1030">
        <f t="shared" si="108"/>
        <v>620</v>
      </c>
      <c r="AM533" s="1031"/>
      <c r="AN533" s="1031"/>
      <c r="AO533" s="1031">
        <v>28</v>
      </c>
      <c r="AP533" s="1031">
        <f t="shared" si="109"/>
        <v>560</v>
      </c>
      <c r="AQ533" s="1026"/>
      <c r="AR533" s="1026"/>
      <c r="AS533" s="1026">
        <f t="shared" si="103"/>
        <v>-45</v>
      </c>
      <c r="AT533" s="1026">
        <f t="shared" si="115"/>
        <v>-900</v>
      </c>
      <c r="AU533" s="1032"/>
      <c r="AV533" s="1032"/>
      <c r="AW533" s="1032">
        <f t="shared" si="104"/>
        <v>0</v>
      </c>
      <c r="AX533" s="1032">
        <f t="shared" si="116"/>
        <v>0</v>
      </c>
      <c r="AY533" s="1033"/>
      <c r="AZ533" s="1033"/>
      <c r="BA533" s="1033">
        <f t="shared" si="105"/>
        <v>0</v>
      </c>
      <c r="BB533" s="1033">
        <f t="shared" si="117"/>
        <v>0</v>
      </c>
      <c r="BC533" s="1034"/>
      <c r="BD533" s="1034"/>
      <c r="BE533" s="1034"/>
      <c r="BF533" s="1034"/>
      <c r="BG533" s="1424"/>
      <c r="BH533" s="1424"/>
    </row>
    <row r="534" spans="1:60" ht="15.75" customHeight="1" x14ac:dyDescent="0.25">
      <c r="B534" s="1038"/>
      <c r="C534" s="1038"/>
      <c r="D534" s="1015"/>
      <c r="E534" s="1016"/>
      <c r="F534" s="1017"/>
      <c r="G534" s="1017"/>
      <c r="H534" s="1019"/>
      <c r="I534" s="1020"/>
      <c r="J534" s="1021"/>
      <c r="K534" s="1022"/>
      <c r="L534" s="1022"/>
      <c r="M534" s="1023">
        <f t="shared" si="99"/>
        <v>0</v>
      </c>
      <c r="N534" s="1022">
        <f t="shared" si="110"/>
        <v>0</v>
      </c>
      <c r="O534" s="1025"/>
      <c r="P534" s="1025"/>
      <c r="Q534" s="1025">
        <f t="shared" si="100"/>
        <v>0</v>
      </c>
      <c r="R534" s="1025">
        <f t="shared" si="111"/>
        <v>0</v>
      </c>
      <c r="S534" s="1026"/>
      <c r="T534" s="1026"/>
      <c r="U534" s="1026">
        <f t="shared" si="106"/>
        <v>0</v>
      </c>
      <c r="V534" s="1026">
        <f t="shared" si="112"/>
        <v>0</v>
      </c>
      <c r="W534" s="1027"/>
      <c r="X534" s="1027"/>
      <c r="Y534" s="1027">
        <f t="shared" si="101"/>
        <v>0</v>
      </c>
      <c r="Z534" s="1027">
        <f t="shared" si="113"/>
        <v>0</v>
      </c>
      <c r="AA534" s="1028"/>
      <c r="AB534" s="1028"/>
      <c r="AC534" s="1028">
        <f t="shared" si="102"/>
        <v>-45</v>
      </c>
      <c r="AD534" s="1028">
        <f t="shared" si="114"/>
        <v>-900</v>
      </c>
      <c r="AE534" s="1029"/>
      <c r="AF534" s="1029"/>
      <c r="AG534" s="1029">
        <v>31</v>
      </c>
      <c r="AH534" s="1029">
        <f t="shared" si="107"/>
        <v>620</v>
      </c>
      <c r="AI534" s="1030"/>
      <c r="AJ534" s="1030"/>
      <c r="AK534" s="1030">
        <v>31</v>
      </c>
      <c r="AL534" s="1030">
        <f t="shared" si="108"/>
        <v>620</v>
      </c>
      <c r="AM534" s="1031"/>
      <c r="AN534" s="1031"/>
      <c r="AO534" s="1031">
        <v>28</v>
      </c>
      <c r="AP534" s="1031">
        <f t="shared" si="109"/>
        <v>560</v>
      </c>
      <c r="AQ534" s="1026"/>
      <c r="AR534" s="1026"/>
      <c r="AS534" s="1026">
        <f t="shared" si="103"/>
        <v>-45</v>
      </c>
      <c r="AT534" s="1026">
        <f t="shared" si="115"/>
        <v>-900</v>
      </c>
      <c r="AU534" s="1032"/>
      <c r="AV534" s="1032"/>
      <c r="AW534" s="1032">
        <f t="shared" si="104"/>
        <v>0</v>
      </c>
      <c r="AX534" s="1032">
        <f t="shared" si="116"/>
        <v>0</v>
      </c>
      <c r="AY534" s="1033"/>
      <c r="AZ534" s="1033"/>
      <c r="BA534" s="1033">
        <f t="shared" si="105"/>
        <v>0</v>
      </c>
      <c r="BB534" s="1033">
        <f t="shared" si="117"/>
        <v>0</v>
      </c>
      <c r="BC534" s="1034"/>
      <c r="BD534" s="1034"/>
      <c r="BE534" s="1034"/>
      <c r="BF534" s="1034"/>
      <c r="BG534" s="1424"/>
      <c r="BH534" s="1424"/>
    </row>
    <row r="535" spans="1:60" ht="15.75" customHeight="1" x14ac:dyDescent="0.25">
      <c r="B535" s="1014"/>
      <c r="C535" s="1014"/>
      <c r="D535" s="1015"/>
      <c r="E535" s="1016"/>
      <c r="F535" s="1017"/>
      <c r="G535" s="1017"/>
      <c r="H535" s="1019"/>
      <c r="I535" s="1020"/>
      <c r="J535" s="1021"/>
      <c r="K535" s="1022"/>
      <c r="L535" s="1022"/>
      <c r="M535" s="1023">
        <f t="shared" si="99"/>
        <v>0</v>
      </c>
      <c r="N535" s="1022">
        <f t="shared" si="110"/>
        <v>0</v>
      </c>
      <c r="O535" s="1025"/>
      <c r="P535" s="1025"/>
      <c r="Q535" s="1025">
        <f t="shared" si="100"/>
        <v>0</v>
      </c>
      <c r="R535" s="1025">
        <f t="shared" si="111"/>
        <v>0</v>
      </c>
      <c r="S535" s="1026"/>
      <c r="T535" s="1026"/>
      <c r="U535" s="1026">
        <f t="shared" si="106"/>
        <v>0</v>
      </c>
      <c r="V535" s="1026">
        <f t="shared" si="112"/>
        <v>0</v>
      </c>
      <c r="W535" s="1027"/>
      <c r="X535" s="1027"/>
      <c r="Y535" s="1027">
        <f t="shared" si="101"/>
        <v>0</v>
      </c>
      <c r="Z535" s="1027">
        <f t="shared" si="113"/>
        <v>0</v>
      </c>
      <c r="AA535" s="1028"/>
      <c r="AB535" s="1028"/>
      <c r="AC535" s="1028">
        <f t="shared" si="102"/>
        <v>-45</v>
      </c>
      <c r="AD535" s="1028">
        <f t="shared" si="114"/>
        <v>-900</v>
      </c>
      <c r="AE535" s="1029"/>
      <c r="AF535" s="1029"/>
      <c r="AG535" s="1029">
        <v>31</v>
      </c>
      <c r="AH535" s="1029">
        <f t="shared" si="107"/>
        <v>620</v>
      </c>
      <c r="AI535" s="1030"/>
      <c r="AJ535" s="1030"/>
      <c r="AK535" s="1030">
        <v>31</v>
      </c>
      <c r="AL535" s="1030">
        <f t="shared" si="108"/>
        <v>620</v>
      </c>
      <c r="AM535" s="1031"/>
      <c r="AN535" s="1031"/>
      <c r="AO535" s="1031">
        <v>28</v>
      </c>
      <c r="AP535" s="1031">
        <f t="shared" si="109"/>
        <v>560</v>
      </c>
      <c r="AQ535" s="1026"/>
      <c r="AR535" s="1026"/>
      <c r="AS535" s="1026">
        <f t="shared" si="103"/>
        <v>-45</v>
      </c>
      <c r="AT535" s="1026">
        <f t="shared" si="115"/>
        <v>-900</v>
      </c>
      <c r="AU535" s="1032"/>
      <c r="AV535" s="1032"/>
      <c r="AW535" s="1032">
        <f t="shared" si="104"/>
        <v>0</v>
      </c>
      <c r="AX535" s="1032">
        <f t="shared" si="116"/>
        <v>0</v>
      </c>
      <c r="AY535" s="1033"/>
      <c r="AZ535" s="1033"/>
      <c r="BA535" s="1033">
        <f t="shared" si="105"/>
        <v>0</v>
      </c>
      <c r="BB535" s="1033">
        <f t="shared" si="117"/>
        <v>0</v>
      </c>
      <c r="BC535" s="1034"/>
      <c r="BD535" s="1034"/>
      <c r="BE535" s="1034"/>
      <c r="BF535" s="1034"/>
      <c r="BG535" s="1424"/>
      <c r="BH535" s="1424"/>
    </row>
    <row r="536" spans="1:60" ht="15.75" customHeight="1" x14ac:dyDescent="0.25">
      <c r="B536" s="1038"/>
      <c r="C536" s="1038"/>
      <c r="D536" s="1015"/>
      <c r="E536" s="1016"/>
      <c r="F536" s="1017"/>
      <c r="G536" s="1017"/>
      <c r="H536" s="1019"/>
      <c r="I536" s="1020"/>
      <c r="J536" s="1021"/>
      <c r="K536" s="1022"/>
      <c r="L536" s="1022"/>
      <c r="M536" s="1023">
        <f t="shared" si="99"/>
        <v>0</v>
      </c>
      <c r="N536" s="1022">
        <f t="shared" si="110"/>
        <v>0</v>
      </c>
      <c r="O536" s="1025"/>
      <c r="P536" s="1025"/>
      <c r="Q536" s="1025">
        <f t="shared" si="100"/>
        <v>0</v>
      </c>
      <c r="R536" s="1025">
        <f t="shared" si="111"/>
        <v>0</v>
      </c>
      <c r="S536" s="1026"/>
      <c r="T536" s="1026"/>
      <c r="U536" s="1026">
        <f t="shared" si="106"/>
        <v>0</v>
      </c>
      <c r="V536" s="1026">
        <f t="shared" si="112"/>
        <v>0</v>
      </c>
      <c r="W536" s="1027"/>
      <c r="X536" s="1027"/>
      <c r="Y536" s="1027">
        <f t="shared" si="101"/>
        <v>0</v>
      </c>
      <c r="Z536" s="1027">
        <f t="shared" si="113"/>
        <v>0</v>
      </c>
      <c r="AA536" s="1028"/>
      <c r="AB536" s="1028"/>
      <c r="AC536" s="1028">
        <f t="shared" si="102"/>
        <v>-45</v>
      </c>
      <c r="AD536" s="1028">
        <f t="shared" si="114"/>
        <v>-900</v>
      </c>
      <c r="AE536" s="1029"/>
      <c r="AF536" s="1029"/>
      <c r="AG536" s="1029">
        <v>31</v>
      </c>
      <c r="AH536" s="1029">
        <f t="shared" si="107"/>
        <v>620</v>
      </c>
      <c r="AI536" s="1030"/>
      <c r="AJ536" s="1030"/>
      <c r="AK536" s="1030">
        <v>31</v>
      </c>
      <c r="AL536" s="1030">
        <f t="shared" si="108"/>
        <v>620</v>
      </c>
      <c r="AM536" s="1031"/>
      <c r="AN536" s="1031"/>
      <c r="AO536" s="1031">
        <v>28</v>
      </c>
      <c r="AP536" s="1031">
        <f t="shared" si="109"/>
        <v>560</v>
      </c>
      <c r="AQ536" s="1026"/>
      <c r="AR536" s="1026"/>
      <c r="AS536" s="1026">
        <f t="shared" si="103"/>
        <v>-45</v>
      </c>
      <c r="AT536" s="1026">
        <f t="shared" si="115"/>
        <v>-900</v>
      </c>
      <c r="AU536" s="1032"/>
      <c r="AV536" s="1032"/>
      <c r="AW536" s="1032">
        <f t="shared" si="104"/>
        <v>0</v>
      </c>
      <c r="AX536" s="1032">
        <f t="shared" si="116"/>
        <v>0</v>
      </c>
      <c r="AY536" s="1033"/>
      <c r="AZ536" s="1033"/>
      <c r="BA536" s="1033">
        <f t="shared" si="105"/>
        <v>0</v>
      </c>
      <c r="BB536" s="1033">
        <f t="shared" si="117"/>
        <v>0</v>
      </c>
      <c r="BC536" s="1034"/>
      <c r="BD536" s="1034"/>
      <c r="BE536" s="1034"/>
      <c r="BF536" s="1034"/>
      <c r="BG536" s="1424"/>
      <c r="BH536" s="1424"/>
    </row>
    <row r="537" spans="1:60" ht="15.75" customHeight="1" x14ac:dyDescent="0.25">
      <c r="B537" s="1014"/>
      <c r="C537" s="1014"/>
      <c r="D537" s="1015"/>
      <c r="E537" s="1016"/>
      <c r="F537" s="1017"/>
      <c r="G537" s="1017"/>
      <c r="H537" s="1019"/>
      <c r="I537" s="1020"/>
      <c r="J537" s="1021"/>
      <c r="K537" s="1022"/>
      <c r="L537" s="1022"/>
      <c r="M537" s="1023">
        <f t="shared" si="99"/>
        <v>0</v>
      </c>
      <c r="N537" s="1022">
        <f t="shared" si="110"/>
        <v>0</v>
      </c>
      <c r="O537" s="1025"/>
      <c r="P537" s="1025"/>
      <c r="Q537" s="1025">
        <f t="shared" si="100"/>
        <v>0</v>
      </c>
      <c r="R537" s="1025">
        <f t="shared" si="111"/>
        <v>0</v>
      </c>
      <c r="S537" s="1026"/>
      <c r="T537" s="1026"/>
      <c r="U537" s="1026">
        <f t="shared" si="106"/>
        <v>0</v>
      </c>
      <c r="V537" s="1026">
        <f t="shared" si="112"/>
        <v>0</v>
      </c>
      <c r="W537" s="1027"/>
      <c r="X537" s="1027"/>
      <c r="Y537" s="1027">
        <f t="shared" si="101"/>
        <v>0</v>
      </c>
      <c r="Z537" s="1027">
        <f t="shared" si="113"/>
        <v>0</v>
      </c>
      <c r="AA537" s="1028"/>
      <c r="AB537" s="1028"/>
      <c r="AC537" s="1028">
        <f t="shared" si="102"/>
        <v>-45</v>
      </c>
      <c r="AD537" s="1028">
        <f t="shared" si="114"/>
        <v>-900</v>
      </c>
      <c r="AE537" s="1029"/>
      <c r="AF537" s="1029"/>
      <c r="AG537" s="1029">
        <v>31</v>
      </c>
      <c r="AH537" s="1029">
        <f t="shared" si="107"/>
        <v>620</v>
      </c>
      <c r="AI537" s="1030"/>
      <c r="AJ537" s="1030"/>
      <c r="AK537" s="1030">
        <v>31</v>
      </c>
      <c r="AL537" s="1030">
        <f t="shared" si="108"/>
        <v>620</v>
      </c>
      <c r="AM537" s="1031"/>
      <c r="AN537" s="1031"/>
      <c r="AO537" s="1031">
        <v>28</v>
      </c>
      <c r="AP537" s="1031">
        <f t="shared" si="109"/>
        <v>560</v>
      </c>
      <c r="AQ537" s="1026"/>
      <c r="AR537" s="1026"/>
      <c r="AS537" s="1026">
        <f t="shared" si="103"/>
        <v>-45</v>
      </c>
      <c r="AT537" s="1026">
        <f t="shared" si="115"/>
        <v>-900</v>
      </c>
      <c r="AU537" s="1032"/>
      <c r="AV537" s="1032"/>
      <c r="AW537" s="1032">
        <f t="shared" si="104"/>
        <v>0</v>
      </c>
      <c r="AX537" s="1032">
        <f t="shared" si="116"/>
        <v>0</v>
      </c>
      <c r="AY537" s="1033"/>
      <c r="AZ537" s="1033"/>
      <c r="BA537" s="1033">
        <f t="shared" si="105"/>
        <v>0</v>
      </c>
      <c r="BB537" s="1033">
        <f t="shared" si="117"/>
        <v>0</v>
      </c>
      <c r="BC537" s="1034"/>
      <c r="BD537" s="1034"/>
      <c r="BE537" s="1034"/>
      <c r="BF537" s="1034"/>
      <c r="BG537" s="1424"/>
      <c r="BH537" s="1424"/>
    </row>
    <row r="538" spans="1:60" ht="15.75" customHeight="1" x14ac:dyDescent="0.25">
      <c r="B538" s="1038"/>
      <c r="C538" s="1038"/>
      <c r="D538" s="1015"/>
      <c r="E538" s="1016"/>
      <c r="F538" s="1017"/>
      <c r="G538" s="1017"/>
      <c r="H538" s="1019"/>
      <c r="I538" s="1020"/>
      <c r="J538" s="1021"/>
      <c r="K538" s="1022"/>
      <c r="L538" s="1022"/>
      <c r="M538" s="1023">
        <f t="shared" si="99"/>
        <v>0</v>
      </c>
      <c r="N538" s="1022">
        <f t="shared" si="110"/>
        <v>0</v>
      </c>
      <c r="O538" s="1025"/>
      <c r="P538" s="1025"/>
      <c r="Q538" s="1025">
        <f t="shared" si="100"/>
        <v>0</v>
      </c>
      <c r="R538" s="1025">
        <f t="shared" si="111"/>
        <v>0</v>
      </c>
      <c r="S538" s="1026"/>
      <c r="T538" s="1026"/>
      <c r="U538" s="1026">
        <f t="shared" si="106"/>
        <v>0</v>
      </c>
      <c r="V538" s="1026">
        <f t="shared" si="112"/>
        <v>0</v>
      </c>
      <c r="W538" s="1027"/>
      <c r="X538" s="1027"/>
      <c r="Y538" s="1027">
        <f t="shared" si="101"/>
        <v>0</v>
      </c>
      <c r="Z538" s="1027">
        <f t="shared" si="113"/>
        <v>0</v>
      </c>
      <c r="AA538" s="1028"/>
      <c r="AB538" s="1028"/>
      <c r="AC538" s="1028">
        <f t="shared" si="102"/>
        <v>-45</v>
      </c>
      <c r="AD538" s="1028">
        <f t="shared" si="114"/>
        <v>-900</v>
      </c>
      <c r="AE538" s="1029"/>
      <c r="AF538" s="1029"/>
      <c r="AG538" s="1029">
        <v>31</v>
      </c>
      <c r="AH538" s="1029">
        <f t="shared" si="107"/>
        <v>620</v>
      </c>
      <c r="AI538" s="1030"/>
      <c r="AJ538" s="1030"/>
      <c r="AK538" s="1030">
        <v>31</v>
      </c>
      <c r="AL538" s="1030">
        <f t="shared" si="108"/>
        <v>620</v>
      </c>
      <c r="AM538" s="1031"/>
      <c r="AN538" s="1031"/>
      <c r="AO538" s="1031">
        <v>28</v>
      </c>
      <c r="AP538" s="1031">
        <f t="shared" si="109"/>
        <v>560</v>
      </c>
      <c r="AQ538" s="1026"/>
      <c r="AR538" s="1026"/>
      <c r="AS538" s="1026">
        <f t="shared" si="103"/>
        <v>-45</v>
      </c>
      <c r="AT538" s="1026">
        <f t="shared" si="115"/>
        <v>-900</v>
      </c>
      <c r="AU538" s="1032"/>
      <c r="AV538" s="1032"/>
      <c r="AW538" s="1032">
        <f t="shared" si="104"/>
        <v>0</v>
      </c>
      <c r="AX538" s="1032">
        <f t="shared" si="116"/>
        <v>0</v>
      </c>
      <c r="AY538" s="1033"/>
      <c r="AZ538" s="1033"/>
      <c r="BA538" s="1033">
        <f t="shared" si="105"/>
        <v>0</v>
      </c>
      <c r="BB538" s="1033">
        <f t="shared" si="117"/>
        <v>0</v>
      </c>
      <c r="BC538" s="1034"/>
      <c r="BD538" s="1034"/>
      <c r="BE538" s="1034"/>
      <c r="BF538" s="1034"/>
      <c r="BG538" s="1424"/>
      <c r="BH538" s="1424"/>
    </row>
    <row r="539" spans="1:60" ht="15.75" customHeight="1" x14ac:dyDescent="0.25">
      <c r="B539" s="1014"/>
      <c r="C539" s="1014"/>
      <c r="D539" s="1015"/>
      <c r="E539" s="1016"/>
      <c r="F539" s="1017"/>
      <c r="G539" s="1017"/>
      <c r="H539" s="1019"/>
      <c r="I539" s="1020"/>
      <c r="J539" s="1021"/>
      <c r="K539" s="1022"/>
      <c r="L539" s="1022"/>
      <c r="M539" s="1023">
        <f t="shared" si="99"/>
        <v>0</v>
      </c>
      <c r="N539" s="1022">
        <f t="shared" si="110"/>
        <v>0</v>
      </c>
      <c r="O539" s="1025"/>
      <c r="P539" s="1025"/>
      <c r="Q539" s="1025">
        <f t="shared" si="100"/>
        <v>0</v>
      </c>
      <c r="R539" s="1025">
        <f t="shared" si="111"/>
        <v>0</v>
      </c>
      <c r="S539" s="1026"/>
      <c r="T539" s="1026"/>
      <c r="U539" s="1026">
        <f t="shared" si="106"/>
        <v>0</v>
      </c>
      <c r="V539" s="1026">
        <f t="shared" si="112"/>
        <v>0</v>
      </c>
      <c r="W539" s="1027"/>
      <c r="X539" s="1027"/>
      <c r="Y539" s="1027">
        <f t="shared" si="101"/>
        <v>0</v>
      </c>
      <c r="Z539" s="1027">
        <f t="shared" si="113"/>
        <v>0</v>
      </c>
      <c r="AA539" s="1028"/>
      <c r="AB539" s="1028"/>
      <c r="AC539" s="1028">
        <f t="shared" si="102"/>
        <v>-45</v>
      </c>
      <c r="AD539" s="1028">
        <f t="shared" si="114"/>
        <v>-900</v>
      </c>
      <c r="AE539" s="1029"/>
      <c r="AF539" s="1029"/>
      <c r="AG539" s="1029">
        <v>31</v>
      </c>
      <c r="AH539" s="1029">
        <f t="shared" si="107"/>
        <v>620</v>
      </c>
      <c r="AI539" s="1030"/>
      <c r="AJ539" s="1030"/>
      <c r="AK539" s="1030">
        <v>31</v>
      </c>
      <c r="AL539" s="1030">
        <f t="shared" si="108"/>
        <v>620</v>
      </c>
      <c r="AM539" s="1031"/>
      <c r="AN539" s="1031"/>
      <c r="AO539" s="1031">
        <v>28</v>
      </c>
      <c r="AP539" s="1031">
        <f t="shared" si="109"/>
        <v>560</v>
      </c>
      <c r="AQ539" s="1026"/>
      <c r="AR539" s="1026"/>
      <c r="AS539" s="1026">
        <f t="shared" si="103"/>
        <v>-45</v>
      </c>
      <c r="AT539" s="1026">
        <f t="shared" si="115"/>
        <v>-900</v>
      </c>
      <c r="AU539" s="1032"/>
      <c r="AV539" s="1032"/>
      <c r="AW539" s="1032">
        <f t="shared" si="104"/>
        <v>0</v>
      </c>
      <c r="AX539" s="1032">
        <f t="shared" si="116"/>
        <v>0</v>
      </c>
      <c r="AY539" s="1033"/>
      <c r="AZ539" s="1033"/>
      <c r="BA539" s="1033">
        <f t="shared" si="105"/>
        <v>0</v>
      </c>
      <c r="BB539" s="1033">
        <f t="shared" si="117"/>
        <v>0</v>
      </c>
      <c r="BC539" s="1034"/>
      <c r="BD539" s="1034"/>
      <c r="BE539" s="1034"/>
      <c r="BF539" s="1034"/>
      <c r="BG539" s="1424"/>
      <c r="BH539" s="1424"/>
    </row>
    <row r="540" spans="1:60" ht="15.75" customHeight="1" x14ac:dyDescent="0.25">
      <c r="B540" s="1038"/>
      <c r="C540" s="1038"/>
      <c r="D540" s="1015"/>
      <c r="E540" s="1016"/>
      <c r="F540" s="1017"/>
      <c r="G540" s="1017"/>
      <c r="H540" s="1019"/>
      <c r="I540" s="1020"/>
      <c r="J540" s="1021"/>
      <c r="K540" s="1022"/>
      <c r="L540" s="1022"/>
      <c r="M540" s="1023">
        <f t="shared" si="99"/>
        <v>0</v>
      </c>
      <c r="N540" s="1022">
        <f t="shared" si="110"/>
        <v>0</v>
      </c>
      <c r="O540" s="1025"/>
      <c r="P540" s="1025"/>
      <c r="Q540" s="1025">
        <f t="shared" si="100"/>
        <v>0</v>
      </c>
      <c r="R540" s="1025">
        <f t="shared" si="111"/>
        <v>0</v>
      </c>
      <c r="S540" s="1026"/>
      <c r="T540" s="1026"/>
      <c r="U540" s="1026">
        <f t="shared" si="106"/>
        <v>0</v>
      </c>
      <c r="V540" s="1026">
        <f t="shared" si="112"/>
        <v>0</v>
      </c>
      <c r="W540" s="1027"/>
      <c r="X540" s="1027"/>
      <c r="Y540" s="1027">
        <f t="shared" si="101"/>
        <v>0</v>
      </c>
      <c r="Z540" s="1027">
        <f t="shared" si="113"/>
        <v>0</v>
      </c>
      <c r="AA540" s="1028"/>
      <c r="AB540" s="1028"/>
      <c r="AC540" s="1028">
        <f t="shared" si="102"/>
        <v>-45</v>
      </c>
      <c r="AD540" s="1028">
        <f t="shared" si="114"/>
        <v>-900</v>
      </c>
      <c r="AE540" s="1029"/>
      <c r="AF540" s="1029"/>
      <c r="AG540" s="1029">
        <v>31</v>
      </c>
      <c r="AH540" s="1029">
        <f t="shared" si="107"/>
        <v>620</v>
      </c>
      <c r="AI540" s="1030"/>
      <c r="AJ540" s="1030"/>
      <c r="AK540" s="1030">
        <v>31</v>
      </c>
      <c r="AL540" s="1030">
        <f t="shared" si="108"/>
        <v>620</v>
      </c>
      <c r="AM540" s="1031"/>
      <c r="AN540" s="1031"/>
      <c r="AO540" s="1031">
        <v>28</v>
      </c>
      <c r="AP540" s="1031">
        <f t="shared" si="109"/>
        <v>560</v>
      </c>
      <c r="AQ540" s="1026"/>
      <c r="AR540" s="1026"/>
      <c r="AS540" s="1026">
        <f t="shared" si="103"/>
        <v>-45</v>
      </c>
      <c r="AT540" s="1026">
        <f t="shared" si="115"/>
        <v>-900</v>
      </c>
      <c r="AU540" s="1032"/>
      <c r="AV540" s="1032"/>
      <c r="AW540" s="1032">
        <f t="shared" si="104"/>
        <v>0</v>
      </c>
      <c r="AX540" s="1032">
        <f t="shared" si="116"/>
        <v>0</v>
      </c>
      <c r="AY540" s="1033"/>
      <c r="AZ540" s="1033"/>
      <c r="BA540" s="1033">
        <f t="shared" si="105"/>
        <v>0</v>
      </c>
      <c r="BB540" s="1033">
        <f t="shared" si="117"/>
        <v>0</v>
      </c>
      <c r="BC540" s="1034"/>
      <c r="BD540" s="1034"/>
      <c r="BE540" s="1034"/>
      <c r="BF540" s="1034"/>
      <c r="BG540" s="1424"/>
      <c r="BH540" s="1424"/>
    </row>
    <row r="541" spans="1:60" ht="15.75" customHeight="1" x14ac:dyDescent="0.25">
      <c r="B541" s="1014"/>
      <c r="C541" s="1051"/>
      <c r="D541" s="1015"/>
      <c r="E541" s="1016"/>
      <c r="F541" s="1017"/>
      <c r="G541" s="1017"/>
      <c r="H541" s="1019"/>
      <c r="I541" s="1020"/>
      <c r="J541" s="1021"/>
      <c r="K541" s="1022"/>
      <c r="L541" s="1022"/>
      <c r="M541" s="1023">
        <f t="shared" si="99"/>
        <v>0</v>
      </c>
      <c r="N541" s="1022">
        <f t="shared" si="110"/>
        <v>0</v>
      </c>
      <c r="O541" s="1025"/>
      <c r="P541" s="1025"/>
      <c r="Q541" s="1025">
        <f t="shared" si="100"/>
        <v>0</v>
      </c>
      <c r="R541" s="1025">
        <f t="shared" si="111"/>
        <v>0</v>
      </c>
      <c r="S541" s="1026"/>
      <c r="T541" s="1026"/>
      <c r="U541" s="1026">
        <f t="shared" si="106"/>
        <v>0</v>
      </c>
      <c r="V541" s="1026">
        <f t="shared" si="112"/>
        <v>0</v>
      </c>
      <c r="W541" s="1027"/>
      <c r="X541" s="1027"/>
      <c r="Y541" s="1027">
        <f t="shared" si="101"/>
        <v>0</v>
      </c>
      <c r="Z541" s="1027">
        <f t="shared" si="113"/>
        <v>0</v>
      </c>
      <c r="AA541" s="1028"/>
      <c r="AB541" s="1028"/>
      <c r="AC541" s="1028">
        <f t="shared" si="102"/>
        <v>-45</v>
      </c>
      <c r="AD541" s="1028">
        <f t="shared" si="114"/>
        <v>-900</v>
      </c>
      <c r="AE541" s="1029"/>
      <c r="AF541" s="1029"/>
      <c r="AG541" s="1029">
        <v>31</v>
      </c>
      <c r="AH541" s="1029">
        <f t="shared" si="107"/>
        <v>620</v>
      </c>
      <c r="AI541" s="1030"/>
      <c r="AJ541" s="1030"/>
      <c r="AK541" s="1030">
        <v>31</v>
      </c>
      <c r="AL541" s="1030">
        <f t="shared" si="108"/>
        <v>620</v>
      </c>
      <c r="AM541" s="1031"/>
      <c r="AN541" s="1031"/>
      <c r="AO541" s="1031">
        <v>28</v>
      </c>
      <c r="AP541" s="1031">
        <f t="shared" si="109"/>
        <v>560</v>
      </c>
      <c r="AQ541" s="1026"/>
      <c r="AR541" s="1026"/>
      <c r="AS541" s="1026">
        <f t="shared" si="103"/>
        <v>-45</v>
      </c>
      <c r="AT541" s="1026">
        <f t="shared" si="115"/>
        <v>-900</v>
      </c>
      <c r="AU541" s="1032"/>
      <c r="AV541" s="1032"/>
      <c r="AW541" s="1032">
        <f t="shared" si="104"/>
        <v>0</v>
      </c>
      <c r="AX541" s="1032">
        <f t="shared" si="116"/>
        <v>0</v>
      </c>
      <c r="AY541" s="1033"/>
      <c r="AZ541" s="1033"/>
      <c r="BA541" s="1033">
        <f t="shared" si="105"/>
        <v>0</v>
      </c>
      <c r="BB541" s="1033">
        <f t="shared" si="117"/>
        <v>0</v>
      </c>
      <c r="BC541" s="1034"/>
      <c r="BD541" s="1034"/>
      <c r="BE541" s="1034"/>
      <c r="BF541" s="1034"/>
      <c r="BG541" s="1424"/>
      <c r="BH541" s="1424"/>
    </row>
    <row r="542" spans="1:60" ht="15.75" customHeight="1" x14ac:dyDescent="0.25">
      <c r="B542" s="1038"/>
      <c r="C542" s="1038"/>
      <c r="D542" s="1015"/>
      <c r="E542" s="1016"/>
      <c r="F542" s="1017"/>
      <c r="G542" s="1017"/>
      <c r="H542" s="1019"/>
      <c r="I542" s="1020"/>
      <c r="J542" s="1021"/>
      <c r="K542" s="1022"/>
      <c r="L542" s="1022"/>
      <c r="M542" s="1023">
        <f t="shared" si="99"/>
        <v>0</v>
      </c>
      <c r="N542" s="1022">
        <f t="shared" si="110"/>
        <v>0</v>
      </c>
      <c r="O542" s="1025"/>
      <c r="P542" s="1025"/>
      <c r="Q542" s="1025">
        <f t="shared" si="100"/>
        <v>0</v>
      </c>
      <c r="R542" s="1025">
        <f t="shared" si="111"/>
        <v>0</v>
      </c>
      <c r="S542" s="1026"/>
      <c r="T542" s="1026"/>
      <c r="U542" s="1026">
        <f t="shared" si="106"/>
        <v>0</v>
      </c>
      <c r="V542" s="1026">
        <f t="shared" si="112"/>
        <v>0</v>
      </c>
      <c r="W542" s="1027"/>
      <c r="X542" s="1027"/>
      <c r="Y542" s="1027">
        <f t="shared" si="101"/>
        <v>0</v>
      </c>
      <c r="Z542" s="1027">
        <f t="shared" si="113"/>
        <v>0</v>
      </c>
      <c r="AA542" s="1028"/>
      <c r="AB542" s="1028"/>
      <c r="AC542" s="1028">
        <f t="shared" si="102"/>
        <v>-45</v>
      </c>
      <c r="AD542" s="1028">
        <f t="shared" si="114"/>
        <v>-900</v>
      </c>
      <c r="AE542" s="1029"/>
      <c r="AF542" s="1029"/>
      <c r="AG542" s="1029">
        <v>31</v>
      </c>
      <c r="AH542" s="1029">
        <f t="shared" si="107"/>
        <v>620</v>
      </c>
      <c r="AI542" s="1030"/>
      <c r="AJ542" s="1030"/>
      <c r="AK542" s="1030">
        <v>31</v>
      </c>
      <c r="AL542" s="1030">
        <f t="shared" si="108"/>
        <v>620</v>
      </c>
      <c r="AM542" s="1031"/>
      <c r="AN542" s="1031"/>
      <c r="AO542" s="1031">
        <v>28</v>
      </c>
      <c r="AP542" s="1031">
        <f t="shared" si="109"/>
        <v>560</v>
      </c>
      <c r="AQ542" s="1026"/>
      <c r="AR542" s="1026"/>
      <c r="AS542" s="1026">
        <f t="shared" si="103"/>
        <v>-45</v>
      </c>
      <c r="AT542" s="1026">
        <f t="shared" si="115"/>
        <v>-900</v>
      </c>
      <c r="AU542" s="1032"/>
      <c r="AV542" s="1032"/>
      <c r="AW542" s="1032">
        <f t="shared" si="104"/>
        <v>0</v>
      </c>
      <c r="AX542" s="1032">
        <f t="shared" si="116"/>
        <v>0</v>
      </c>
      <c r="AY542" s="1033"/>
      <c r="AZ542" s="1033"/>
      <c r="BA542" s="1033">
        <f t="shared" si="105"/>
        <v>0</v>
      </c>
      <c r="BB542" s="1033">
        <f t="shared" si="117"/>
        <v>0</v>
      </c>
      <c r="BC542" s="1034"/>
      <c r="BD542" s="1034"/>
      <c r="BE542" s="1034"/>
      <c r="BF542" s="1034"/>
      <c r="BG542" s="1424"/>
      <c r="BH542" s="1424"/>
    </row>
    <row r="543" spans="1:60" ht="15.75" customHeight="1" x14ac:dyDescent="0.25">
      <c r="B543" s="1014"/>
      <c r="C543" s="1014"/>
      <c r="D543" s="1015"/>
      <c r="E543" s="1016"/>
      <c r="F543" s="1017"/>
      <c r="G543" s="1017"/>
      <c r="H543" s="1019"/>
      <c r="I543" s="1020"/>
      <c r="J543" s="1021"/>
      <c r="K543" s="1022"/>
      <c r="L543" s="1022"/>
      <c r="M543" s="1023">
        <f t="shared" si="99"/>
        <v>0</v>
      </c>
      <c r="N543" s="1022">
        <f t="shared" si="110"/>
        <v>0</v>
      </c>
      <c r="O543" s="1025"/>
      <c r="P543" s="1025"/>
      <c r="Q543" s="1025">
        <f t="shared" si="100"/>
        <v>0</v>
      </c>
      <c r="R543" s="1025">
        <f t="shared" si="111"/>
        <v>0</v>
      </c>
      <c r="S543" s="1026"/>
      <c r="T543" s="1026"/>
      <c r="U543" s="1026">
        <f t="shared" si="106"/>
        <v>0</v>
      </c>
      <c r="V543" s="1026">
        <f t="shared" si="112"/>
        <v>0</v>
      </c>
      <c r="W543" s="1027"/>
      <c r="X543" s="1027"/>
      <c r="Y543" s="1027">
        <f t="shared" si="101"/>
        <v>0</v>
      </c>
      <c r="Z543" s="1027">
        <f t="shared" si="113"/>
        <v>0</v>
      </c>
      <c r="AA543" s="1028"/>
      <c r="AB543" s="1028"/>
      <c r="AC543" s="1028">
        <f t="shared" si="102"/>
        <v>-45</v>
      </c>
      <c r="AD543" s="1028">
        <f t="shared" si="114"/>
        <v>-900</v>
      </c>
      <c r="AE543" s="1029"/>
      <c r="AF543" s="1029"/>
      <c r="AG543" s="1029">
        <v>31</v>
      </c>
      <c r="AH543" s="1029">
        <f t="shared" si="107"/>
        <v>620</v>
      </c>
      <c r="AI543" s="1030"/>
      <c r="AJ543" s="1030"/>
      <c r="AK543" s="1030">
        <v>31</v>
      </c>
      <c r="AL543" s="1030">
        <f t="shared" si="108"/>
        <v>620</v>
      </c>
      <c r="AM543" s="1031"/>
      <c r="AN543" s="1031"/>
      <c r="AO543" s="1031">
        <v>28</v>
      </c>
      <c r="AP543" s="1031">
        <f t="shared" si="109"/>
        <v>560</v>
      </c>
      <c r="AQ543" s="1026"/>
      <c r="AR543" s="1026"/>
      <c r="AS543" s="1026">
        <f t="shared" si="103"/>
        <v>-45</v>
      </c>
      <c r="AT543" s="1026">
        <f t="shared" si="115"/>
        <v>-900</v>
      </c>
      <c r="AU543" s="1032"/>
      <c r="AV543" s="1032"/>
      <c r="AW543" s="1032">
        <f t="shared" si="104"/>
        <v>0</v>
      </c>
      <c r="AX543" s="1032">
        <f t="shared" si="116"/>
        <v>0</v>
      </c>
      <c r="AY543" s="1033"/>
      <c r="AZ543" s="1033"/>
      <c r="BA543" s="1033">
        <f t="shared" si="105"/>
        <v>0</v>
      </c>
      <c r="BB543" s="1033">
        <f t="shared" si="117"/>
        <v>0</v>
      </c>
      <c r="BC543" s="1034"/>
      <c r="BD543" s="1034"/>
      <c r="BE543" s="1034"/>
      <c r="BF543" s="1034"/>
      <c r="BG543" s="1424"/>
      <c r="BH543" s="1424"/>
    </row>
    <row r="544" spans="1:60" ht="15.75" customHeight="1" x14ac:dyDescent="0.25">
      <c r="B544" s="1038"/>
      <c r="C544" s="1038"/>
      <c r="D544" s="1015"/>
      <c r="E544" s="1016"/>
      <c r="F544" s="1017"/>
      <c r="G544" s="1017"/>
      <c r="H544" s="1019"/>
      <c r="I544" s="1020"/>
      <c r="J544" s="1021"/>
      <c r="K544" s="1022"/>
      <c r="L544" s="1022"/>
      <c r="M544" s="1023">
        <f t="shared" si="99"/>
        <v>0</v>
      </c>
      <c r="N544" s="1022">
        <f t="shared" si="110"/>
        <v>0</v>
      </c>
      <c r="O544" s="1025"/>
      <c r="P544" s="1025"/>
      <c r="Q544" s="1025">
        <f t="shared" si="100"/>
        <v>0</v>
      </c>
      <c r="R544" s="1025">
        <f t="shared" si="111"/>
        <v>0</v>
      </c>
      <c r="S544" s="1026"/>
      <c r="T544" s="1026"/>
      <c r="U544" s="1026">
        <f t="shared" si="106"/>
        <v>0</v>
      </c>
      <c r="V544" s="1026">
        <f t="shared" si="112"/>
        <v>0</v>
      </c>
      <c r="W544" s="1027"/>
      <c r="X544" s="1027"/>
      <c r="Y544" s="1027">
        <f t="shared" si="101"/>
        <v>0</v>
      </c>
      <c r="Z544" s="1027">
        <f t="shared" si="113"/>
        <v>0</v>
      </c>
      <c r="AA544" s="1028"/>
      <c r="AB544" s="1028"/>
      <c r="AC544" s="1028">
        <f t="shared" si="102"/>
        <v>-45</v>
      </c>
      <c r="AD544" s="1028">
        <f t="shared" si="114"/>
        <v>-900</v>
      </c>
      <c r="AE544" s="1029"/>
      <c r="AF544" s="1029"/>
      <c r="AG544" s="1029">
        <v>31</v>
      </c>
      <c r="AH544" s="1029">
        <f t="shared" si="107"/>
        <v>620</v>
      </c>
      <c r="AI544" s="1030"/>
      <c r="AJ544" s="1030"/>
      <c r="AK544" s="1030">
        <v>31</v>
      </c>
      <c r="AL544" s="1030">
        <f t="shared" si="108"/>
        <v>620</v>
      </c>
      <c r="AM544" s="1031"/>
      <c r="AN544" s="1031"/>
      <c r="AO544" s="1031">
        <v>28</v>
      </c>
      <c r="AP544" s="1031">
        <f t="shared" si="109"/>
        <v>560</v>
      </c>
      <c r="AQ544" s="1026"/>
      <c r="AR544" s="1026"/>
      <c r="AS544" s="1026">
        <f t="shared" si="103"/>
        <v>-45</v>
      </c>
      <c r="AT544" s="1026">
        <f t="shared" si="115"/>
        <v>-900</v>
      </c>
      <c r="AU544" s="1032"/>
      <c r="AV544" s="1032"/>
      <c r="AW544" s="1032">
        <f t="shared" si="104"/>
        <v>0</v>
      </c>
      <c r="AX544" s="1032">
        <f t="shared" si="116"/>
        <v>0</v>
      </c>
      <c r="AY544" s="1033"/>
      <c r="AZ544" s="1033"/>
      <c r="BA544" s="1033">
        <f t="shared" si="105"/>
        <v>0</v>
      </c>
      <c r="BB544" s="1033">
        <f t="shared" si="117"/>
        <v>0</v>
      </c>
      <c r="BC544" s="1034"/>
      <c r="BD544" s="1034"/>
      <c r="BE544" s="1034"/>
      <c r="BF544" s="1034"/>
      <c r="BG544" s="1424"/>
      <c r="BH544" s="1424"/>
    </row>
    <row r="545" spans="2:60" ht="15.75" customHeight="1" x14ac:dyDescent="0.25">
      <c r="B545" s="1014"/>
      <c r="C545" s="1014"/>
      <c r="D545" s="1015"/>
      <c r="E545" s="1016"/>
      <c r="F545" s="1017"/>
      <c r="G545" s="1017"/>
      <c r="H545" s="1019"/>
      <c r="I545" s="1020"/>
      <c r="J545" s="1021"/>
      <c r="K545" s="1022"/>
      <c r="L545" s="1022"/>
      <c r="M545" s="1023">
        <f t="shared" si="99"/>
        <v>0</v>
      </c>
      <c r="N545" s="1022">
        <f t="shared" si="110"/>
        <v>0</v>
      </c>
      <c r="O545" s="1025"/>
      <c r="P545" s="1025"/>
      <c r="Q545" s="1025">
        <f t="shared" si="100"/>
        <v>0</v>
      </c>
      <c r="R545" s="1025">
        <f t="shared" si="111"/>
        <v>0</v>
      </c>
      <c r="S545" s="1026"/>
      <c r="T545" s="1026"/>
      <c r="U545" s="1026">
        <f t="shared" si="106"/>
        <v>0</v>
      </c>
      <c r="V545" s="1026">
        <f t="shared" si="112"/>
        <v>0</v>
      </c>
      <c r="W545" s="1027"/>
      <c r="X545" s="1027"/>
      <c r="Y545" s="1027">
        <f t="shared" si="101"/>
        <v>0</v>
      </c>
      <c r="Z545" s="1027">
        <f t="shared" si="113"/>
        <v>0</v>
      </c>
      <c r="AA545" s="1028"/>
      <c r="AB545" s="1028"/>
      <c r="AC545" s="1028">
        <f t="shared" si="102"/>
        <v>-45</v>
      </c>
      <c r="AD545" s="1028">
        <f t="shared" si="114"/>
        <v>-900</v>
      </c>
      <c r="AE545" s="1029"/>
      <c r="AF545" s="1029"/>
      <c r="AG545" s="1029">
        <v>31</v>
      </c>
      <c r="AH545" s="1029">
        <f t="shared" si="107"/>
        <v>620</v>
      </c>
      <c r="AI545" s="1030"/>
      <c r="AJ545" s="1030"/>
      <c r="AK545" s="1030">
        <v>31</v>
      </c>
      <c r="AL545" s="1030">
        <f t="shared" si="108"/>
        <v>620</v>
      </c>
      <c r="AM545" s="1031"/>
      <c r="AN545" s="1031"/>
      <c r="AO545" s="1031">
        <v>28</v>
      </c>
      <c r="AP545" s="1031">
        <f t="shared" si="109"/>
        <v>560</v>
      </c>
      <c r="AQ545" s="1026"/>
      <c r="AR545" s="1026"/>
      <c r="AS545" s="1026">
        <f t="shared" si="103"/>
        <v>-45</v>
      </c>
      <c r="AT545" s="1026">
        <f t="shared" si="115"/>
        <v>-900</v>
      </c>
      <c r="AU545" s="1032"/>
      <c r="AV545" s="1032"/>
      <c r="AW545" s="1032">
        <f t="shared" si="104"/>
        <v>0</v>
      </c>
      <c r="AX545" s="1032">
        <f t="shared" si="116"/>
        <v>0</v>
      </c>
      <c r="AY545" s="1033"/>
      <c r="AZ545" s="1033"/>
      <c r="BA545" s="1033">
        <f t="shared" si="105"/>
        <v>0</v>
      </c>
      <c r="BB545" s="1033">
        <f t="shared" si="117"/>
        <v>0</v>
      </c>
      <c r="BC545" s="1034"/>
      <c r="BD545" s="1034"/>
      <c r="BE545" s="1034"/>
      <c r="BF545" s="1034"/>
      <c r="BG545" s="1424"/>
      <c r="BH545" s="1424"/>
    </row>
    <row r="546" spans="2:60" ht="15.75" customHeight="1" x14ac:dyDescent="0.25">
      <c r="B546" s="1038"/>
      <c r="C546" s="1038"/>
      <c r="D546" s="1015"/>
      <c r="E546" s="1016"/>
      <c r="F546" s="1017"/>
      <c r="G546" s="1017"/>
      <c r="H546" s="1019"/>
      <c r="I546" s="1020"/>
      <c r="J546" s="1021"/>
      <c r="K546" s="1022"/>
      <c r="L546" s="1022"/>
      <c r="M546" s="1023">
        <f t="shared" si="99"/>
        <v>0</v>
      </c>
      <c r="N546" s="1022">
        <f t="shared" si="110"/>
        <v>0</v>
      </c>
      <c r="O546" s="1025"/>
      <c r="P546" s="1025"/>
      <c r="Q546" s="1025">
        <f t="shared" si="100"/>
        <v>0</v>
      </c>
      <c r="R546" s="1025">
        <f t="shared" si="111"/>
        <v>0</v>
      </c>
      <c r="S546" s="1026"/>
      <c r="T546" s="1026"/>
      <c r="U546" s="1026">
        <f t="shared" si="106"/>
        <v>0</v>
      </c>
      <c r="V546" s="1026">
        <f t="shared" si="112"/>
        <v>0</v>
      </c>
      <c r="W546" s="1027"/>
      <c r="X546" s="1027"/>
      <c r="Y546" s="1027">
        <f t="shared" si="101"/>
        <v>0</v>
      </c>
      <c r="Z546" s="1027">
        <f t="shared" si="113"/>
        <v>0</v>
      </c>
      <c r="AA546" s="1028"/>
      <c r="AB546" s="1028"/>
      <c r="AC546" s="1028">
        <f t="shared" si="102"/>
        <v>-45</v>
      </c>
      <c r="AD546" s="1028">
        <f t="shared" si="114"/>
        <v>-900</v>
      </c>
      <c r="AE546" s="1029"/>
      <c r="AF546" s="1029"/>
      <c r="AG546" s="1029">
        <v>31</v>
      </c>
      <c r="AH546" s="1029">
        <f t="shared" si="107"/>
        <v>620</v>
      </c>
      <c r="AI546" s="1030"/>
      <c r="AJ546" s="1030"/>
      <c r="AK546" s="1030">
        <v>31</v>
      </c>
      <c r="AL546" s="1030">
        <f t="shared" si="108"/>
        <v>620</v>
      </c>
      <c r="AM546" s="1031"/>
      <c r="AN546" s="1031"/>
      <c r="AO546" s="1031">
        <v>28</v>
      </c>
      <c r="AP546" s="1031">
        <f t="shared" si="109"/>
        <v>560</v>
      </c>
      <c r="AQ546" s="1026"/>
      <c r="AR546" s="1026"/>
      <c r="AS546" s="1026">
        <f t="shared" si="103"/>
        <v>-45</v>
      </c>
      <c r="AT546" s="1026">
        <f t="shared" si="115"/>
        <v>-900</v>
      </c>
      <c r="AU546" s="1032"/>
      <c r="AV546" s="1032"/>
      <c r="AW546" s="1032">
        <f t="shared" si="104"/>
        <v>0</v>
      </c>
      <c r="AX546" s="1032">
        <f t="shared" si="116"/>
        <v>0</v>
      </c>
      <c r="AY546" s="1033"/>
      <c r="AZ546" s="1033"/>
      <c r="BA546" s="1033">
        <f t="shared" si="105"/>
        <v>0</v>
      </c>
      <c r="BB546" s="1033">
        <f t="shared" si="117"/>
        <v>0</v>
      </c>
      <c r="BC546" s="1034"/>
      <c r="BD546" s="1034"/>
      <c r="BE546" s="1034"/>
      <c r="BF546" s="1034"/>
      <c r="BG546" s="1424"/>
      <c r="BH546" s="1424"/>
    </row>
    <row r="547" spans="2:60" ht="15.75" customHeight="1" x14ac:dyDescent="0.25">
      <c r="B547" s="1014"/>
      <c r="C547" s="1014"/>
      <c r="D547" s="1015"/>
      <c r="E547" s="1016"/>
      <c r="F547" s="1017"/>
      <c r="G547" s="1017"/>
      <c r="H547" s="1019"/>
      <c r="I547" s="1020"/>
      <c r="J547" s="1021"/>
      <c r="K547" s="1022"/>
      <c r="L547" s="1022"/>
      <c r="M547" s="1023">
        <f t="shared" si="99"/>
        <v>0</v>
      </c>
      <c r="N547" s="1022">
        <f t="shared" si="110"/>
        <v>0</v>
      </c>
      <c r="O547" s="1025"/>
      <c r="P547" s="1025"/>
      <c r="Q547" s="1025">
        <f t="shared" si="100"/>
        <v>0</v>
      </c>
      <c r="R547" s="1025">
        <f t="shared" si="111"/>
        <v>0</v>
      </c>
      <c r="S547" s="1026"/>
      <c r="T547" s="1026"/>
      <c r="U547" s="1026">
        <f t="shared" si="106"/>
        <v>0</v>
      </c>
      <c r="V547" s="1026">
        <f t="shared" si="112"/>
        <v>0</v>
      </c>
      <c r="W547" s="1027"/>
      <c r="X547" s="1027"/>
      <c r="Y547" s="1027">
        <f t="shared" si="101"/>
        <v>0</v>
      </c>
      <c r="Z547" s="1027">
        <f t="shared" si="113"/>
        <v>0</v>
      </c>
      <c r="AA547" s="1028"/>
      <c r="AB547" s="1028"/>
      <c r="AC547" s="1028">
        <f t="shared" si="102"/>
        <v>-45</v>
      </c>
      <c r="AD547" s="1028">
        <f t="shared" si="114"/>
        <v>-900</v>
      </c>
      <c r="AE547" s="1029"/>
      <c r="AF547" s="1029"/>
      <c r="AG547" s="1029">
        <v>31</v>
      </c>
      <c r="AH547" s="1029">
        <f t="shared" si="107"/>
        <v>620</v>
      </c>
      <c r="AI547" s="1030"/>
      <c r="AJ547" s="1030"/>
      <c r="AK547" s="1030">
        <v>31</v>
      </c>
      <c r="AL547" s="1030">
        <f t="shared" si="108"/>
        <v>620</v>
      </c>
      <c r="AM547" s="1031"/>
      <c r="AN547" s="1031"/>
      <c r="AO547" s="1031">
        <v>28</v>
      </c>
      <c r="AP547" s="1031">
        <f t="shared" si="109"/>
        <v>560</v>
      </c>
      <c r="AQ547" s="1026"/>
      <c r="AR547" s="1026"/>
      <c r="AS547" s="1026">
        <f t="shared" si="103"/>
        <v>-45</v>
      </c>
      <c r="AT547" s="1026">
        <f t="shared" si="115"/>
        <v>-900</v>
      </c>
      <c r="AU547" s="1032"/>
      <c r="AV547" s="1032"/>
      <c r="AW547" s="1032">
        <f t="shared" si="104"/>
        <v>0</v>
      </c>
      <c r="AX547" s="1032">
        <f t="shared" si="116"/>
        <v>0</v>
      </c>
      <c r="AY547" s="1033"/>
      <c r="AZ547" s="1033"/>
      <c r="BA547" s="1033">
        <f t="shared" si="105"/>
        <v>0</v>
      </c>
      <c r="BB547" s="1033">
        <f t="shared" si="117"/>
        <v>0</v>
      </c>
      <c r="BC547" s="1034"/>
      <c r="BD547" s="1034"/>
      <c r="BE547" s="1034"/>
      <c r="BF547" s="1034"/>
      <c r="BG547" s="1424"/>
      <c r="BH547" s="1424"/>
    </row>
    <row r="548" spans="2:60" ht="15.75" customHeight="1" x14ac:dyDescent="0.25">
      <c r="B548" s="1038"/>
      <c r="C548" s="1038"/>
      <c r="D548" s="1015"/>
      <c r="E548" s="1016"/>
      <c r="F548" s="1017"/>
      <c r="G548" s="1017"/>
      <c r="H548" s="1019"/>
      <c r="I548" s="1020"/>
      <c r="J548" s="1021"/>
      <c r="K548" s="1022"/>
      <c r="L548" s="1022"/>
      <c r="M548" s="1023">
        <f t="shared" si="99"/>
        <v>0</v>
      </c>
      <c r="N548" s="1022">
        <f t="shared" si="110"/>
        <v>0</v>
      </c>
      <c r="O548" s="1025"/>
      <c r="P548" s="1025"/>
      <c r="Q548" s="1025">
        <f t="shared" si="100"/>
        <v>0</v>
      </c>
      <c r="R548" s="1025">
        <f t="shared" si="111"/>
        <v>0</v>
      </c>
      <c r="S548" s="1026"/>
      <c r="T548" s="1026"/>
      <c r="U548" s="1026">
        <f t="shared" si="106"/>
        <v>0</v>
      </c>
      <c r="V548" s="1026">
        <f t="shared" si="112"/>
        <v>0</v>
      </c>
      <c r="W548" s="1027"/>
      <c r="X548" s="1027"/>
      <c r="Y548" s="1027">
        <f t="shared" si="101"/>
        <v>0</v>
      </c>
      <c r="Z548" s="1027">
        <f t="shared" si="113"/>
        <v>0</v>
      </c>
      <c r="AA548" s="1028"/>
      <c r="AB548" s="1028"/>
      <c r="AC548" s="1028">
        <f t="shared" si="102"/>
        <v>-45</v>
      </c>
      <c r="AD548" s="1028">
        <f t="shared" si="114"/>
        <v>-900</v>
      </c>
      <c r="AE548" s="1029"/>
      <c r="AF548" s="1029"/>
      <c r="AG548" s="1029">
        <v>31</v>
      </c>
      <c r="AH548" s="1029">
        <f t="shared" si="107"/>
        <v>620</v>
      </c>
      <c r="AI548" s="1030"/>
      <c r="AJ548" s="1030"/>
      <c r="AK548" s="1030">
        <v>31</v>
      </c>
      <c r="AL548" s="1030">
        <f t="shared" si="108"/>
        <v>620</v>
      </c>
      <c r="AM548" s="1031"/>
      <c r="AN548" s="1031"/>
      <c r="AO548" s="1031">
        <v>28</v>
      </c>
      <c r="AP548" s="1031">
        <f t="shared" si="109"/>
        <v>560</v>
      </c>
      <c r="AQ548" s="1026"/>
      <c r="AR548" s="1026"/>
      <c r="AS548" s="1026">
        <f t="shared" si="103"/>
        <v>-45</v>
      </c>
      <c r="AT548" s="1026">
        <f t="shared" si="115"/>
        <v>-900</v>
      </c>
      <c r="AU548" s="1032"/>
      <c r="AV548" s="1032"/>
      <c r="AW548" s="1032">
        <f t="shared" si="104"/>
        <v>0</v>
      </c>
      <c r="AX548" s="1032">
        <f t="shared" si="116"/>
        <v>0</v>
      </c>
      <c r="AY548" s="1033"/>
      <c r="AZ548" s="1033"/>
      <c r="BA548" s="1033">
        <f t="shared" si="105"/>
        <v>0</v>
      </c>
      <c r="BB548" s="1033">
        <f t="shared" si="117"/>
        <v>0</v>
      </c>
      <c r="BC548" s="1034"/>
      <c r="BD548" s="1034"/>
      <c r="BE548" s="1034"/>
      <c r="BF548" s="1034"/>
      <c r="BG548" s="1424"/>
      <c r="BH548" s="1424"/>
    </row>
    <row r="549" spans="2:60" ht="15.75" customHeight="1" x14ac:dyDescent="0.25">
      <c r="C549" s="1052"/>
      <c r="D549" s="1052"/>
      <c r="E549" s="1052"/>
      <c r="F549" s="1052"/>
      <c r="G549" s="1052"/>
      <c r="H549" s="1052"/>
    </row>
    <row r="551" spans="2:60" ht="15.75" customHeight="1" x14ac:dyDescent="0.25">
      <c r="D551" s="985"/>
    </row>
    <row r="596" spans="2:2" ht="15.75" customHeight="1" x14ac:dyDescent="0.25">
      <c r="B596" s="1053" t="s">
        <v>912</v>
      </c>
    </row>
  </sheetData>
  <sheetProtection password="ECB1"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workbookViewId="0">
      <selection sqref="A1:XFD1048576"/>
    </sheetView>
  </sheetViews>
  <sheetFormatPr defaultColWidth="9.140625" defaultRowHeight="15" x14ac:dyDescent="0.25"/>
  <cols>
    <col min="1" max="1" width="43.7109375" style="51" customWidth="1"/>
    <col min="2" max="2" width="22.5703125" style="51" customWidth="1"/>
    <col min="3" max="3" width="27.28515625" style="51" customWidth="1"/>
    <col min="4" max="4" width="9.140625" style="51" customWidth="1"/>
    <col min="5" max="5" width="7.5703125" style="51" customWidth="1"/>
    <col min="6" max="6" width="4.140625" style="51" customWidth="1"/>
    <col min="7" max="8" width="7.5703125" style="51" customWidth="1"/>
    <col min="9" max="9" width="9.140625" style="51"/>
    <col min="10" max="10" width="11" style="51" customWidth="1"/>
    <col min="11" max="16" width="9.140625" style="51"/>
    <col min="17" max="17" width="17.28515625" style="51" customWidth="1"/>
    <col min="18" max="18" width="9.140625" style="51"/>
    <col min="19" max="19" width="9.5703125" style="51" bestFit="1" customWidth="1"/>
    <col min="20" max="20" width="9.140625" style="51"/>
    <col min="21" max="21" width="7.28515625" style="51" customWidth="1"/>
    <col min="22" max="27" width="9.140625" style="51"/>
    <col min="28" max="28" width="8.85546875" style="51" customWidth="1"/>
    <col min="29" max="34" width="9.140625" style="51"/>
    <col min="35" max="35" width="11.5703125" style="51" bestFit="1" customWidth="1"/>
    <col min="36" max="41" width="9.140625" style="51"/>
    <col min="42" max="42" width="7" style="51" customWidth="1"/>
    <col min="43" max="48" width="9.140625" style="51"/>
    <col min="49" max="49" width="8" style="51" customWidth="1"/>
    <col min="50" max="16384" width="9.140625" style="51"/>
  </cols>
  <sheetData>
    <row r="1" spans="1:59" ht="62.25" customHeight="1" x14ac:dyDescent="0.45">
      <c r="A1" s="2446" t="s">
        <v>1223</v>
      </c>
      <c r="B1" s="2446"/>
      <c r="C1" s="2446"/>
      <c r="D1" s="2446"/>
      <c r="E1" s="2446"/>
      <c r="F1" s="2446"/>
      <c r="G1" s="2446"/>
      <c r="H1" s="2446"/>
      <c r="I1" s="2446"/>
      <c r="J1" s="2446"/>
      <c r="K1" s="2446"/>
      <c r="L1" s="2446"/>
      <c r="M1" s="2446"/>
      <c r="N1" s="2446"/>
      <c r="O1" s="2446"/>
      <c r="P1" s="2446"/>
      <c r="Q1" s="2446"/>
      <c r="R1" s="2446"/>
      <c r="S1" s="2446"/>
      <c r="T1" s="2446"/>
      <c r="U1" s="2446"/>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row>
    <row r="2" spans="1:59" ht="15.75" thickBot="1" x14ac:dyDescent="0.3">
      <c r="A2" s="1054"/>
      <c r="B2" s="71" t="s">
        <v>1467</v>
      </c>
      <c r="C2" s="1055" t="e">
        <f>списки!$C$56-'Расчет базового уровня'!$D$147</f>
        <v>#N/A</v>
      </c>
      <c r="D2" s="50"/>
      <c r="E2" s="50"/>
      <c r="F2" s="50"/>
      <c r="G2" s="50"/>
      <c r="H2" s="50"/>
      <c r="I2" s="50"/>
      <c r="J2" s="50"/>
      <c r="K2" s="50"/>
      <c r="L2" s="50"/>
      <c r="M2" s="50"/>
      <c r="N2" s="50"/>
      <c r="O2" s="50"/>
      <c r="P2" s="50"/>
      <c r="Q2" s="50"/>
      <c r="R2" s="50"/>
      <c r="S2" s="50"/>
      <c r="T2" s="50"/>
      <c r="U2" s="50"/>
      <c r="V2" s="50"/>
    </row>
    <row r="3" spans="1:59" ht="37.5" customHeight="1" x14ac:dyDescent="0.25">
      <c r="A3" s="2543" t="s">
        <v>756</v>
      </c>
      <c r="B3" s="2545" t="s">
        <v>1340</v>
      </c>
      <c r="C3" s="2547" t="s">
        <v>1330</v>
      </c>
      <c r="D3" s="2548"/>
      <c r="E3" s="2548"/>
      <c r="F3" s="2548"/>
      <c r="G3" s="2548"/>
      <c r="H3" s="2549"/>
      <c r="I3" s="2550" t="s">
        <v>1331</v>
      </c>
      <c r="J3" s="2550"/>
      <c r="K3" s="2551"/>
      <c r="L3" s="50"/>
      <c r="M3" s="50"/>
      <c r="N3" s="50"/>
      <c r="O3" s="50"/>
      <c r="P3" s="50"/>
      <c r="Q3" s="50"/>
      <c r="R3" s="50"/>
      <c r="S3" s="50"/>
      <c r="T3" s="50"/>
      <c r="U3" s="50"/>
      <c r="V3" s="50"/>
    </row>
    <row r="4" spans="1:59" ht="45.95" customHeight="1" x14ac:dyDescent="0.25">
      <c r="A4" s="2544"/>
      <c r="B4" s="2546"/>
      <c r="C4" s="1056" t="s">
        <v>1332</v>
      </c>
      <c r="D4" s="1057" t="s">
        <v>1333</v>
      </c>
      <c r="E4" s="1057" t="s">
        <v>1334</v>
      </c>
      <c r="F4" s="1058" t="s">
        <v>1335</v>
      </c>
      <c r="G4" s="1058" t="s">
        <v>1336</v>
      </c>
      <c r="H4" s="1058" t="s">
        <v>1337</v>
      </c>
      <c r="I4" s="1057" t="s">
        <v>1338</v>
      </c>
      <c r="J4" s="1057" t="s">
        <v>1443</v>
      </c>
      <c r="K4" s="1059" t="s">
        <v>1339</v>
      </c>
      <c r="L4" s="50"/>
      <c r="M4" s="50"/>
      <c r="N4" s="50"/>
      <c r="O4" s="50"/>
      <c r="P4" s="50"/>
      <c r="Q4" s="50"/>
      <c r="R4" s="50"/>
      <c r="S4" s="50"/>
      <c r="T4" s="50"/>
      <c r="U4" s="50"/>
      <c r="V4" s="50"/>
      <c r="W4" s="60"/>
    </row>
    <row r="5" spans="1:59" s="1068" customFormat="1" ht="27" customHeight="1" x14ac:dyDescent="0.25">
      <c r="A5" s="1060" t="s">
        <v>1382</v>
      </c>
      <c r="B5" s="1061" t="str">
        <f>CONCATENATE(A5,C5)</f>
        <v>II-18керамзитобетон (блоки)</v>
      </c>
      <c r="C5" s="913" t="s">
        <v>1149</v>
      </c>
      <c r="D5" s="1062"/>
      <c r="E5" s="1062"/>
      <c r="F5" s="1063">
        <v>0.4</v>
      </c>
      <c r="G5" s="1062"/>
      <c r="H5" s="1062"/>
      <c r="I5" s="1064">
        <f>0.4/AVERAGE(H262:H269)+1/23+1/8.7</f>
        <v>0.94081687762475719</v>
      </c>
      <c r="J5" s="1065" t="e">
        <f>1*(списки!$C$56-'Расчет базового уровня'!$D$147)/(6*8.7)</f>
        <v>#N/A</v>
      </c>
      <c r="K5" s="1066" t="e">
        <f>MAX(I5:J5)</f>
        <v>#N/A</v>
      </c>
      <c r="L5" s="50"/>
      <c r="M5" s="50"/>
      <c r="N5" s="50"/>
      <c r="O5" s="50"/>
      <c r="P5" s="50"/>
      <c r="Q5" s="50"/>
      <c r="R5" s="50"/>
      <c r="S5" s="50"/>
      <c r="T5" s="50"/>
      <c r="U5" s="50"/>
      <c r="V5" s="50"/>
      <c r="W5" s="1067"/>
    </row>
    <row r="6" spans="1:59" s="1068" customFormat="1" ht="17.100000000000001" customHeight="1" x14ac:dyDescent="0.25">
      <c r="A6" s="1060" t="s">
        <v>1382</v>
      </c>
      <c r="B6" s="1061" t="str">
        <f t="shared" ref="B6:B33" si="0">CONCATENATE(A6,C6)</f>
        <v>II-18кирпич</v>
      </c>
      <c r="C6" s="913" t="s">
        <v>920</v>
      </c>
      <c r="D6" s="1062"/>
      <c r="E6" s="1062"/>
      <c r="F6" s="1063">
        <v>0.51</v>
      </c>
      <c r="G6" s="1062"/>
      <c r="H6" s="1062"/>
      <c r="I6" s="1064">
        <f>F6/H327+1/23+1/8.7</f>
        <v>0.88699221817662599</v>
      </c>
      <c r="J6" s="1065" t="e">
        <f>1*(списки!$C$56-'Расчет базового уровня'!$D$147)/(6*8.7)</f>
        <v>#N/A</v>
      </c>
      <c r="K6" s="1066" t="e">
        <f t="shared" ref="K6:K33" si="1">MAX(I6:J6)</f>
        <v>#N/A</v>
      </c>
      <c r="L6" s="50"/>
      <c r="M6" s="50"/>
      <c r="N6" s="50"/>
      <c r="O6" s="50"/>
      <c r="P6" s="50"/>
      <c r="Q6" s="50"/>
      <c r="R6" s="50"/>
      <c r="S6" s="50"/>
      <c r="T6" s="50"/>
      <c r="U6" s="50"/>
      <c r="V6" s="50"/>
      <c r="W6" s="1067"/>
    </row>
    <row r="7" spans="1:59" s="1068" customFormat="1" ht="17.100000000000001" customHeight="1" x14ac:dyDescent="0.25">
      <c r="A7" s="1060" t="s">
        <v>1384</v>
      </c>
      <c r="B7" s="1061" t="str">
        <f t="shared" si="0"/>
        <v>II-49железобетон</v>
      </c>
      <c r="C7" s="909" t="s">
        <v>1147</v>
      </c>
      <c r="D7" s="1069"/>
      <c r="E7" s="1069">
        <v>0.3</v>
      </c>
      <c r="F7" s="1063">
        <v>0.25</v>
      </c>
      <c r="G7" s="1069">
        <v>0.05</v>
      </c>
      <c r="H7" s="1069"/>
      <c r="I7" s="1070">
        <f>0.25/H349+0.05/H125+1/23+1/8.7</f>
        <v>1.0622198092130406</v>
      </c>
      <c r="J7" s="1065" t="e">
        <f>1*(списки!$C$56-'Расчет базового уровня'!$D$147)/(6*8.7)</f>
        <v>#N/A</v>
      </c>
      <c r="K7" s="1066" t="e">
        <f t="shared" si="1"/>
        <v>#N/A</v>
      </c>
      <c r="L7" s="50"/>
      <c r="M7" s="50"/>
      <c r="N7" s="50"/>
      <c r="O7" s="50"/>
      <c r="P7" s="50"/>
      <c r="Q7" s="50"/>
      <c r="R7" s="50"/>
      <c r="S7" s="50"/>
      <c r="T7" s="50"/>
      <c r="U7" s="50"/>
      <c r="V7" s="50"/>
      <c r="W7" s="1067"/>
    </row>
    <row r="8" spans="1:59" s="1068" customFormat="1" ht="17.100000000000001" customHeight="1" x14ac:dyDescent="0.25">
      <c r="A8" s="1060" t="s">
        <v>1384</v>
      </c>
      <c r="B8" s="1061" t="str">
        <f t="shared" si="0"/>
        <v>II-49керамзитобетон</v>
      </c>
      <c r="C8" s="909" t="s">
        <v>1148</v>
      </c>
      <c r="D8" s="1069"/>
      <c r="E8" s="1069">
        <v>0.34</v>
      </c>
      <c r="F8" s="1063"/>
      <c r="G8" s="1069"/>
      <c r="H8" s="1069"/>
      <c r="I8" s="1070">
        <f>0.34/AVERAGE($H$262:$H$269)+1/23+1/8.7</f>
        <v>0.82345746442182322</v>
      </c>
      <c r="J8" s="1065" t="e">
        <f>1*(списки!$C$56-'Расчет базового уровня'!$D$147)/(6*8.7)</f>
        <v>#N/A</v>
      </c>
      <c r="K8" s="1066" t="e">
        <f t="shared" si="1"/>
        <v>#N/A</v>
      </c>
      <c r="L8" s="50"/>
      <c r="M8" s="50"/>
      <c r="N8" s="50"/>
      <c r="O8" s="50"/>
      <c r="P8" s="50"/>
      <c r="Q8" s="50"/>
      <c r="R8" s="50"/>
      <c r="S8" s="50"/>
      <c r="T8" s="50"/>
      <c r="U8" s="50"/>
      <c r="V8" s="50"/>
      <c r="W8" s="1067"/>
    </row>
    <row r="9" spans="1:59" s="1068" customFormat="1" ht="17.100000000000001" customHeight="1" x14ac:dyDescent="0.25">
      <c r="A9" s="1060" t="s">
        <v>1430</v>
      </c>
      <c r="B9" s="1061" t="str">
        <f t="shared" si="0"/>
        <v>II-68 (-01, -02) 1 или 2 секциижелезобетонная панель</v>
      </c>
      <c r="C9" s="909" t="s">
        <v>1386</v>
      </c>
      <c r="D9" s="1069"/>
      <c r="E9" s="1069"/>
      <c r="F9" s="1063"/>
      <c r="G9" s="1069"/>
      <c r="H9" s="1069"/>
      <c r="I9" s="1070">
        <f>(0.25/$H$349+0.05/$H$125+1/23+1/8.7)*0.8</f>
        <v>0.84977584737043255</v>
      </c>
      <c r="J9" s="1065" t="e">
        <f>1*(списки!$C$56-'Расчет базового уровня'!$D$147)/(6*8.7)</f>
        <v>#N/A</v>
      </c>
      <c r="K9" s="1066" t="e">
        <f t="shared" si="1"/>
        <v>#N/A</v>
      </c>
      <c r="L9" s="50"/>
      <c r="M9" s="50"/>
      <c r="N9" s="50"/>
      <c r="O9" s="50"/>
      <c r="P9" s="50"/>
      <c r="Q9" s="50"/>
      <c r="R9" s="50"/>
      <c r="S9" s="50"/>
      <c r="T9" s="50"/>
      <c r="U9" s="50"/>
      <c r="V9" s="50"/>
      <c r="W9" s="1067"/>
    </row>
    <row r="10" spans="1:59" s="1068" customFormat="1" ht="17.100000000000001" customHeight="1" x14ac:dyDescent="0.25">
      <c r="A10" s="1060" t="s">
        <v>1548</v>
      </c>
      <c r="B10" s="1061" t="str">
        <f t="shared" si="0"/>
        <v>121 (-041,-042,-043) (9-10 эт)железобетонная панель</v>
      </c>
      <c r="C10" s="909" t="s">
        <v>1386</v>
      </c>
      <c r="D10" s="1069"/>
      <c r="E10" s="1069"/>
      <c r="F10" s="1063"/>
      <c r="G10" s="1069"/>
      <c r="H10" s="1069"/>
      <c r="I10" s="1070">
        <f>(0.25/$H$349+0.05/$H$125+1/23+1/8.7)*0.8</f>
        <v>0.84977584737043255</v>
      </c>
      <c r="J10" s="1065" t="e">
        <f>IF('Ввод исходных данных'!$D$13=списки!$Y$49,1*(списки!$C$56-'Расчет базового уровня'!$D$147)/(6*8.7),IF('Ввод исходных данных'!$D$13=списки!$Y$50,'Серии теплотехника'!$B$412,'Серии теплотехника'!$C$412))</f>
        <v>#N/A</v>
      </c>
      <c r="K10" s="1066" t="e">
        <f t="shared" si="1"/>
        <v>#N/A</v>
      </c>
      <c r="L10" s="50"/>
      <c r="M10" s="50"/>
      <c r="N10" s="50"/>
      <c r="O10" s="50"/>
      <c r="P10" s="50"/>
      <c r="Q10" s="50"/>
      <c r="R10" s="50"/>
      <c r="S10" s="50"/>
      <c r="T10" s="50"/>
      <c r="U10" s="50"/>
      <c r="V10" s="50"/>
      <c r="W10" s="1067"/>
    </row>
    <row r="11" spans="1:59" s="1068" customFormat="1" ht="17.100000000000001" customHeight="1" x14ac:dyDescent="0.25">
      <c r="A11" s="1060" t="s">
        <v>1549</v>
      </c>
      <c r="B11" s="1061" t="str">
        <f t="shared" si="0"/>
        <v>121 (-014,-016,-017) (5,9,10 эт)железобетонная панель</v>
      </c>
      <c r="C11" s="909" t="s">
        <v>1386</v>
      </c>
      <c r="D11" s="1069"/>
      <c r="E11" s="1069"/>
      <c r="F11" s="1063"/>
      <c r="G11" s="1069"/>
      <c r="H11" s="1069"/>
      <c r="I11" s="1070">
        <f>(0.25/$H$349+0.05/$H$125+1/23+1/8.7)*0.8</f>
        <v>0.84977584737043255</v>
      </c>
      <c r="J11" s="1065" t="e">
        <f>IF('Ввод исходных данных'!$D$13=списки!$Y$49,1*(списки!$C$56-'Расчет базового уровня'!$D$147)/(6*8.7),IF('Ввод исходных данных'!$D$13=списки!$Y$50,'Серии теплотехника'!$B$412,'Серии теплотехника'!$C$412))</f>
        <v>#N/A</v>
      </c>
      <c r="K11" s="1066" t="e">
        <f t="shared" si="1"/>
        <v>#N/A</v>
      </c>
      <c r="L11" s="50"/>
      <c r="M11" s="50"/>
      <c r="N11" s="50"/>
      <c r="O11" s="50"/>
      <c r="P11" s="50"/>
      <c r="Q11" s="50"/>
      <c r="R11" s="50"/>
      <c r="S11" s="50"/>
      <c r="T11" s="50"/>
      <c r="U11" s="50"/>
      <c r="V11" s="50"/>
      <c r="W11" s="1067"/>
    </row>
    <row r="12" spans="1:59" s="1068" customFormat="1" ht="17.100000000000001" customHeight="1" x14ac:dyDescent="0.25">
      <c r="A12" s="939" t="s">
        <v>1381</v>
      </c>
      <c r="B12" s="1061" t="str">
        <f t="shared" si="0"/>
        <v>I-125железобетонная панель</v>
      </c>
      <c r="C12" s="909" t="s">
        <v>1386</v>
      </c>
      <c r="D12" s="1069"/>
      <c r="E12" s="1069"/>
      <c r="F12" s="1063"/>
      <c r="G12" s="1069"/>
      <c r="H12" s="1069"/>
      <c r="I12" s="1070">
        <f>(0.25/$H$349+0.05/$H$125+1/23+1/8.7)*0.8</f>
        <v>0.84977584737043255</v>
      </c>
      <c r="J12" s="1065" t="e">
        <f>1*(списки!$C$56-'Расчет базового уровня'!$D$147)/(6*8.7)</f>
        <v>#N/A</v>
      </c>
      <c r="K12" s="1066" t="e">
        <f t="shared" si="1"/>
        <v>#N/A</v>
      </c>
      <c r="L12" s="50"/>
      <c r="M12" s="50"/>
      <c r="N12" s="50"/>
      <c r="O12" s="50"/>
      <c r="P12" s="50"/>
      <c r="Q12" s="50"/>
      <c r="R12" s="50"/>
      <c r="S12" s="50"/>
      <c r="T12" s="50"/>
      <c r="U12" s="50"/>
      <c r="V12" s="50"/>
      <c r="W12" s="1067"/>
    </row>
    <row r="13" spans="1:59" s="1068" customFormat="1" ht="17.100000000000001" customHeight="1" x14ac:dyDescent="0.25">
      <c r="A13" s="939" t="s">
        <v>1376</v>
      </c>
      <c r="B13" s="1061" t="str">
        <f t="shared" si="0"/>
        <v>I-335керамзитобетонная 1-слойная панель</v>
      </c>
      <c r="C13" s="1071" t="s">
        <v>921</v>
      </c>
      <c r="D13" s="1069"/>
      <c r="E13" s="1069"/>
      <c r="F13" s="1063"/>
      <c r="G13" s="1069"/>
      <c r="H13" s="1069"/>
      <c r="I13" s="1070">
        <f>(0.4/AVERAGE($H$262:$H$269)+1/23+1/8.7)*0.8</f>
        <v>0.75265350209980575</v>
      </c>
      <c r="J13" s="1065" t="e">
        <f>1*(списки!$C$56-'Расчет базового уровня'!$D$147)/(6*8.7)</f>
        <v>#N/A</v>
      </c>
      <c r="K13" s="1066" t="e">
        <f t="shared" si="1"/>
        <v>#N/A</v>
      </c>
      <c r="L13" s="50"/>
      <c r="M13" s="50"/>
      <c r="N13" s="50"/>
      <c r="O13" s="50"/>
      <c r="P13" s="50"/>
      <c r="Q13" s="50"/>
      <c r="R13" s="50"/>
      <c r="S13" s="50"/>
      <c r="T13" s="50"/>
      <c r="U13" s="50"/>
      <c r="V13" s="50"/>
      <c r="W13" s="1067"/>
    </row>
    <row r="14" spans="1:59" s="1068" customFormat="1" ht="17.100000000000001" customHeight="1" x14ac:dyDescent="0.25">
      <c r="A14" s="939" t="s">
        <v>1550</v>
      </c>
      <c r="B14" s="1061" t="str">
        <f t="shared" si="0"/>
        <v>I-447 (4,5 эт)кирпич</v>
      </c>
      <c r="C14" s="909" t="s">
        <v>920</v>
      </c>
      <c r="D14" s="1069"/>
      <c r="E14" s="1069"/>
      <c r="F14" s="1063"/>
      <c r="G14" s="1069"/>
      <c r="H14" s="1069"/>
      <c r="I14" s="1070">
        <f>0.4/H327+1/23+1/8.7</f>
        <v>0.72984936103376885</v>
      </c>
      <c r="J14" s="1065" t="e">
        <f>1*(списки!$C$56-'Расчет базового уровня'!$D$147)/(6*8.7)</f>
        <v>#N/A</v>
      </c>
      <c r="K14" s="1066" t="e">
        <f t="shared" si="1"/>
        <v>#N/A</v>
      </c>
      <c r="L14" s="50"/>
      <c r="M14" s="50"/>
      <c r="N14" s="50"/>
      <c r="O14" s="50"/>
      <c r="P14" s="50"/>
      <c r="Q14" s="50"/>
      <c r="R14" s="50"/>
      <c r="S14" s="50"/>
      <c r="T14" s="50"/>
      <c r="U14" s="50"/>
      <c r="V14" s="50"/>
      <c r="W14" s="1067"/>
    </row>
    <row r="15" spans="1:59" s="1068" customFormat="1" ht="17.100000000000001" customHeight="1" x14ac:dyDescent="0.25">
      <c r="A15" s="939" t="s">
        <v>1385</v>
      </c>
      <c r="B15" s="1061" t="str">
        <f>CONCATENATE(A15,C15)</f>
        <v>I-447С-26 (башня)кирпич</v>
      </c>
      <c r="C15" s="909" t="s">
        <v>920</v>
      </c>
      <c r="D15" s="1069"/>
      <c r="E15" s="1069"/>
      <c r="F15" s="1063"/>
      <c r="G15" s="1069"/>
      <c r="H15" s="1069"/>
      <c r="I15" s="1070">
        <f>0.4/H327+1/23+1/8.7</f>
        <v>0.72984936103376885</v>
      </c>
      <c r="J15" s="1065" t="e">
        <f>1*(списки!$C$56-'Расчет базового уровня'!$D$147)/(6*8.7)</f>
        <v>#N/A</v>
      </c>
      <c r="K15" s="1066" t="e">
        <f>MAX(I15:J15)</f>
        <v>#N/A</v>
      </c>
      <c r="L15" s="50"/>
      <c r="M15" s="50"/>
      <c r="N15" s="50"/>
      <c r="O15" s="50"/>
      <c r="P15" s="50"/>
      <c r="Q15" s="50"/>
      <c r="R15" s="50"/>
      <c r="S15" s="50"/>
      <c r="T15" s="50"/>
      <c r="U15" s="50"/>
      <c r="V15" s="50"/>
      <c r="W15" s="1067"/>
    </row>
    <row r="16" spans="1:59" s="1068" customFormat="1" ht="17.100000000000001" customHeight="1" x14ac:dyDescent="0.25">
      <c r="A16" s="939" t="s">
        <v>1767</v>
      </c>
      <c r="B16" s="1061" t="str">
        <f t="shared" si="0"/>
        <v>I-464А (3,4,5 эт) ж/б 3-х слойная панель с утеплителем</v>
      </c>
      <c r="C16" s="1071" t="s">
        <v>922</v>
      </c>
      <c r="D16" s="1069"/>
      <c r="E16" s="1069">
        <v>0.3</v>
      </c>
      <c r="F16" s="1063">
        <v>0.25</v>
      </c>
      <c r="G16" s="1069">
        <v>0.05</v>
      </c>
      <c r="H16" s="1069"/>
      <c r="I16" s="1070">
        <f>(0.25/$H$349+0.05/$H$125+1/23+1/8.7)*0.8</f>
        <v>0.84977584737043255</v>
      </c>
      <c r="J16" s="1065" t="e">
        <f>1*(списки!$C$56-'Расчет базового уровня'!$D$147)/(6*8.7)</f>
        <v>#N/A</v>
      </c>
      <c r="K16" s="1066" t="e">
        <f t="shared" si="1"/>
        <v>#N/A</v>
      </c>
      <c r="L16" s="50"/>
      <c r="M16" s="50"/>
      <c r="N16" s="50"/>
      <c r="O16" s="50"/>
      <c r="P16" s="50"/>
      <c r="Q16" s="50"/>
      <c r="R16" s="50"/>
      <c r="S16" s="50"/>
      <c r="T16" s="50"/>
      <c r="U16" s="50"/>
      <c r="V16" s="50"/>
      <c r="W16" s="1067"/>
    </row>
    <row r="17" spans="1:23" s="1068" customFormat="1" ht="17.100000000000001" customHeight="1" x14ac:dyDescent="0.25">
      <c r="A17" s="939" t="s">
        <v>1768</v>
      </c>
      <c r="B17" s="1061" t="str">
        <f t="shared" si="0"/>
        <v>I-464А17 (5 эт, 60 кв) ж/б 3-х слойная панель с утеплителем</v>
      </c>
      <c r="C17" s="1071" t="s">
        <v>922</v>
      </c>
      <c r="D17" s="1069"/>
      <c r="E17" s="1069">
        <v>0.3</v>
      </c>
      <c r="F17" s="1063">
        <v>0.25</v>
      </c>
      <c r="G17" s="1069">
        <v>0.05</v>
      </c>
      <c r="H17" s="1069"/>
      <c r="I17" s="1070">
        <f>(0.25/$H$349+0.05/$H$125+1/23+1/8.7)*0.8</f>
        <v>0.84977584737043255</v>
      </c>
      <c r="J17" s="1065" t="e">
        <f>1*(списки!$C$56-'Расчет базового уровня'!$D$147)/(6*8.7)</f>
        <v>#N/A</v>
      </c>
      <c r="K17" s="1066" t="e">
        <f t="shared" si="1"/>
        <v>#N/A</v>
      </c>
      <c r="L17" s="50"/>
      <c r="M17" s="50"/>
      <c r="N17" s="50"/>
      <c r="O17" s="50"/>
      <c r="P17" s="50"/>
      <c r="Q17" s="50"/>
      <c r="R17" s="50"/>
      <c r="S17" s="50"/>
      <c r="T17" s="50"/>
      <c r="U17" s="50"/>
      <c r="V17" s="50"/>
      <c r="W17" s="1067"/>
    </row>
    <row r="18" spans="1:23" s="1068" customFormat="1" ht="17.100000000000001" customHeight="1" x14ac:dyDescent="0.25">
      <c r="A18" s="939" t="s">
        <v>1431</v>
      </c>
      <c r="B18" s="1061" t="str">
        <f>CONCATENATE(A18,C18)</f>
        <v>I-464Д (9эт)-83,-101 ж/б 3-х слойная панель с утеплителем</v>
      </c>
      <c r="C18" s="1071" t="s">
        <v>922</v>
      </c>
      <c r="D18" s="1069"/>
      <c r="E18" s="1069">
        <v>0.3</v>
      </c>
      <c r="F18" s="1063">
        <v>0.25</v>
      </c>
      <c r="G18" s="1069">
        <v>0.05</v>
      </c>
      <c r="H18" s="1069"/>
      <c r="I18" s="1070">
        <f>(0.25/$H$349+0.05/$H$125+1/23+1/8.7)*0.8</f>
        <v>0.84977584737043255</v>
      </c>
      <c r="J18" s="1065" t="e">
        <f>1*(списки!$C$56-'Расчет базового уровня'!$D$147)/(6*8.7)</f>
        <v>#N/A</v>
      </c>
      <c r="K18" s="1066" t="e">
        <f>MAX(I18:J18)</f>
        <v>#N/A</v>
      </c>
      <c r="L18" s="50"/>
      <c r="M18" s="50"/>
      <c r="N18" s="50"/>
      <c r="O18" s="50"/>
      <c r="P18" s="50"/>
      <c r="Q18" s="50"/>
      <c r="R18" s="50"/>
      <c r="S18" s="50"/>
      <c r="T18" s="50"/>
      <c r="U18" s="50"/>
      <c r="V18" s="50"/>
      <c r="W18" s="1067"/>
    </row>
    <row r="19" spans="1:23" s="1068" customFormat="1" ht="17.100000000000001" customHeight="1" x14ac:dyDescent="0.25">
      <c r="A19" s="939" t="s">
        <v>1377</v>
      </c>
      <c r="B19" s="1061" t="str">
        <f t="shared" si="0"/>
        <v>I-510шлакобетон (блоки)</v>
      </c>
      <c r="C19" s="909" t="s">
        <v>1150</v>
      </c>
      <c r="D19" s="1069"/>
      <c r="E19" s="1069"/>
      <c r="F19" s="1063"/>
      <c r="G19" s="1069"/>
      <c r="H19" s="1069"/>
      <c r="I19" s="1070">
        <f>0.4/AVERAGE(H282:H286)+1/23+1/8.7</f>
        <v>0.89371490725225611</v>
      </c>
      <c r="J19" s="1065" t="e">
        <f>1*(списки!$C$56-'Расчет базового уровня'!$D$147)/(6*8.7)</f>
        <v>#N/A</v>
      </c>
      <c r="K19" s="1066" t="e">
        <f t="shared" si="1"/>
        <v>#N/A</v>
      </c>
      <c r="L19" s="50"/>
      <c r="M19" s="50"/>
      <c r="N19" s="50"/>
      <c r="O19" s="50"/>
      <c r="P19" s="50"/>
      <c r="Q19" s="50"/>
      <c r="R19" s="50"/>
      <c r="S19" s="50"/>
      <c r="T19" s="50"/>
      <c r="U19" s="50"/>
      <c r="V19" s="50"/>
      <c r="W19" s="1067"/>
    </row>
    <row r="20" spans="1:23" s="1068" customFormat="1" ht="17.100000000000001" customHeight="1" x14ac:dyDescent="0.25">
      <c r="A20" s="939" t="s">
        <v>1378</v>
      </c>
      <c r="B20" s="1061" t="str">
        <f t="shared" si="0"/>
        <v>I-511кирпич</v>
      </c>
      <c r="C20" s="909" t="s">
        <v>920</v>
      </c>
      <c r="D20" s="1069"/>
      <c r="E20" s="1069">
        <v>0.4</v>
      </c>
      <c r="F20" s="1063"/>
      <c r="G20" s="1069"/>
      <c r="H20" s="1069"/>
      <c r="I20" s="1070">
        <f>0.4/H327+1/23+1/8.7</f>
        <v>0.72984936103376885</v>
      </c>
      <c r="J20" s="1065" t="e">
        <f>1*(списки!$C$56-'Расчет базового уровня'!$D$147)/(6*8.7)</f>
        <v>#N/A</v>
      </c>
      <c r="K20" s="1066" t="e">
        <f t="shared" si="1"/>
        <v>#N/A</v>
      </c>
      <c r="L20" s="50"/>
      <c r="M20" s="50"/>
      <c r="N20" s="50"/>
      <c r="O20" s="50"/>
      <c r="P20" s="50"/>
      <c r="Q20" s="50"/>
      <c r="R20" s="50"/>
      <c r="S20" s="50"/>
      <c r="T20" s="50"/>
      <c r="U20" s="50"/>
      <c r="V20" s="50"/>
      <c r="W20" s="1067"/>
    </row>
    <row r="21" spans="1:23" s="1068" customFormat="1" ht="17.100000000000001" customHeight="1" x14ac:dyDescent="0.25">
      <c r="A21" s="939" t="s">
        <v>1379</v>
      </c>
      <c r="B21" s="1061" t="str">
        <f t="shared" si="0"/>
        <v>I-515 (5 эт)керамзитобетонная 1-слойная панель</v>
      </c>
      <c r="C21" s="1071" t="s">
        <v>921</v>
      </c>
      <c r="D21" s="1069"/>
      <c r="E21" s="1069">
        <v>0.35</v>
      </c>
      <c r="F21" s="1063"/>
      <c r="G21" s="1069"/>
      <c r="H21" s="1069"/>
      <c r="I21" s="1070">
        <f>0.4/AVERAGE($H$262:$H$269)+1/23+1/8.7</f>
        <v>0.94081687762475719</v>
      </c>
      <c r="J21" s="1065" t="e">
        <f>1*(списки!$C$56-'Расчет базового уровня'!$D$147)/(6*8.7)</f>
        <v>#N/A</v>
      </c>
      <c r="K21" s="1066" t="e">
        <f t="shared" si="1"/>
        <v>#N/A</v>
      </c>
      <c r="L21" s="50"/>
      <c r="M21" s="50"/>
      <c r="N21" s="50"/>
      <c r="O21" s="50"/>
      <c r="P21" s="50"/>
      <c r="Q21" s="50"/>
      <c r="R21" s="50"/>
      <c r="S21" s="50"/>
      <c r="T21" s="50"/>
      <c r="U21" s="50"/>
      <c r="V21" s="50"/>
      <c r="W21" s="1067"/>
    </row>
    <row r="22" spans="1:23" s="1068" customFormat="1" ht="17.100000000000001" customHeight="1" x14ac:dyDescent="0.25">
      <c r="A22" s="939" t="s">
        <v>1380</v>
      </c>
      <c r="B22" s="1061" t="str">
        <f t="shared" si="0"/>
        <v>I-515/9 (9 эт)шлакокерамзитобетонная 1-слойная панель</v>
      </c>
      <c r="C22" s="1071" t="s">
        <v>1344</v>
      </c>
      <c r="D22" s="1069"/>
      <c r="E22" s="1069">
        <v>0.4</v>
      </c>
      <c r="F22" s="1063"/>
      <c r="G22" s="1069"/>
      <c r="H22" s="1069"/>
      <c r="I22" s="1070">
        <f>0.4/AVERAGE($H$262:$H$269)+1/23+1/8.7</f>
        <v>0.94081687762475719</v>
      </c>
      <c r="J22" s="1065" t="e">
        <f>1*(списки!$C$56-'Расчет базового уровня'!$D$147)/(6*8.7)</f>
        <v>#N/A</v>
      </c>
      <c r="K22" s="1066" t="e">
        <f>MAX(I22:J22)</f>
        <v>#N/A</v>
      </c>
      <c r="L22" s="50"/>
      <c r="M22" s="50"/>
      <c r="N22" s="50"/>
      <c r="O22" s="50"/>
      <c r="P22" s="50"/>
      <c r="Q22" s="50"/>
      <c r="R22" s="50"/>
      <c r="S22" s="50"/>
      <c r="T22" s="50"/>
      <c r="U22" s="50"/>
      <c r="V22" s="50"/>
      <c r="W22" s="1067"/>
    </row>
    <row r="23" spans="1:23" s="1068" customFormat="1" ht="17.100000000000001" customHeight="1" x14ac:dyDescent="0.25">
      <c r="A23" s="939" t="s">
        <v>609</v>
      </c>
      <c r="B23" s="1061" t="str">
        <f t="shared" si="0"/>
        <v>И-209Акерамзитобетон (блоки)</v>
      </c>
      <c r="C23" s="909" t="s">
        <v>1149</v>
      </c>
      <c r="D23" s="1069"/>
      <c r="E23" s="1069"/>
      <c r="F23" s="1063"/>
      <c r="G23" s="1069"/>
      <c r="H23" s="1069"/>
      <c r="I23" s="1070">
        <f>0.4/AVERAGE(H262:H269)+1/23+1/8.7</f>
        <v>0.94081687762475719</v>
      </c>
      <c r="J23" s="1065" t="e">
        <f>1*(списки!$C$56-'Расчет базового уровня'!$D$147)/(6*8.7)</f>
        <v>#N/A</v>
      </c>
      <c r="K23" s="1066" t="e">
        <f t="shared" si="1"/>
        <v>#N/A</v>
      </c>
      <c r="L23" s="50"/>
      <c r="M23" s="50"/>
      <c r="N23" s="50"/>
      <c r="O23" s="50"/>
      <c r="P23" s="50"/>
      <c r="Q23" s="50"/>
      <c r="R23" s="50"/>
      <c r="S23" s="50"/>
      <c r="T23" s="50"/>
      <c r="U23" s="50"/>
      <c r="V23" s="50"/>
      <c r="W23" s="1067"/>
    </row>
    <row r="24" spans="1:23" s="1068" customFormat="1" ht="17.100000000000001" customHeight="1" x14ac:dyDescent="0.25">
      <c r="A24" s="939" t="s">
        <v>1383</v>
      </c>
      <c r="B24" s="1061" t="str">
        <f t="shared" si="0"/>
        <v>II-29кирпич</v>
      </c>
      <c r="C24" s="1071" t="s">
        <v>920</v>
      </c>
      <c r="D24" s="1069"/>
      <c r="E24" s="1069"/>
      <c r="F24" s="1063"/>
      <c r="G24" s="1069"/>
      <c r="H24" s="1069"/>
      <c r="I24" s="1070">
        <f>AVERAGE(0.51)/H327+1/23+1/8.7</f>
        <v>0.88699221817662599</v>
      </c>
      <c r="J24" s="1065" t="e">
        <f>1*(списки!$C$56-'Расчет базового уровня'!$D$147)/(6*8.7)</f>
        <v>#N/A</v>
      </c>
      <c r="K24" s="1066" t="e">
        <f t="shared" si="1"/>
        <v>#N/A</v>
      </c>
      <c r="L24" s="50"/>
      <c r="M24" s="50"/>
      <c r="N24" s="50"/>
      <c r="O24" s="50"/>
      <c r="P24" s="50"/>
      <c r="Q24" s="50"/>
      <c r="R24" s="50"/>
      <c r="S24" s="50"/>
      <c r="T24" s="50"/>
      <c r="U24" s="50"/>
      <c r="V24" s="50"/>
      <c r="W24" s="1067"/>
    </row>
    <row r="25" spans="1:23" s="1068" customFormat="1" ht="17.100000000000001" customHeight="1" x14ac:dyDescent="0.25">
      <c r="A25" s="939" t="s">
        <v>1353</v>
      </c>
      <c r="B25" s="1061" t="str">
        <f t="shared" si="0"/>
        <v>П-3 (только прямая секция)керамзитобетонная 1-слойная панель</v>
      </c>
      <c r="C25" s="1071" t="s">
        <v>921</v>
      </c>
      <c r="D25" s="1069"/>
      <c r="E25" s="1069">
        <v>0.32</v>
      </c>
      <c r="F25" s="1063"/>
      <c r="G25" s="1069"/>
      <c r="H25" s="1069"/>
      <c r="I25" s="1070">
        <f>E25/H266+1/8.7+1/23</f>
        <v>0.93890859448324615</v>
      </c>
      <c r="J25" s="1065" t="e">
        <f>1*(списки!$C$56-'Расчет базового уровня'!$D$147)/(6*8.7)</f>
        <v>#N/A</v>
      </c>
      <c r="K25" s="1066" t="e">
        <f t="shared" si="1"/>
        <v>#N/A</v>
      </c>
      <c r="L25" s="50"/>
      <c r="M25" s="50"/>
      <c r="N25" s="50"/>
      <c r="O25" s="50"/>
      <c r="P25" s="50"/>
      <c r="Q25" s="50"/>
      <c r="R25" s="50"/>
      <c r="S25" s="50"/>
      <c r="T25" s="50"/>
      <c r="U25" s="50"/>
      <c r="V25" s="50"/>
      <c r="W25" s="1067"/>
    </row>
    <row r="26" spans="1:23" s="1068" customFormat="1" ht="17.100000000000001" customHeight="1" x14ac:dyDescent="0.25">
      <c r="A26" s="1072" t="s">
        <v>1430</v>
      </c>
      <c r="B26" s="1061" t="str">
        <f t="shared" si="0"/>
        <v>II-68 (-01, -02) 1 или 2 секциикерамзитобетон (блоки)</v>
      </c>
      <c r="C26" s="909" t="s">
        <v>1149</v>
      </c>
      <c r="D26" s="1069"/>
      <c r="E26" s="1069"/>
      <c r="F26" s="1063"/>
      <c r="G26" s="1069"/>
      <c r="H26" s="1069"/>
      <c r="I26" s="1070">
        <f>0.4/AVERAGE(H262:H269)+1/23+1/8.7</f>
        <v>0.94081687762475719</v>
      </c>
      <c r="J26" s="1065" t="e">
        <f>1*(списки!$C$56-'Расчет базового уровня'!$D$147)/(6*8.7)</f>
        <v>#N/A</v>
      </c>
      <c r="K26" s="1066" t="e">
        <f t="shared" si="1"/>
        <v>#N/A</v>
      </c>
      <c r="L26" s="50"/>
      <c r="M26" s="50"/>
      <c r="N26" s="50"/>
      <c r="O26" s="50"/>
      <c r="P26" s="50"/>
      <c r="Q26" s="50"/>
      <c r="R26" s="50"/>
      <c r="S26" s="50"/>
      <c r="T26" s="50"/>
      <c r="U26" s="50"/>
      <c r="V26" s="50"/>
      <c r="W26" s="1067"/>
    </row>
    <row r="27" spans="1:23" s="1068" customFormat="1" ht="17.100000000000001" customHeight="1" x14ac:dyDescent="0.25">
      <c r="A27" s="1072" t="s">
        <v>445</v>
      </c>
      <c r="B27" s="1061" t="str">
        <f t="shared" si="0"/>
        <v>К-7железобетонная панель</v>
      </c>
      <c r="C27" s="909" t="s">
        <v>1386</v>
      </c>
      <c r="D27" s="1069"/>
      <c r="E27" s="1069"/>
      <c r="F27" s="1063"/>
      <c r="G27" s="1069"/>
      <c r="H27" s="1069"/>
      <c r="I27" s="1070">
        <f>I33</f>
        <v>0.84977584737043255</v>
      </c>
      <c r="J27" s="1065" t="e">
        <f>1*(списки!$C$56-'Расчет базового уровня'!$D$147)/(6*8.7)</f>
        <v>#N/A</v>
      </c>
      <c r="K27" s="1066" t="e">
        <f>MAX(I27:J27)</f>
        <v>#N/A</v>
      </c>
      <c r="L27" s="50"/>
      <c r="M27" s="50"/>
      <c r="N27" s="50"/>
      <c r="O27" s="50"/>
      <c r="P27" s="50"/>
      <c r="Q27" s="50"/>
      <c r="R27" s="50"/>
      <c r="S27" s="50"/>
      <c r="T27" s="50"/>
      <c r="U27" s="50"/>
      <c r="V27" s="50"/>
      <c r="W27" s="1067"/>
    </row>
    <row r="28" spans="1:23" s="1068" customFormat="1" ht="17.100000000000001" customHeight="1" x14ac:dyDescent="0.25">
      <c r="A28" s="939" t="s">
        <v>1152</v>
      </c>
      <c r="B28" s="1061" t="str">
        <f t="shared" si="0"/>
        <v>нет в спискекерамзитобетон (блоки)</v>
      </c>
      <c r="C28" s="909" t="s">
        <v>1149</v>
      </c>
      <c r="D28" s="1069"/>
      <c r="E28" s="1069"/>
      <c r="F28" s="1063"/>
      <c r="G28" s="1069"/>
      <c r="H28" s="1069"/>
      <c r="I28" s="1070">
        <f>I26</f>
        <v>0.94081687762475719</v>
      </c>
      <c r="J28" s="1065" t="e">
        <f>1*(списки!$C$56-'Расчет базового уровня'!$D$147)/(6*8.7)</f>
        <v>#N/A</v>
      </c>
      <c r="K28" s="1066" t="e">
        <f t="shared" si="1"/>
        <v>#N/A</v>
      </c>
      <c r="L28" s="50"/>
      <c r="M28" s="50"/>
      <c r="N28" s="50"/>
      <c r="O28" s="50"/>
      <c r="P28" s="50"/>
      <c r="Q28" s="50"/>
      <c r="R28" s="50"/>
      <c r="S28" s="50"/>
      <c r="T28" s="50"/>
      <c r="U28" s="50"/>
      <c r="V28" s="50"/>
      <c r="W28" s="1067"/>
    </row>
    <row r="29" spans="1:23" s="1068" customFormat="1" ht="17.100000000000001" customHeight="1" x14ac:dyDescent="0.25">
      <c r="A29" s="939" t="s">
        <v>1152</v>
      </c>
      <c r="B29" s="1061" t="str">
        <f t="shared" si="0"/>
        <v>нет в списке ж/б 3-х слойная панель с утеплителем</v>
      </c>
      <c r="C29" s="1071" t="s">
        <v>922</v>
      </c>
      <c r="D29" s="1069"/>
      <c r="E29" s="1069"/>
      <c r="F29" s="1063"/>
      <c r="G29" s="1069"/>
      <c r="H29" s="1069"/>
      <c r="I29" s="1070">
        <f>0.25/H349+0.05/H125+1/23+1/8.7</f>
        <v>1.0622198092130406</v>
      </c>
      <c r="J29" s="1065" t="e">
        <f>1*(списки!$C$56-'Расчет базового уровня'!$D$147)/(6*8.7)</f>
        <v>#N/A</v>
      </c>
      <c r="K29" s="1066" t="e">
        <f t="shared" si="1"/>
        <v>#N/A</v>
      </c>
      <c r="L29" s="50"/>
      <c r="M29" s="50"/>
      <c r="N29" s="50"/>
      <c r="O29" s="50"/>
      <c r="P29" s="50"/>
      <c r="Q29" s="50"/>
      <c r="R29" s="50"/>
      <c r="S29" s="50"/>
      <c r="T29" s="50"/>
      <c r="U29" s="50"/>
      <c r="V29" s="50"/>
      <c r="W29" s="1067"/>
    </row>
    <row r="30" spans="1:23" s="1068" customFormat="1" ht="17.100000000000001" customHeight="1" x14ac:dyDescent="0.25">
      <c r="A30" s="939" t="s">
        <v>1152</v>
      </c>
      <c r="B30" s="1061" t="str">
        <f t="shared" si="0"/>
        <v>нет в спискекирпич</v>
      </c>
      <c r="C30" s="1071" t="s">
        <v>920</v>
      </c>
      <c r="D30" s="1069"/>
      <c r="E30" s="1069"/>
      <c r="F30" s="1063"/>
      <c r="G30" s="1069"/>
      <c r="H30" s="1069"/>
      <c r="I30" s="1070">
        <f>AVERAGE(0.51,0.64)/H327+1/23+1/8.7</f>
        <v>0.97984936103376874</v>
      </c>
      <c r="J30" s="1065" t="e">
        <f>1*(списки!$C$56-'Расчет базового уровня'!$D$147)/(6*8.7)</f>
        <v>#N/A</v>
      </c>
      <c r="K30" s="1066" t="e">
        <f t="shared" si="1"/>
        <v>#N/A</v>
      </c>
      <c r="L30" s="50"/>
      <c r="M30" s="50"/>
      <c r="N30" s="50"/>
      <c r="O30" s="50"/>
      <c r="P30" s="50"/>
      <c r="Q30" s="50"/>
      <c r="R30" s="50"/>
      <c r="S30" s="50"/>
      <c r="T30" s="50"/>
      <c r="U30" s="50"/>
      <c r="V30" s="50"/>
      <c r="W30" s="1067"/>
    </row>
    <row r="31" spans="1:23" s="1068" customFormat="1" ht="17.100000000000001" customHeight="1" x14ac:dyDescent="0.25">
      <c r="A31" s="939" t="s">
        <v>1152</v>
      </c>
      <c r="B31" s="1061" t="str">
        <f t="shared" si="0"/>
        <v>нет в спискешлакобетон (блоки)</v>
      </c>
      <c r="C31" s="909" t="s">
        <v>1150</v>
      </c>
      <c r="D31" s="1069"/>
      <c r="E31" s="1069"/>
      <c r="F31" s="1063"/>
      <c r="G31" s="1069"/>
      <c r="H31" s="1069"/>
      <c r="I31" s="1070">
        <f>I19</f>
        <v>0.89371490725225611</v>
      </c>
      <c r="J31" s="1065" t="e">
        <f>1*(списки!$C$56-'Расчет базового уровня'!$D$147)/(6*8.7)</f>
        <v>#N/A</v>
      </c>
      <c r="K31" s="1066" t="e">
        <f t="shared" si="1"/>
        <v>#N/A</v>
      </c>
      <c r="L31" s="50"/>
      <c r="M31" s="50"/>
      <c r="N31" s="50"/>
      <c r="O31" s="50"/>
      <c r="P31" s="50"/>
      <c r="Q31" s="50"/>
      <c r="R31" s="50"/>
      <c r="S31" s="50"/>
      <c r="T31" s="50"/>
      <c r="U31" s="50"/>
      <c r="V31" s="50"/>
      <c r="W31" s="1067"/>
    </row>
    <row r="32" spans="1:23" s="1068" customFormat="1" ht="17.100000000000001" customHeight="1" x14ac:dyDescent="0.25">
      <c r="A32" s="939" t="s">
        <v>1152</v>
      </c>
      <c r="B32" s="1061" t="str">
        <f t="shared" si="0"/>
        <v>нет в спискемонолит</v>
      </c>
      <c r="C32" s="909" t="s">
        <v>1449</v>
      </c>
      <c r="D32" s="1069"/>
      <c r="E32" s="1069"/>
      <c r="F32" s="1063"/>
      <c r="G32" s="1069"/>
      <c r="H32" s="1069"/>
      <c r="I32" s="1070" t="e">
        <f>J32</f>
        <v>#N/A</v>
      </c>
      <c r="J32" s="1065" t="e">
        <f>1*(списки!$C$56-'Расчет базового уровня'!$D$147)/(6*8.7)</f>
        <v>#N/A</v>
      </c>
      <c r="K32" s="1066" t="e">
        <f>MAX(I32:J32)</f>
        <v>#N/A</v>
      </c>
      <c r="L32" s="50"/>
      <c r="M32" s="50"/>
      <c r="N32" s="50"/>
      <c r="O32" s="50"/>
      <c r="P32" s="50"/>
      <c r="Q32" s="50"/>
      <c r="R32" s="50"/>
      <c r="S32" s="50"/>
      <c r="T32" s="50"/>
      <c r="U32" s="50"/>
      <c r="V32" s="50"/>
      <c r="W32" s="1067"/>
    </row>
    <row r="33" spans="1:23" s="1068" customFormat="1" ht="17.100000000000001" customHeight="1" x14ac:dyDescent="0.25">
      <c r="A33" s="939" t="s">
        <v>1152</v>
      </c>
      <c r="B33" s="1061" t="str">
        <f t="shared" si="0"/>
        <v>нет в спискежелезобетонная панель</v>
      </c>
      <c r="C33" s="909" t="s">
        <v>1386</v>
      </c>
      <c r="D33" s="1069"/>
      <c r="E33" s="1069"/>
      <c r="F33" s="1063"/>
      <c r="G33" s="1069"/>
      <c r="H33" s="1069"/>
      <c r="I33" s="1070">
        <f>I12</f>
        <v>0.84977584737043255</v>
      </c>
      <c r="J33" s="1065" t="e">
        <f>1*(списки!$C$56-'Расчет базового уровня'!$D$147)/(6*8.7)</f>
        <v>#N/A</v>
      </c>
      <c r="K33" s="1066" t="e">
        <f t="shared" si="1"/>
        <v>#N/A</v>
      </c>
      <c r="L33" s="50"/>
      <c r="M33" s="50"/>
      <c r="N33" s="50"/>
      <c r="O33" s="50"/>
      <c r="P33" s="50"/>
      <c r="Q33" s="50"/>
      <c r="R33" s="50"/>
      <c r="S33" s="50"/>
      <c r="T33" s="50"/>
      <c r="U33" s="50"/>
      <c r="V33" s="50"/>
      <c r="W33" s="1067"/>
    </row>
    <row r="34" spans="1:23" s="1068" customFormat="1" ht="17.100000000000001" customHeight="1" x14ac:dyDescent="0.25">
      <c r="A34" s="1073"/>
      <c r="B34" s="1074"/>
      <c r="C34" s="1075"/>
      <c r="D34" s="1069"/>
      <c r="E34" s="1069"/>
      <c r="F34" s="1063"/>
      <c r="G34" s="1069"/>
      <c r="H34" s="1069"/>
      <c r="I34" s="1076"/>
      <c r="J34" s="1065"/>
      <c r="K34" s="1077"/>
      <c r="L34" s="50"/>
      <c r="M34" s="50"/>
      <c r="N34" s="50"/>
      <c r="O34" s="50"/>
      <c r="P34" s="50"/>
      <c r="Q34" s="50"/>
      <c r="R34" s="50"/>
      <c r="S34" s="50"/>
      <c r="T34" s="50"/>
      <c r="U34" s="50"/>
      <c r="V34" s="50"/>
      <c r="W34" s="1067"/>
    </row>
    <row r="35" spans="1:23" s="1068" customFormat="1" ht="17.100000000000001" customHeight="1" x14ac:dyDescent="0.25">
      <c r="A35" s="1073"/>
      <c r="B35" s="1074"/>
      <c r="C35" s="1075"/>
      <c r="D35" s="1069"/>
      <c r="E35" s="1069"/>
      <c r="F35" s="1063"/>
      <c r="G35" s="1069"/>
      <c r="H35" s="1069"/>
      <c r="I35" s="1076"/>
      <c r="J35" s="1065"/>
      <c r="K35" s="1077"/>
      <c r="L35" s="50"/>
      <c r="M35" s="50"/>
      <c r="N35" s="50"/>
      <c r="O35" s="50"/>
      <c r="P35" s="50"/>
      <c r="Q35" s="50"/>
      <c r="R35" s="50"/>
      <c r="S35" s="50"/>
      <c r="T35" s="50"/>
      <c r="U35" s="50"/>
      <c r="V35" s="50"/>
      <c r="W35" s="1067"/>
    </row>
    <row r="36" spans="1:23" s="1068" customFormat="1" ht="17.100000000000001" customHeight="1" x14ac:dyDescent="0.25">
      <c r="A36" s="1073"/>
      <c r="B36" s="1074"/>
      <c r="C36" s="1075"/>
      <c r="D36" s="1069"/>
      <c r="E36" s="1069"/>
      <c r="F36" s="1063"/>
      <c r="G36" s="1069"/>
      <c r="H36" s="1069"/>
      <c r="I36" s="1076"/>
      <c r="J36" s="1065"/>
      <c r="K36" s="1077"/>
      <c r="L36" s="50"/>
      <c r="M36" s="50"/>
      <c r="N36" s="50"/>
      <c r="O36" s="50"/>
      <c r="P36" s="50"/>
      <c r="Q36" s="50"/>
      <c r="R36" s="50"/>
      <c r="S36" s="50"/>
      <c r="T36" s="50"/>
      <c r="U36" s="50"/>
      <c r="V36" s="50"/>
      <c r="W36" s="1067"/>
    </row>
    <row r="37" spans="1:23" s="1068" customFormat="1" ht="17.100000000000001" customHeight="1" x14ac:dyDescent="0.25">
      <c r="A37" s="1073"/>
      <c r="B37" s="1074"/>
      <c r="C37" s="1075"/>
      <c r="D37" s="1069"/>
      <c r="E37" s="1069"/>
      <c r="F37" s="1063"/>
      <c r="G37" s="1069"/>
      <c r="H37" s="1069"/>
      <c r="I37" s="1076"/>
      <c r="J37" s="1065"/>
      <c r="K37" s="1077"/>
      <c r="L37" s="50"/>
      <c r="M37" s="50"/>
      <c r="N37" s="50"/>
      <c r="O37" s="50"/>
      <c r="P37" s="50"/>
      <c r="Q37" s="50"/>
      <c r="R37" s="50"/>
      <c r="S37" s="50"/>
      <c r="T37" s="50"/>
      <c r="U37" s="50"/>
      <c r="V37" s="50"/>
      <c r="W37" s="1067"/>
    </row>
    <row r="38" spans="1:23" s="1068" customFormat="1" ht="17.100000000000001" customHeight="1" x14ac:dyDescent="0.25">
      <c r="A38" s="1073"/>
      <c r="B38" s="1074"/>
      <c r="C38" s="1075"/>
      <c r="D38" s="1069"/>
      <c r="E38" s="1069"/>
      <c r="F38" s="1063"/>
      <c r="G38" s="1069"/>
      <c r="H38" s="1069"/>
      <c r="I38" s="1076"/>
      <c r="J38" s="1065"/>
      <c r="K38" s="1077"/>
      <c r="L38" s="50"/>
      <c r="M38" s="50"/>
      <c r="N38" s="50"/>
      <c r="O38" s="50"/>
      <c r="P38" s="50"/>
      <c r="Q38" s="50"/>
      <c r="R38" s="50"/>
      <c r="S38" s="50"/>
      <c r="T38" s="50"/>
      <c r="U38" s="50"/>
      <c r="V38" s="50"/>
      <c r="W38" s="1067"/>
    </row>
    <row r="39" spans="1:23" s="1068" customFormat="1" ht="17.100000000000001" customHeight="1" thickBot="1" x14ac:dyDescent="0.3">
      <c r="A39" s="1078"/>
      <c r="B39" s="1078"/>
      <c r="C39" s="1079"/>
      <c r="D39" s="1080"/>
      <c r="E39" s="1080"/>
      <c r="F39" s="1063"/>
      <c r="G39" s="1080"/>
      <c r="H39" s="1080"/>
      <c r="I39" s="1081"/>
      <c r="J39" s="1065"/>
      <c r="K39" s="1082"/>
      <c r="L39" s="50"/>
      <c r="M39" s="50"/>
      <c r="N39" s="50"/>
      <c r="O39" s="50"/>
      <c r="P39" s="50"/>
      <c r="Q39" s="50"/>
      <c r="R39" s="50"/>
      <c r="S39" s="50"/>
      <c r="T39" s="50"/>
      <c r="U39" s="50"/>
      <c r="V39" s="50"/>
      <c r="W39" s="1067"/>
    </row>
    <row r="40" spans="1:23" x14ac:dyDescent="0.25">
      <c r="B40" s="51">
        <v>1</v>
      </c>
      <c r="C40" s="51">
        <v>2</v>
      </c>
      <c r="D40" s="51">
        <v>3</v>
      </c>
      <c r="E40" s="51">
        <v>4</v>
      </c>
      <c r="F40" s="51">
        <v>5</v>
      </c>
      <c r="G40" s="51">
        <v>6</v>
      </c>
      <c r="H40" s="51">
        <v>7</v>
      </c>
      <c r="I40" s="51">
        <v>8</v>
      </c>
      <c r="J40" s="51">
        <v>9</v>
      </c>
      <c r="L40" s="50"/>
      <c r="M40" s="50"/>
      <c r="N40" s="50"/>
      <c r="O40" s="50"/>
      <c r="P40" s="50"/>
      <c r="Q40" s="50"/>
      <c r="R40" s="50"/>
      <c r="S40" s="50"/>
      <c r="T40" s="50"/>
      <c r="U40" s="50"/>
      <c r="V40" s="50"/>
    </row>
    <row r="41" spans="1:23" x14ac:dyDescent="0.25">
      <c r="A41" s="50"/>
      <c r="B41" s="50"/>
      <c r="C41" s="50"/>
      <c r="D41" s="50"/>
      <c r="E41" s="50"/>
      <c r="F41" s="50"/>
      <c r="G41" s="50"/>
      <c r="H41" s="50"/>
      <c r="I41" s="50"/>
      <c r="J41" s="50"/>
      <c r="K41" s="50"/>
      <c r="L41" s="50"/>
      <c r="M41" s="50"/>
      <c r="N41" s="50"/>
      <c r="O41" s="50"/>
      <c r="P41" s="50"/>
      <c r="Q41" s="50"/>
      <c r="R41" s="50"/>
      <c r="S41" s="50"/>
      <c r="T41" s="50"/>
      <c r="U41" s="50"/>
      <c r="V41" s="50"/>
    </row>
    <row r="42" spans="1:23" x14ac:dyDescent="0.25">
      <c r="A42" s="50"/>
      <c r="B42" s="50"/>
      <c r="C42" s="50"/>
      <c r="D42" s="50"/>
      <c r="E42" s="50"/>
      <c r="F42" s="50"/>
      <c r="G42" s="50"/>
      <c r="H42" s="50"/>
      <c r="I42" s="50"/>
      <c r="J42" s="50"/>
      <c r="K42" s="50"/>
      <c r="L42" s="50"/>
      <c r="M42" s="50"/>
      <c r="N42" s="50"/>
      <c r="O42" s="50"/>
      <c r="P42" s="50"/>
      <c r="Q42" s="50"/>
      <c r="R42" s="50"/>
      <c r="S42" s="50"/>
      <c r="T42" s="50"/>
      <c r="U42" s="50"/>
      <c r="V42" s="50"/>
    </row>
    <row r="43" spans="1:23" x14ac:dyDescent="0.25">
      <c r="A43" s="71"/>
      <c r="B43" s="71" t="s">
        <v>1444</v>
      </c>
      <c r="C43" s="1083"/>
      <c r="L43" s="50"/>
      <c r="M43" s="50"/>
      <c r="N43" s="50"/>
      <c r="O43" s="50"/>
      <c r="P43" s="50"/>
      <c r="Q43" s="50"/>
      <c r="R43" s="50"/>
      <c r="S43" s="50"/>
      <c r="T43" s="50"/>
      <c r="U43" s="50"/>
      <c r="V43" s="50"/>
    </row>
    <row r="44" spans="1:23" ht="18" customHeight="1" x14ac:dyDescent="0.25">
      <c r="A44" s="71" t="s">
        <v>514</v>
      </c>
      <c r="B44" s="1084" t="e">
        <f>1*(списки!$C$56-'Расчет базового уровня'!$D$147)/(6*8.7)</f>
        <v>#N/A</v>
      </c>
    </row>
    <row r="45" spans="1:23" x14ac:dyDescent="0.25">
      <c r="A45" s="71" t="s">
        <v>859</v>
      </c>
      <c r="B45" s="1084" t="e">
        <f>0.6*B44</f>
        <v>#N/A</v>
      </c>
    </row>
    <row r="46" spans="1:23" ht="15" customHeight="1" x14ac:dyDescent="0.3">
      <c r="A46" s="71" t="s">
        <v>858</v>
      </c>
      <c r="B46" s="1084" t="e">
        <f>IF(C2&gt;25,IF(C2&gt;44, IF(C2&gt;49,0.52,0.38),0.34), 0.17)</f>
        <v>#N/A</v>
      </c>
      <c r="I46" s="1085"/>
    </row>
    <row r="47" spans="1:23" x14ac:dyDescent="0.25">
      <c r="A47" s="249" t="s">
        <v>1294</v>
      </c>
      <c r="B47" s="1086" t="e">
        <f>1*(списки!$C$56-'Расчет базового уровня'!$D$147)/(4.5*8.7)</f>
        <v>#N/A</v>
      </c>
    </row>
    <row r="48" spans="1:23" x14ac:dyDescent="0.25">
      <c r="A48" s="249" t="s">
        <v>1298</v>
      </c>
      <c r="B48" s="1086" t="e">
        <f>1*(списки!$C$56-'Расчет базового уровня'!$D$147)/(6*8.7)</f>
        <v>#N/A</v>
      </c>
    </row>
    <row r="49" spans="1:3" x14ac:dyDescent="0.25">
      <c r="A49" s="249" t="s">
        <v>1299</v>
      </c>
      <c r="B49" s="1086" t="e">
        <f>1*(списки!$C$56-'Расчет базового уровня'!$D$147)/(3*8.7)</f>
        <v>#N/A</v>
      </c>
    </row>
    <row r="50" spans="1:3" ht="17.25" customHeight="1" x14ac:dyDescent="0.25">
      <c r="A50" s="249" t="s">
        <v>1283</v>
      </c>
      <c r="B50" s="1086" t="e">
        <f>0.4*(списки!$C$56-'Расчет базового уровня'!$D$147)/(4*8.7)</f>
        <v>#N/A</v>
      </c>
    </row>
    <row r="51" spans="1:3" x14ac:dyDescent="0.25">
      <c r="A51" s="249" t="s">
        <v>1279</v>
      </c>
      <c r="B51" s="1086" t="e">
        <f>B44</f>
        <v>#N/A</v>
      </c>
    </row>
    <row r="52" spans="1:3" x14ac:dyDescent="0.25">
      <c r="A52" s="1087" t="s">
        <v>931</v>
      </c>
    </row>
    <row r="53" spans="1:3" ht="43.5" x14ac:dyDescent="0.25">
      <c r="A53" s="1088" t="s">
        <v>932</v>
      </c>
      <c r="B53" s="1089" t="s">
        <v>933</v>
      </c>
      <c r="C53" s="1090"/>
    </row>
    <row r="54" spans="1:3" x14ac:dyDescent="0.25">
      <c r="A54" s="1091"/>
      <c r="B54" s="1092" t="s">
        <v>965</v>
      </c>
      <c r="C54" s="1092" t="s">
        <v>926</v>
      </c>
    </row>
    <row r="55" spans="1:3" ht="22.5" x14ac:dyDescent="0.25">
      <c r="A55" s="1093" t="s">
        <v>934</v>
      </c>
      <c r="B55" s="1092">
        <v>0.4</v>
      </c>
      <c r="C55" s="1092"/>
    </row>
    <row r="56" spans="1:3" ht="22.5" x14ac:dyDescent="0.25">
      <c r="A56" s="1093" t="s">
        <v>935</v>
      </c>
      <c r="B56" s="1092">
        <v>0.44</v>
      </c>
      <c r="C56" s="1094">
        <v>0.34</v>
      </c>
    </row>
    <row r="57" spans="1:3" ht="22.5" x14ac:dyDescent="0.25">
      <c r="A57" s="1095" t="s">
        <v>936</v>
      </c>
      <c r="B57" s="1096"/>
      <c r="C57" s="1097"/>
    </row>
    <row r="58" spans="1:3" ht="24.75" customHeight="1" x14ac:dyDescent="0.25">
      <c r="A58" s="1098" t="s">
        <v>937</v>
      </c>
      <c r="B58" s="1099" t="s">
        <v>939</v>
      </c>
      <c r="C58" s="1100"/>
    </row>
    <row r="59" spans="1:3" x14ac:dyDescent="0.25">
      <c r="A59" s="1098" t="s">
        <v>938</v>
      </c>
      <c r="B59" s="1099" t="s">
        <v>940</v>
      </c>
      <c r="C59" s="1100"/>
    </row>
    <row r="60" spans="1:3" ht="22.5" customHeight="1" x14ac:dyDescent="0.25">
      <c r="A60" s="1093" t="s">
        <v>941</v>
      </c>
      <c r="B60" s="1101" t="s">
        <v>939</v>
      </c>
      <c r="C60" s="1102"/>
    </row>
    <row r="61" spans="1:3" ht="22.5" x14ac:dyDescent="0.25">
      <c r="A61" s="1093" t="s">
        <v>942</v>
      </c>
      <c r="B61" s="1092">
        <v>0.36</v>
      </c>
      <c r="C61" s="1092"/>
    </row>
    <row r="62" spans="1:3" ht="22.5" x14ac:dyDescent="0.25">
      <c r="A62" s="1093" t="s">
        <v>943</v>
      </c>
      <c r="B62" s="1092">
        <v>0.52</v>
      </c>
      <c r="C62" s="1092"/>
    </row>
    <row r="63" spans="1:3" ht="25.5" customHeight="1" x14ac:dyDescent="0.25">
      <c r="A63" s="1093" t="s">
        <v>944</v>
      </c>
      <c r="B63" s="1092">
        <v>0.55000000000000004</v>
      </c>
      <c r="C63" s="1092">
        <v>0.46</v>
      </c>
    </row>
    <row r="64" spans="1:3" x14ac:dyDescent="0.25">
      <c r="A64" s="1103" t="s">
        <v>945</v>
      </c>
      <c r="B64" s="1104"/>
      <c r="C64" s="1104"/>
    </row>
    <row r="65" spans="1:3" x14ac:dyDescent="0.25">
      <c r="A65" s="1105" t="s">
        <v>946</v>
      </c>
      <c r="B65" s="1098">
        <v>0.38</v>
      </c>
      <c r="C65" s="1098">
        <v>0.34</v>
      </c>
    </row>
    <row r="66" spans="1:3" x14ac:dyDescent="0.25">
      <c r="A66" s="1105" t="s">
        <v>947</v>
      </c>
      <c r="B66" s="1098">
        <v>0.51</v>
      </c>
      <c r="C66" s="1098">
        <v>0.43</v>
      </c>
    </row>
    <row r="67" spans="1:3" ht="36.75" customHeight="1" x14ac:dyDescent="0.25">
      <c r="A67" s="1106" t="s">
        <v>948</v>
      </c>
      <c r="B67" s="1107">
        <v>0.56000000000000005</v>
      </c>
      <c r="C67" s="1107">
        <v>0.47</v>
      </c>
    </row>
    <row r="68" spans="1:3" ht="36.75" customHeight="1" x14ac:dyDescent="0.25">
      <c r="A68" s="1103" t="s">
        <v>949</v>
      </c>
      <c r="B68" s="1104"/>
      <c r="C68" s="1104"/>
    </row>
    <row r="69" spans="1:3" ht="22.5" x14ac:dyDescent="0.25">
      <c r="A69" s="1105" t="s">
        <v>950</v>
      </c>
      <c r="B69" s="1098">
        <v>0.51</v>
      </c>
      <c r="C69" s="1098">
        <v>0.43</v>
      </c>
    </row>
    <row r="70" spans="1:3" ht="22.5" x14ac:dyDescent="0.25">
      <c r="A70" s="1105" t="s">
        <v>951</v>
      </c>
      <c r="B70" s="1098">
        <v>0.54</v>
      </c>
      <c r="C70" s="1098">
        <v>0.45</v>
      </c>
    </row>
    <row r="71" spans="1:3" x14ac:dyDescent="0.25">
      <c r="A71" s="1105" t="s">
        <v>947</v>
      </c>
      <c r="B71" s="1098">
        <v>0.57999999999999996</v>
      </c>
      <c r="C71" s="1098">
        <v>0.48</v>
      </c>
    </row>
    <row r="72" spans="1:3" x14ac:dyDescent="0.25">
      <c r="A72" s="1105" t="s">
        <v>948</v>
      </c>
      <c r="B72" s="1098">
        <v>0.68</v>
      </c>
      <c r="C72" s="1098">
        <v>0.52</v>
      </c>
    </row>
    <row r="73" spans="1:3" ht="22.5" x14ac:dyDescent="0.25">
      <c r="A73" s="1106" t="s">
        <v>952</v>
      </c>
      <c r="B73" s="1107">
        <v>0.65</v>
      </c>
      <c r="C73" s="1107">
        <v>0.53</v>
      </c>
    </row>
    <row r="74" spans="1:3" ht="22.5" customHeight="1" x14ac:dyDescent="0.25">
      <c r="A74" s="2537" t="s">
        <v>953</v>
      </c>
      <c r="B74" s="2538"/>
      <c r="C74" s="2539"/>
    </row>
    <row r="75" spans="1:3" ht="45" customHeight="1" x14ac:dyDescent="0.25">
      <c r="A75" s="1105" t="s">
        <v>946</v>
      </c>
      <c r="B75" s="1098">
        <v>0.56000000000000005</v>
      </c>
      <c r="C75" s="1098"/>
    </row>
    <row r="76" spans="1:3" ht="56.25" customHeight="1" x14ac:dyDescent="0.25">
      <c r="A76" s="1105" t="s">
        <v>947</v>
      </c>
      <c r="B76" s="1098">
        <v>0.65</v>
      </c>
      <c r="C76" s="1098"/>
    </row>
    <row r="77" spans="1:3" ht="33.75" customHeight="1" x14ac:dyDescent="0.25">
      <c r="A77" s="1105" t="s">
        <v>948</v>
      </c>
      <c r="B77" s="1098">
        <v>0.72</v>
      </c>
      <c r="C77" s="1098"/>
    </row>
    <row r="78" spans="1:3" ht="22.5" x14ac:dyDescent="0.25">
      <c r="A78" s="1105" t="s">
        <v>952</v>
      </c>
      <c r="B78" s="1107">
        <v>0.69</v>
      </c>
      <c r="C78" s="1107"/>
    </row>
    <row r="79" spans="1:3" x14ac:dyDescent="0.25">
      <c r="A79" s="2537" t="s">
        <v>954</v>
      </c>
      <c r="B79" s="2538"/>
      <c r="C79" s="2539"/>
    </row>
    <row r="80" spans="1:3" x14ac:dyDescent="0.25">
      <c r="A80" s="1105" t="s">
        <v>946</v>
      </c>
      <c r="B80" s="1098">
        <v>0.68</v>
      </c>
      <c r="C80" s="1098" t="s">
        <v>746</v>
      </c>
    </row>
    <row r="81" spans="1:15" s="1108" customFormat="1" ht="13.5" customHeight="1" x14ac:dyDescent="0.25">
      <c r="A81" s="1105" t="s">
        <v>947</v>
      </c>
      <c r="B81" s="1098">
        <v>0.74</v>
      </c>
      <c r="C81" s="1098" t="s">
        <v>746</v>
      </c>
      <c r="D81" s="51"/>
      <c r="E81" s="51"/>
      <c r="F81" s="51"/>
      <c r="G81" s="51"/>
      <c r="H81" s="51"/>
      <c r="I81" s="51"/>
      <c r="J81" s="51"/>
      <c r="K81" s="51"/>
      <c r="L81" s="51"/>
      <c r="M81" s="51"/>
      <c r="N81" s="51"/>
      <c r="O81" s="51"/>
    </row>
    <row r="82" spans="1:15" s="1108" customFormat="1" ht="13.5" customHeight="1" x14ac:dyDescent="0.25">
      <c r="A82" s="1105" t="s">
        <v>948</v>
      </c>
      <c r="B82" s="1098">
        <v>0.81</v>
      </c>
      <c r="C82" s="1098" t="s">
        <v>746</v>
      </c>
      <c r="D82" s="51"/>
      <c r="E82" s="51"/>
      <c r="F82" s="51"/>
      <c r="G82" s="51"/>
      <c r="H82" s="51"/>
      <c r="I82" s="51"/>
      <c r="J82" s="51"/>
      <c r="K82" s="51"/>
      <c r="L82" s="51"/>
      <c r="M82" s="51"/>
      <c r="N82" s="51"/>
      <c r="O82" s="51"/>
    </row>
    <row r="83" spans="1:15" s="1108" customFormat="1" ht="13.5" customHeight="1" x14ac:dyDescent="0.25">
      <c r="A83" s="1105" t="s">
        <v>952</v>
      </c>
      <c r="B83" s="1107">
        <v>0.82</v>
      </c>
      <c r="C83" s="1107" t="s">
        <v>746</v>
      </c>
      <c r="D83" s="51"/>
      <c r="E83" s="51"/>
      <c r="F83" s="51"/>
      <c r="G83" s="51"/>
      <c r="H83" s="51"/>
      <c r="I83" s="51"/>
      <c r="J83" s="51"/>
      <c r="K83" s="51"/>
      <c r="L83" s="51"/>
      <c r="M83" s="51"/>
      <c r="N83" s="51"/>
      <c r="O83" s="51"/>
    </row>
    <row r="84" spans="1:15" s="1108" customFormat="1" ht="13.5" customHeight="1" x14ac:dyDescent="0.25">
      <c r="A84" s="1109" t="s">
        <v>955</v>
      </c>
      <c r="B84" s="1092">
        <v>0.7</v>
      </c>
      <c r="C84" s="1092" t="s">
        <v>746</v>
      </c>
      <c r="D84" s="51"/>
      <c r="E84" s="51"/>
      <c r="F84" s="51"/>
      <c r="G84" s="51"/>
      <c r="H84" s="51"/>
      <c r="I84" s="51"/>
      <c r="J84" s="51"/>
      <c r="K84" s="51"/>
      <c r="L84" s="51"/>
      <c r="M84" s="51"/>
      <c r="N84" s="51"/>
      <c r="O84" s="51"/>
    </row>
    <row r="85" spans="1:15" s="1108" customFormat="1" ht="13.5" customHeight="1" x14ac:dyDescent="0.25">
      <c r="A85" s="1093" t="s">
        <v>956</v>
      </c>
      <c r="B85" s="1092">
        <v>0.74</v>
      </c>
      <c r="C85" s="1092" t="s">
        <v>746</v>
      </c>
      <c r="D85" s="51"/>
      <c r="E85" s="51"/>
      <c r="F85" s="51"/>
      <c r="G85" s="51"/>
      <c r="H85" s="51"/>
      <c r="I85" s="51"/>
      <c r="J85" s="51"/>
      <c r="K85" s="51"/>
      <c r="L85" s="51"/>
      <c r="M85" s="51"/>
      <c r="N85" s="51"/>
      <c r="O85" s="51"/>
    </row>
    <row r="86" spans="1:15" s="1108" customFormat="1" ht="13.5" customHeight="1" x14ac:dyDescent="0.25">
      <c r="A86" s="1093" t="s">
        <v>957</v>
      </c>
      <c r="B86" s="1092" t="s">
        <v>958</v>
      </c>
      <c r="C86" s="1092" t="s">
        <v>746</v>
      </c>
      <c r="D86" s="51"/>
      <c r="E86" s="51"/>
      <c r="F86" s="51"/>
      <c r="G86" s="51"/>
      <c r="H86" s="51"/>
      <c r="I86" s="51"/>
      <c r="J86" s="51"/>
      <c r="K86" s="51"/>
      <c r="L86" s="51"/>
      <c r="M86" s="51"/>
      <c r="N86" s="51"/>
      <c r="O86" s="51"/>
    </row>
    <row r="87" spans="1:15" s="1108" customFormat="1" ht="13.5" customHeight="1" x14ac:dyDescent="0.25">
      <c r="A87" s="1110" t="s">
        <v>959</v>
      </c>
      <c r="B87" s="1111"/>
      <c r="C87" s="1112"/>
      <c r="D87" s="51"/>
      <c r="E87" s="51"/>
      <c r="F87" s="51"/>
      <c r="G87" s="51"/>
      <c r="H87" s="51"/>
      <c r="I87" s="51"/>
      <c r="J87" s="51"/>
      <c r="K87" s="51"/>
      <c r="L87" s="51"/>
      <c r="M87" s="51"/>
      <c r="N87" s="51"/>
      <c r="O87" s="51"/>
    </row>
    <row r="88" spans="1:15" s="1108" customFormat="1" ht="13.5" customHeight="1" x14ac:dyDescent="0.25">
      <c r="A88" s="1113"/>
      <c r="B88" s="1114"/>
      <c r="C88" s="1115"/>
      <c r="D88" s="51"/>
      <c r="E88" s="51"/>
      <c r="F88" s="51"/>
      <c r="G88" s="51"/>
      <c r="H88" s="51"/>
      <c r="I88" s="51"/>
      <c r="J88" s="51"/>
      <c r="K88" s="51"/>
      <c r="L88" s="51"/>
      <c r="M88" s="51"/>
      <c r="N88" s="51"/>
      <c r="O88" s="51"/>
    </row>
    <row r="89" spans="1:15" s="1108" customFormat="1" ht="13.5" customHeight="1" x14ac:dyDescent="0.25">
      <c r="A89" s="1116" t="s">
        <v>960</v>
      </c>
      <c r="B89" s="1117"/>
      <c r="C89" s="1118"/>
      <c r="D89" s="51"/>
      <c r="E89" s="51"/>
      <c r="F89" s="51"/>
      <c r="G89" s="51"/>
      <c r="H89" s="51"/>
      <c r="I89" s="51"/>
      <c r="J89" s="51"/>
      <c r="K89" s="51"/>
      <c r="L89" s="51"/>
      <c r="M89" s="51"/>
      <c r="N89" s="51"/>
      <c r="O89" s="51"/>
    </row>
    <row r="90" spans="1:15" s="1108" customFormat="1" ht="13.5" customHeight="1" x14ac:dyDescent="0.25">
      <c r="A90" s="2540" t="s">
        <v>961</v>
      </c>
      <c r="B90" s="2541"/>
      <c r="C90" s="2542"/>
      <c r="D90" s="51"/>
      <c r="E90" s="51"/>
      <c r="F90" s="51"/>
      <c r="G90" s="51"/>
      <c r="H90" s="51"/>
      <c r="I90" s="51"/>
      <c r="J90" s="51"/>
      <c r="K90" s="51"/>
      <c r="L90" s="51"/>
      <c r="M90" s="51"/>
      <c r="N90" s="51"/>
      <c r="O90" s="51"/>
    </row>
    <row r="91" spans="1:15" s="1108" customFormat="1" ht="13.5" customHeight="1" x14ac:dyDescent="0.25">
      <c r="A91" s="2540" t="s">
        <v>962</v>
      </c>
      <c r="B91" s="2541"/>
      <c r="C91" s="2542"/>
      <c r="D91" s="51"/>
      <c r="E91" s="51"/>
      <c r="F91" s="51"/>
      <c r="G91" s="51"/>
      <c r="H91" s="51"/>
      <c r="I91" s="51"/>
      <c r="J91" s="51"/>
      <c r="K91" s="51"/>
      <c r="L91" s="51"/>
      <c r="M91" s="51"/>
      <c r="N91" s="51"/>
      <c r="O91" s="51"/>
    </row>
    <row r="92" spans="1:15" s="1108" customFormat="1" ht="13.5" customHeight="1" x14ac:dyDescent="0.25">
      <c r="A92" s="2540" t="s">
        <v>963</v>
      </c>
      <c r="B92" s="2541"/>
      <c r="C92" s="2542"/>
      <c r="D92" s="51"/>
      <c r="E92" s="51"/>
      <c r="F92" s="51"/>
      <c r="G92" s="51"/>
      <c r="H92" s="51"/>
      <c r="I92" s="51"/>
      <c r="J92" s="51"/>
      <c r="K92" s="51"/>
      <c r="L92" s="51"/>
      <c r="M92" s="51"/>
      <c r="N92" s="51"/>
      <c r="O92" s="51"/>
    </row>
    <row r="93" spans="1:15" s="1108" customFormat="1" ht="13.5" customHeight="1" x14ac:dyDescent="0.25">
      <c r="A93" s="2534" t="s">
        <v>964</v>
      </c>
      <c r="B93" s="2535"/>
      <c r="C93" s="2536"/>
      <c r="D93" s="51"/>
      <c r="E93" s="51"/>
      <c r="F93" s="51"/>
      <c r="G93" s="51"/>
      <c r="H93" s="51"/>
      <c r="I93" s="51"/>
      <c r="J93" s="51"/>
      <c r="K93" s="51"/>
      <c r="L93" s="51"/>
      <c r="M93" s="51"/>
      <c r="N93" s="51"/>
      <c r="O93" s="51"/>
    </row>
    <row r="94" spans="1:15" s="1108" customFormat="1" ht="13.5" customHeight="1" x14ac:dyDescent="0.25">
      <c r="A94" s="51"/>
      <c r="B94" s="51"/>
      <c r="C94" s="51"/>
      <c r="D94" s="51"/>
      <c r="E94" s="51"/>
      <c r="F94" s="51"/>
      <c r="G94" s="51"/>
      <c r="H94" s="51"/>
      <c r="I94" s="51"/>
      <c r="J94" s="51"/>
      <c r="K94" s="51"/>
      <c r="L94" s="51"/>
      <c r="M94" s="51"/>
      <c r="N94" s="51"/>
      <c r="O94" s="51"/>
    </row>
    <row r="95" spans="1:15" s="1108" customFormat="1" ht="13.5" customHeight="1" x14ac:dyDescent="0.25">
      <c r="A95" s="51"/>
      <c r="B95" s="51"/>
      <c r="C95" s="51"/>
      <c r="D95" s="51"/>
      <c r="E95" s="51"/>
      <c r="F95" s="51"/>
      <c r="G95" s="51"/>
      <c r="H95" s="51"/>
      <c r="I95" s="51"/>
      <c r="J95" s="51"/>
      <c r="K95" s="51"/>
      <c r="L95" s="51"/>
      <c r="M95" s="51"/>
      <c r="N95" s="51"/>
      <c r="O95" s="51"/>
    </row>
    <row r="96" spans="1:15" s="1108" customFormat="1" ht="13.5" customHeight="1" x14ac:dyDescent="0.25">
      <c r="A96" s="51"/>
      <c r="B96" s="51"/>
      <c r="C96" s="51"/>
      <c r="D96" s="51"/>
      <c r="E96" s="51"/>
      <c r="F96" s="51"/>
      <c r="G96" s="51"/>
      <c r="H96" s="51"/>
      <c r="I96" s="51"/>
      <c r="J96" s="51"/>
      <c r="K96" s="51"/>
      <c r="L96" s="51"/>
      <c r="M96" s="51"/>
      <c r="N96" s="51"/>
      <c r="O96" s="51"/>
    </row>
    <row r="97" spans="1:8" s="1108" customFormat="1" ht="13.5" customHeight="1" x14ac:dyDescent="0.25">
      <c r="A97" s="2533" t="s">
        <v>895</v>
      </c>
      <c r="B97" s="2529" t="s">
        <v>989</v>
      </c>
      <c r="C97" s="2529"/>
      <c r="D97" s="2529"/>
      <c r="E97" s="2529" t="s">
        <v>990</v>
      </c>
      <c r="F97" s="2529"/>
      <c r="G97" s="2529"/>
      <c r="H97" s="2529"/>
    </row>
    <row r="98" spans="1:8" s="1108" customFormat="1" ht="13.5" customHeight="1" x14ac:dyDescent="0.25">
      <c r="A98" s="2533"/>
      <c r="B98" s="1119" t="s">
        <v>991</v>
      </c>
      <c r="C98" s="2529" t="s">
        <v>993</v>
      </c>
      <c r="D98" s="2524" t="s">
        <v>994</v>
      </c>
      <c r="E98" s="2529" t="s">
        <v>996</v>
      </c>
      <c r="F98" s="2529"/>
      <c r="G98" s="2529" t="s">
        <v>999</v>
      </c>
      <c r="H98" s="2529"/>
    </row>
    <row r="99" spans="1:8" s="1108" customFormat="1" ht="13.5" customHeight="1" x14ac:dyDescent="0.25">
      <c r="A99" s="2533"/>
      <c r="B99" s="1119" t="s">
        <v>992</v>
      </c>
      <c r="C99" s="2529"/>
      <c r="D99" s="2525"/>
      <c r="E99" s="2529" t="s">
        <v>997</v>
      </c>
      <c r="F99" s="2529"/>
      <c r="G99" s="2529"/>
      <c r="H99" s="2529"/>
    </row>
    <row r="100" spans="1:8" s="1108" customFormat="1" ht="13.5" customHeight="1" x14ac:dyDescent="0.25">
      <c r="A100" s="2533"/>
      <c r="B100" s="1120"/>
      <c r="C100" s="2529"/>
      <c r="D100" s="2526"/>
      <c r="E100" s="2529" t="s">
        <v>998</v>
      </c>
      <c r="F100" s="2529"/>
      <c r="G100" s="2529"/>
      <c r="H100" s="2529"/>
    </row>
    <row r="101" spans="1:8" s="1108" customFormat="1" ht="13.5" customHeight="1" x14ac:dyDescent="0.25">
      <c r="A101" s="2533"/>
      <c r="B101" s="1120"/>
      <c r="C101" s="2529"/>
      <c r="D101" s="1119" t="s">
        <v>995</v>
      </c>
      <c r="E101" s="1119" t="s">
        <v>563</v>
      </c>
      <c r="F101" s="1119" t="s">
        <v>919</v>
      </c>
      <c r="G101" s="1119" t="s">
        <v>563</v>
      </c>
      <c r="H101" s="1121" t="s">
        <v>919</v>
      </c>
    </row>
    <row r="102" spans="1:8" s="1108" customFormat="1" ht="13.5" customHeight="1" x14ac:dyDescent="0.25">
      <c r="A102" s="1122"/>
      <c r="B102" s="1119"/>
      <c r="C102" s="1119"/>
      <c r="D102" s="1119"/>
      <c r="E102" s="1119"/>
      <c r="F102" s="1119"/>
      <c r="G102" s="1119"/>
      <c r="H102" s="1119"/>
    </row>
    <row r="103" spans="1:8" s="1108" customFormat="1" ht="13.5" customHeight="1" x14ac:dyDescent="0.25">
      <c r="A103" s="2527" t="s">
        <v>1000</v>
      </c>
      <c r="B103" s="2527"/>
      <c r="C103" s="2527"/>
      <c r="D103" s="2527"/>
      <c r="E103" s="2527"/>
      <c r="F103" s="2527"/>
      <c r="G103" s="2527"/>
      <c r="H103" s="2527"/>
    </row>
    <row r="104" spans="1:8" s="1108" customFormat="1" ht="13.5" customHeight="1" x14ac:dyDescent="0.25">
      <c r="A104" s="2523" t="s">
        <v>1001</v>
      </c>
      <c r="B104" s="2523"/>
      <c r="C104" s="2523"/>
      <c r="D104" s="2523"/>
      <c r="E104" s="2523"/>
      <c r="F104" s="2523"/>
      <c r="G104" s="2523"/>
      <c r="H104" s="2523"/>
    </row>
    <row r="105" spans="1:8" s="1108" customFormat="1" ht="13.5" customHeight="1" x14ac:dyDescent="0.25">
      <c r="A105" s="1119" t="s">
        <v>1002</v>
      </c>
      <c r="B105" s="1119">
        <v>150</v>
      </c>
      <c r="C105" s="1119">
        <v>1.34</v>
      </c>
      <c r="D105" s="1119">
        <v>0.05</v>
      </c>
      <c r="E105" s="1119">
        <v>1</v>
      </c>
      <c r="F105" s="1119">
        <v>5</v>
      </c>
      <c r="G105" s="1119">
        <v>5.1999999999999998E-2</v>
      </c>
      <c r="H105" s="1119">
        <v>0.06</v>
      </c>
    </row>
    <row r="106" spans="1:8" s="1108" customFormat="1" ht="13.5" customHeight="1" x14ac:dyDescent="0.25">
      <c r="A106" s="1119" t="s">
        <v>1002</v>
      </c>
      <c r="B106" s="1119">
        <v>100</v>
      </c>
      <c r="C106" s="1119">
        <v>1.34</v>
      </c>
      <c r="D106" s="1119">
        <v>4.1000000000000002E-2</v>
      </c>
      <c r="E106" s="1119">
        <v>2</v>
      </c>
      <c r="F106" s="1119">
        <v>10</v>
      </c>
      <c r="G106" s="1119">
        <v>4.1000000000000002E-2</v>
      </c>
      <c r="H106" s="1119">
        <v>5.1999999999999998E-2</v>
      </c>
    </row>
    <row r="107" spans="1:8" s="1108" customFormat="1" ht="13.5" customHeight="1" x14ac:dyDescent="0.25">
      <c r="A107" s="1119" t="s">
        <v>1004</v>
      </c>
      <c r="B107" s="1119">
        <v>40</v>
      </c>
      <c r="C107" s="1119">
        <v>1.34</v>
      </c>
      <c r="D107" s="1119">
        <v>3.6999999999999998E-2</v>
      </c>
      <c r="E107" s="1119">
        <v>2</v>
      </c>
      <c r="F107" s="1119">
        <v>10</v>
      </c>
      <c r="G107" s="1119">
        <v>4.1000000000000002E-2</v>
      </c>
      <c r="H107" s="1119">
        <v>0.05</v>
      </c>
    </row>
    <row r="108" spans="1:8" s="1108" customFormat="1" ht="13.5" customHeight="1" x14ac:dyDescent="0.25">
      <c r="A108" s="1119" t="s">
        <v>1005</v>
      </c>
      <c r="B108" s="1119">
        <v>18</v>
      </c>
      <c r="C108" s="1119">
        <v>1.34</v>
      </c>
      <c r="D108" s="1119">
        <v>4.2000000000000003E-2</v>
      </c>
      <c r="E108" s="1119">
        <v>2</v>
      </c>
      <c r="F108" s="1119">
        <v>10</v>
      </c>
      <c r="G108" s="1119">
        <v>4.2000000000000003E-2</v>
      </c>
      <c r="H108" s="1119">
        <v>4.2999999999999997E-2</v>
      </c>
    </row>
    <row r="109" spans="1:8" s="1108" customFormat="1" ht="13.5" customHeight="1" x14ac:dyDescent="0.25">
      <c r="A109" s="1119" t="s">
        <v>1006</v>
      </c>
      <c r="B109" s="1119">
        <v>24</v>
      </c>
      <c r="C109" s="1119">
        <v>1.34</v>
      </c>
      <c r="D109" s="1119">
        <v>0.04</v>
      </c>
      <c r="E109" s="1119">
        <v>2</v>
      </c>
      <c r="F109" s="1119">
        <v>10</v>
      </c>
      <c r="G109" s="1119">
        <v>0.04</v>
      </c>
      <c r="H109" s="1119">
        <v>4.1000000000000002E-2</v>
      </c>
    </row>
    <row r="110" spans="1:8" s="1108" customFormat="1" ht="13.5" customHeight="1" x14ac:dyDescent="0.25">
      <c r="A110" s="1119" t="s">
        <v>1007</v>
      </c>
      <c r="B110" s="1119">
        <v>25</v>
      </c>
      <c r="C110" s="1119">
        <v>1.34</v>
      </c>
      <c r="D110" s="1119">
        <v>2.9000000000000001E-2</v>
      </c>
      <c r="E110" s="1119">
        <v>2</v>
      </c>
      <c r="F110" s="1119">
        <v>10</v>
      </c>
      <c r="G110" s="1119">
        <v>3.1E-2</v>
      </c>
      <c r="H110" s="1119">
        <v>3.1E-2</v>
      </c>
    </row>
    <row r="111" spans="1:8" s="1108" customFormat="1" ht="13.5" customHeight="1" x14ac:dyDescent="0.25">
      <c r="A111" s="1119" t="s">
        <v>1008</v>
      </c>
      <c r="B111" s="1119">
        <v>28</v>
      </c>
      <c r="C111" s="1119">
        <v>1.34</v>
      </c>
      <c r="D111" s="1119">
        <v>2.9000000000000001E-2</v>
      </c>
      <c r="E111" s="1119">
        <v>2</v>
      </c>
      <c r="F111" s="1119">
        <v>10</v>
      </c>
      <c r="G111" s="1119">
        <v>3.1E-2</v>
      </c>
      <c r="H111" s="1119">
        <v>3.1E-2</v>
      </c>
    </row>
    <row r="112" spans="1:8" s="1108" customFormat="1" ht="13.5" customHeight="1" x14ac:dyDescent="0.25">
      <c r="A112" s="1119" t="s">
        <v>1009</v>
      </c>
      <c r="B112" s="1119">
        <v>33</v>
      </c>
      <c r="C112" s="1119">
        <v>1.34</v>
      </c>
      <c r="D112" s="1119">
        <v>2.9000000000000001E-2</v>
      </c>
      <c r="E112" s="1119">
        <v>2</v>
      </c>
      <c r="F112" s="1119">
        <v>10</v>
      </c>
      <c r="G112" s="1119">
        <v>3.1E-2</v>
      </c>
      <c r="H112" s="1119">
        <v>3.1E-2</v>
      </c>
    </row>
    <row r="113" spans="1:8" s="1108" customFormat="1" ht="13.5" customHeight="1" x14ac:dyDescent="0.25">
      <c r="A113" s="1119" t="s">
        <v>1010</v>
      </c>
      <c r="B113" s="1119">
        <v>35</v>
      </c>
      <c r="C113" s="1119">
        <v>1.34</v>
      </c>
      <c r="D113" s="1119">
        <v>0.03</v>
      </c>
      <c r="E113" s="1119">
        <v>2</v>
      </c>
      <c r="F113" s="1119">
        <v>10</v>
      </c>
      <c r="G113" s="1119">
        <v>3.1E-2</v>
      </c>
      <c r="H113" s="1119">
        <v>3.1E-2</v>
      </c>
    </row>
    <row r="114" spans="1:8" s="1108" customFormat="1" ht="13.5" customHeight="1" x14ac:dyDescent="0.25">
      <c r="A114" s="1119" t="s">
        <v>1011</v>
      </c>
      <c r="B114" s="1119">
        <v>45</v>
      </c>
      <c r="C114" s="1119">
        <v>1.34</v>
      </c>
      <c r="D114" s="1119">
        <v>0.03</v>
      </c>
      <c r="E114" s="1119">
        <v>2</v>
      </c>
      <c r="F114" s="1119">
        <v>10</v>
      </c>
      <c r="G114" s="1119">
        <v>3.1E-2</v>
      </c>
      <c r="H114" s="1119">
        <v>3.1E-2</v>
      </c>
    </row>
    <row r="115" spans="1:8" s="1108" customFormat="1" ht="13.5" customHeight="1" x14ac:dyDescent="0.25">
      <c r="A115" s="1119" t="s">
        <v>1012</v>
      </c>
      <c r="B115" s="1119">
        <v>15</v>
      </c>
      <c r="C115" s="1119">
        <v>1.34</v>
      </c>
      <c r="D115" s="1119">
        <v>3.9E-2</v>
      </c>
      <c r="E115" s="1119">
        <v>2</v>
      </c>
      <c r="F115" s="1119">
        <v>10</v>
      </c>
      <c r="G115" s="1119">
        <v>0.04</v>
      </c>
      <c r="H115" s="1119">
        <v>4.3999999999999997E-2</v>
      </c>
    </row>
    <row r="116" spans="1:8" s="1108" customFormat="1" ht="13.5" customHeight="1" x14ac:dyDescent="0.25">
      <c r="A116" s="1119" t="s">
        <v>1013</v>
      </c>
      <c r="B116" s="1119">
        <v>20</v>
      </c>
      <c r="C116" s="1119">
        <v>1.34</v>
      </c>
      <c r="D116" s="1119">
        <v>3.6999999999999998E-2</v>
      </c>
      <c r="E116" s="1119">
        <v>2</v>
      </c>
      <c r="F116" s="1119">
        <v>10</v>
      </c>
      <c r="G116" s="1119">
        <v>3.7999999999999999E-2</v>
      </c>
      <c r="H116" s="1119">
        <v>4.2000000000000003E-2</v>
      </c>
    </row>
    <row r="117" spans="1:8" s="1108" customFormat="1" ht="13.5" customHeight="1" x14ac:dyDescent="0.25">
      <c r="A117" s="1119" t="s">
        <v>1014</v>
      </c>
      <c r="B117" s="1119">
        <v>30</v>
      </c>
      <c r="C117" s="1123">
        <v>1.34</v>
      </c>
      <c r="D117" s="1119">
        <v>3.5000000000000003E-2</v>
      </c>
      <c r="E117" s="1119">
        <v>2</v>
      </c>
      <c r="F117" s="1119">
        <v>10</v>
      </c>
      <c r="G117" s="1119">
        <v>3.5999999999999997E-2</v>
      </c>
      <c r="H117" s="1119">
        <v>0.04</v>
      </c>
    </row>
    <row r="118" spans="1:8" s="1108" customFormat="1" ht="13.5" customHeight="1" x14ac:dyDescent="0.25">
      <c r="A118" s="1119" t="s">
        <v>1015</v>
      </c>
      <c r="B118" s="1119">
        <v>28</v>
      </c>
      <c r="C118" s="1123">
        <v>1.45</v>
      </c>
      <c r="D118" s="1124">
        <v>2.9000000000000001E-2</v>
      </c>
      <c r="E118" s="1119">
        <v>2</v>
      </c>
      <c r="F118" s="1119">
        <v>10</v>
      </c>
      <c r="G118" s="1119">
        <v>0.03</v>
      </c>
      <c r="H118" s="1119">
        <v>3.1E-2</v>
      </c>
    </row>
    <row r="119" spans="1:8" s="1108" customFormat="1" ht="13.5" customHeight="1" x14ac:dyDescent="0.25">
      <c r="A119" s="1119" t="s">
        <v>1016</v>
      </c>
      <c r="B119" s="1119">
        <v>32</v>
      </c>
      <c r="C119" s="1123">
        <v>1.45</v>
      </c>
      <c r="D119" s="1124">
        <v>2.8000000000000001E-2</v>
      </c>
      <c r="E119" s="1119">
        <v>2</v>
      </c>
      <c r="F119" s="1119">
        <v>10</v>
      </c>
      <c r="G119" s="1119">
        <v>2.9000000000000001E-2</v>
      </c>
      <c r="H119" s="1119">
        <v>2.9000000000000001E-2</v>
      </c>
    </row>
    <row r="120" spans="1:8" s="1108" customFormat="1" ht="13.5" customHeight="1" x14ac:dyDescent="0.25">
      <c r="A120" s="1119" t="s">
        <v>1017</v>
      </c>
      <c r="B120" s="1119">
        <v>32</v>
      </c>
      <c r="C120" s="1123">
        <v>1.45</v>
      </c>
      <c r="D120" s="1124">
        <v>0.03</v>
      </c>
      <c r="E120" s="1119">
        <v>2</v>
      </c>
      <c r="F120" s="1119">
        <v>10</v>
      </c>
      <c r="G120" s="1119">
        <v>3.2000000000000001E-2</v>
      </c>
      <c r="H120" s="1119">
        <v>3.2000000000000001E-2</v>
      </c>
    </row>
    <row r="121" spans="1:8" s="1108" customFormat="1" ht="13.5" customHeight="1" x14ac:dyDescent="0.25">
      <c r="A121" s="1119" t="s">
        <v>1018</v>
      </c>
      <c r="B121" s="1119">
        <v>38</v>
      </c>
      <c r="C121" s="1123">
        <v>1.45</v>
      </c>
      <c r="D121" s="1124">
        <v>2.7E-2</v>
      </c>
      <c r="E121" s="1119">
        <v>2</v>
      </c>
      <c r="F121" s="1119">
        <v>10</v>
      </c>
      <c r="G121" s="1119">
        <v>2.8000000000000001E-2</v>
      </c>
      <c r="H121" s="1119">
        <v>2.8000000000000001E-2</v>
      </c>
    </row>
    <row r="122" spans="1:8" s="1108" customFormat="1" ht="13.5" customHeight="1" x14ac:dyDescent="0.25">
      <c r="A122" s="1119" t="s">
        <v>1019</v>
      </c>
      <c r="B122" s="1119">
        <v>38</v>
      </c>
      <c r="C122" s="1123">
        <v>1.45</v>
      </c>
      <c r="D122" s="1124">
        <v>0.03</v>
      </c>
      <c r="E122" s="1119">
        <v>2</v>
      </c>
      <c r="F122" s="1119">
        <v>10</v>
      </c>
      <c r="G122" s="1119">
        <v>3.2000000000000001E-2</v>
      </c>
      <c r="H122" s="1119">
        <v>3.2000000000000001E-2</v>
      </c>
    </row>
    <row r="123" spans="1:8" s="1108" customFormat="1" ht="13.5" customHeight="1" x14ac:dyDescent="0.25">
      <c r="A123" s="1119" t="s">
        <v>1020</v>
      </c>
      <c r="B123" s="1119">
        <v>25</v>
      </c>
      <c r="C123" s="1123">
        <v>1.45</v>
      </c>
      <c r="D123" s="1124">
        <v>2.8000000000000001E-2</v>
      </c>
      <c r="E123" s="1119">
        <v>2</v>
      </c>
      <c r="F123" s="1119">
        <v>10</v>
      </c>
      <c r="G123" s="1119">
        <v>2.9000000000000001E-2</v>
      </c>
      <c r="H123" s="1119">
        <v>2.9000000000000001E-2</v>
      </c>
    </row>
    <row r="124" spans="1:8" s="1108" customFormat="1" ht="13.5" customHeight="1" x14ac:dyDescent="0.25">
      <c r="A124" s="1119" t="s">
        <v>1021</v>
      </c>
      <c r="B124" s="1119">
        <v>25</v>
      </c>
      <c r="C124" s="1123">
        <v>1.45</v>
      </c>
      <c r="D124" s="1124">
        <v>2.9000000000000001E-2</v>
      </c>
      <c r="E124" s="1119">
        <v>2</v>
      </c>
      <c r="F124" s="1119">
        <v>10</v>
      </c>
      <c r="G124" s="1119">
        <v>3.1E-2</v>
      </c>
      <c r="H124" s="1119">
        <v>3.1E-2</v>
      </c>
    </row>
    <row r="125" spans="1:8" s="1108" customFormat="1" ht="13.5" customHeight="1" x14ac:dyDescent="0.25">
      <c r="A125" s="1119" t="s">
        <v>1022</v>
      </c>
      <c r="B125" s="1119">
        <v>125</v>
      </c>
      <c r="C125" s="1123">
        <v>1.26</v>
      </c>
      <c r="D125" s="1124">
        <v>5.1999999999999998E-2</v>
      </c>
      <c r="E125" s="1119">
        <v>2</v>
      </c>
      <c r="F125" s="1119">
        <v>10</v>
      </c>
      <c r="G125" s="1119">
        <v>0.06</v>
      </c>
      <c r="H125" s="1119">
        <v>6.4000000000000001E-2</v>
      </c>
    </row>
    <row r="126" spans="1:8" s="1108" customFormat="1" ht="13.5" customHeight="1" x14ac:dyDescent="0.25">
      <c r="A126" s="2529" t="s">
        <v>1006</v>
      </c>
      <c r="B126" s="1119" t="s">
        <v>1023</v>
      </c>
      <c r="C126" s="2530">
        <v>1.26</v>
      </c>
      <c r="D126" s="2532">
        <v>4.1000000000000002E-2</v>
      </c>
      <c r="E126" s="2529">
        <v>2</v>
      </c>
      <c r="F126" s="2529">
        <v>10</v>
      </c>
      <c r="G126" s="2529">
        <v>0.05</v>
      </c>
      <c r="H126" s="2529">
        <v>5.1999999999999998E-2</v>
      </c>
    </row>
    <row r="127" spans="1:8" s="1108" customFormat="1" ht="13.5" customHeight="1" x14ac:dyDescent="0.25">
      <c r="A127" s="2529"/>
      <c r="B127" s="1119" t="s">
        <v>1024</v>
      </c>
      <c r="C127" s="2530"/>
      <c r="D127" s="2532"/>
      <c r="E127" s="2529"/>
      <c r="F127" s="2529"/>
      <c r="G127" s="2529"/>
      <c r="H127" s="2529"/>
    </row>
    <row r="128" spans="1:8" s="1108" customFormat="1" ht="13.5" customHeight="1" x14ac:dyDescent="0.25">
      <c r="A128" s="1119" t="s">
        <v>1025</v>
      </c>
      <c r="B128" s="1119">
        <v>80</v>
      </c>
      <c r="C128" s="1123">
        <v>1.47</v>
      </c>
      <c r="D128" s="1124">
        <v>4.1000000000000002E-2</v>
      </c>
      <c r="E128" s="1119">
        <v>2</v>
      </c>
      <c r="F128" s="1119">
        <v>5</v>
      </c>
      <c r="G128" s="1119">
        <v>0.05</v>
      </c>
      <c r="H128" s="1119">
        <v>0.05</v>
      </c>
    </row>
    <row r="129" spans="1:8" s="1108" customFormat="1" ht="13.5" customHeight="1" x14ac:dyDescent="0.25">
      <c r="A129" s="1122" t="s">
        <v>1003</v>
      </c>
      <c r="B129" s="1119">
        <v>60</v>
      </c>
      <c r="C129" s="1123">
        <v>1.47</v>
      </c>
      <c r="D129" s="1124">
        <v>3.5000000000000003E-2</v>
      </c>
      <c r="E129" s="1119">
        <v>2</v>
      </c>
      <c r="F129" s="1119">
        <v>5</v>
      </c>
      <c r="G129" s="1119">
        <v>4.1000000000000002E-2</v>
      </c>
      <c r="H129" s="1119">
        <v>4.1000000000000002E-2</v>
      </c>
    </row>
    <row r="130" spans="1:8" s="1108" customFormat="1" ht="13.5" customHeight="1" x14ac:dyDescent="0.25">
      <c r="A130" s="1122" t="s">
        <v>1003</v>
      </c>
      <c r="B130" s="1119">
        <v>40</v>
      </c>
      <c r="C130" s="1123">
        <v>1.47</v>
      </c>
      <c r="D130" s="1124">
        <v>2.9000000000000001E-2</v>
      </c>
      <c r="E130" s="1119">
        <v>2</v>
      </c>
      <c r="F130" s="1119">
        <v>5</v>
      </c>
      <c r="G130" s="1119">
        <v>0.04</v>
      </c>
      <c r="H130" s="1119">
        <v>0.04</v>
      </c>
    </row>
    <row r="131" spans="1:8" s="1108" customFormat="1" ht="29.25" customHeight="1" x14ac:dyDescent="0.25">
      <c r="A131" s="1119" t="s">
        <v>1026</v>
      </c>
      <c r="B131" s="1119">
        <v>90</v>
      </c>
      <c r="C131" s="1123">
        <v>1.68</v>
      </c>
      <c r="D131" s="1124">
        <v>4.4999999999999998E-2</v>
      </c>
      <c r="E131" s="1119">
        <v>5</v>
      </c>
      <c r="F131" s="1119">
        <v>20</v>
      </c>
      <c r="G131" s="1119">
        <v>5.2999999999999999E-2</v>
      </c>
      <c r="H131" s="1119">
        <v>7.2999999999999995E-2</v>
      </c>
    </row>
    <row r="132" spans="1:8" s="1108" customFormat="1" ht="13.5" customHeight="1" x14ac:dyDescent="0.25">
      <c r="A132" s="1119" t="s">
        <v>1006</v>
      </c>
      <c r="B132" s="1119">
        <v>80</v>
      </c>
      <c r="C132" s="1123">
        <v>1.68</v>
      </c>
      <c r="D132" s="1124">
        <v>4.3999999999999997E-2</v>
      </c>
      <c r="E132" s="1119">
        <v>5</v>
      </c>
      <c r="F132" s="1119">
        <v>20</v>
      </c>
      <c r="G132" s="1119">
        <v>5.0999999999999997E-2</v>
      </c>
      <c r="H132" s="1119">
        <v>7.0999999999999994E-2</v>
      </c>
    </row>
    <row r="133" spans="1:8" s="1108" customFormat="1" ht="13.5" customHeight="1" x14ac:dyDescent="0.25">
      <c r="A133" s="1122" t="s">
        <v>1003</v>
      </c>
      <c r="B133" s="1119">
        <v>50</v>
      </c>
      <c r="C133" s="1123">
        <v>1.68</v>
      </c>
      <c r="D133" s="1124">
        <v>4.1000000000000002E-2</v>
      </c>
      <c r="E133" s="1119">
        <v>5</v>
      </c>
      <c r="F133" s="1119">
        <v>20</v>
      </c>
      <c r="G133" s="1119">
        <v>4.4999999999999998E-2</v>
      </c>
      <c r="H133" s="1119">
        <v>6.4000000000000001E-2</v>
      </c>
    </row>
    <row r="134" spans="1:8" s="1108" customFormat="1" ht="13.5" customHeight="1" x14ac:dyDescent="0.25">
      <c r="A134" s="1119" t="s">
        <v>1027</v>
      </c>
      <c r="B134" s="1119">
        <v>200</v>
      </c>
      <c r="C134" s="1123">
        <v>1.05</v>
      </c>
      <c r="D134" s="1124">
        <v>4.1000000000000002E-2</v>
      </c>
      <c r="E134" s="1119">
        <v>2</v>
      </c>
      <c r="F134" s="1119">
        <v>3</v>
      </c>
      <c r="G134" s="1119">
        <v>5.1999999999999998E-2</v>
      </c>
      <c r="H134" s="1119">
        <v>0.06</v>
      </c>
    </row>
    <row r="135" spans="1:8" s="1108" customFormat="1" ht="13.5" customHeight="1" x14ac:dyDescent="0.25">
      <c r="A135" s="1122" t="s">
        <v>1003</v>
      </c>
      <c r="B135" s="1119">
        <v>100</v>
      </c>
      <c r="C135" s="1123">
        <v>1.05</v>
      </c>
      <c r="D135" s="1124">
        <v>3.5000000000000003E-2</v>
      </c>
      <c r="E135" s="1119">
        <v>2</v>
      </c>
      <c r="F135" s="1119">
        <v>3</v>
      </c>
      <c r="G135" s="1119">
        <v>4.1000000000000002E-2</v>
      </c>
      <c r="H135" s="1119">
        <v>0.05</v>
      </c>
    </row>
    <row r="136" spans="1:8" s="1108" customFormat="1" ht="13.5" customHeight="1" x14ac:dyDescent="0.25">
      <c r="A136" s="1119" t="s">
        <v>1028</v>
      </c>
      <c r="B136" s="1119">
        <v>300</v>
      </c>
      <c r="C136" s="1123">
        <v>1.05</v>
      </c>
      <c r="D136" s="1124">
        <v>7.5999999999999998E-2</v>
      </c>
      <c r="E136" s="1119">
        <v>3</v>
      </c>
      <c r="F136" s="1119">
        <v>12</v>
      </c>
      <c r="G136" s="1119">
        <v>0.08</v>
      </c>
      <c r="H136" s="1119">
        <v>0.12</v>
      </c>
    </row>
    <row r="137" spans="1:8" s="1108" customFormat="1" ht="13.5" customHeight="1" x14ac:dyDescent="0.25">
      <c r="A137" s="1119" t="s">
        <v>1006</v>
      </c>
      <c r="B137" s="1119">
        <v>200</v>
      </c>
      <c r="C137" s="1123">
        <v>1.05</v>
      </c>
      <c r="D137" s="1124">
        <v>6.4000000000000001E-2</v>
      </c>
      <c r="E137" s="1119">
        <v>3</v>
      </c>
      <c r="F137" s="1119">
        <v>12</v>
      </c>
      <c r="G137" s="1119">
        <v>7.0000000000000007E-2</v>
      </c>
      <c r="H137" s="1119">
        <v>0.09</v>
      </c>
    </row>
    <row r="138" spans="1:8" s="1108" customFormat="1" ht="13.5" customHeight="1" x14ac:dyDescent="0.25">
      <c r="A138" s="1119" t="s">
        <v>1029</v>
      </c>
      <c r="B138" s="1119">
        <v>80</v>
      </c>
      <c r="C138" s="1123">
        <v>1.806</v>
      </c>
      <c r="D138" s="1124">
        <v>3.4000000000000002E-2</v>
      </c>
      <c r="E138" s="1119">
        <v>5</v>
      </c>
      <c r="F138" s="1119">
        <v>15</v>
      </c>
      <c r="G138" s="1119">
        <v>0.04</v>
      </c>
      <c r="H138" s="1119">
        <v>5.3999999999999999E-2</v>
      </c>
    </row>
    <row r="139" spans="1:8" s="1108" customFormat="1" ht="13.5" customHeight="1" x14ac:dyDescent="0.25">
      <c r="A139" s="2529" t="s">
        <v>1030</v>
      </c>
      <c r="B139" s="1119" t="s">
        <v>1031</v>
      </c>
      <c r="C139" s="1123">
        <v>1.806</v>
      </c>
      <c r="D139" s="1124">
        <v>3.9E-2</v>
      </c>
      <c r="E139" s="1119">
        <v>0</v>
      </c>
      <c r="F139" s="1119">
        <v>0</v>
      </c>
      <c r="G139" s="1119">
        <v>3.9E-2</v>
      </c>
      <c r="H139" s="1119" t="s">
        <v>1036</v>
      </c>
    </row>
    <row r="140" spans="1:8" s="1108" customFormat="1" ht="13.5" customHeight="1" x14ac:dyDescent="0.25">
      <c r="A140" s="2529"/>
      <c r="B140" s="1119" t="s">
        <v>1032</v>
      </c>
      <c r="C140" s="1123" t="s">
        <v>1033</v>
      </c>
      <c r="D140" s="1124" t="s">
        <v>1034</v>
      </c>
      <c r="E140" s="1119" t="s">
        <v>1035</v>
      </c>
      <c r="F140" s="1119" t="s">
        <v>1035</v>
      </c>
      <c r="G140" s="1119" t="s">
        <v>1034</v>
      </c>
      <c r="H140" s="1119">
        <v>4.1000000000000002E-2</v>
      </c>
    </row>
    <row r="141" spans="1:8" s="1108" customFormat="1" ht="13.5" customHeight="1" x14ac:dyDescent="0.25">
      <c r="A141" s="1119" t="s">
        <v>1037</v>
      </c>
      <c r="B141" s="1119">
        <v>35</v>
      </c>
      <c r="C141" s="1123">
        <v>1.65</v>
      </c>
      <c r="D141" s="1124">
        <v>2.8000000000000001E-2</v>
      </c>
      <c r="E141" s="1119">
        <v>2</v>
      </c>
      <c r="F141" s="1119">
        <v>3</v>
      </c>
      <c r="G141" s="1119">
        <v>2.9000000000000001E-2</v>
      </c>
      <c r="H141" s="1119">
        <v>0.03</v>
      </c>
    </row>
    <row r="142" spans="1:8" s="1108" customFormat="1" ht="13.5" customHeight="1" x14ac:dyDescent="0.25">
      <c r="A142" s="1119" t="s">
        <v>1038</v>
      </c>
      <c r="B142" s="1119">
        <v>45</v>
      </c>
      <c r="C142" s="1123">
        <v>1.53</v>
      </c>
      <c r="D142" s="1124">
        <v>0.03</v>
      </c>
      <c r="E142" s="1119">
        <v>2</v>
      </c>
      <c r="F142" s="1119">
        <v>3</v>
      </c>
      <c r="G142" s="1119">
        <v>3.1E-2</v>
      </c>
      <c r="H142" s="1119">
        <v>3.2000000000000001E-2</v>
      </c>
    </row>
    <row r="143" spans="1:8" s="1108" customFormat="1" ht="13.5" customHeight="1" x14ac:dyDescent="0.25">
      <c r="A143" s="2523" t="s">
        <v>1039</v>
      </c>
      <c r="B143" s="2523"/>
      <c r="C143" s="2523"/>
      <c r="D143" s="2523"/>
      <c r="E143" s="2523"/>
      <c r="F143" s="2523"/>
      <c r="G143" s="2523"/>
      <c r="H143" s="2523"/>
    </row>
    <row r="144" spans="1:8" s="1108" customFormat="1" ht="13.5" customHeight="1" x14ac:dyDescent="0.25">
      <c r="A144" s="1119" t="s">
        <v>1040</v>
      </c>
      <c r="B144" s="1119">
        <v>125</v>
      </c>
      <c r="C144" s="1123">
        <v>0.84</v>
      </c>
      <c r="D144" s="1124">
        <v>4.3999999999999997E-2</v>
      </c>
      <c r="E144" s="1119">
        <v>2</v>
      </c>
      <c r="F144" s="1119">
        <v>5</v>
      </c>
      <c r="G144" s="1119">
        <v>6.4000000000000001E-2</v>
      </c>
      <c r="H144" s="1119">
        <v>7.0000000000000007E-2</v>
      </c>
    </row>
    <row r="145" spans="1:8" s="1108" customFormat="1" ht="13.5" customHeight="1" x14ac:dyDescent="0.25">
      <c r="A145" s="1119" t="s">
        <v>1041</v>
      </c>
      <c r="B145" s="1119">
        <v>100</v>
      </c>
      <c r="C145" s="1123">
        <v>0.84</v>
      </c>
      <c r="D145" s="1124">
        <v>4.3999999999999997E-2</v>
      </c>
      <c r="E145" s="1119">
        <v>2</v>
      </c>
      <c r="F145" s="1119">
        <v>5</v>
      </c>
      <c r="G145" s="1119">
        <v>6.0999999999999999E-2</v>
      </c>
      <c r="H145" s="1119">
        <v>6.7000000000000004E-2</v>
      </c>
    </row>
    <row r="146" spans="1:8" s="1108" customFormat="1" ht="13.5" customHeight="1" x14ac:dyDescent="0.25">
      <c r="A146" s="1119" t="s">
        <v>1006</v>
      </c>
      <c r="B146" s="1119">
        <v>75</v>
      </c>
      <c r="C146" s="1123">
        <v>0.84</v>
      </c>
      <c r="D146" s="1124">
        <v>4.5999999999999999E-2</v>
      </c>
      <c r="E146" s="1119">
        <v>2</v>
      </c>
      <c r="F146" s="1119">
        <v>5</v>
      </c>
      <c r="G146" s="1119">
        <v>5.8000000000000003E-2</v>
      </c>
      <c r="H146" s="1119">
        <v>6.4000000000000001E-2</v>
      </c>
    </row>
    <row r="147" spans="1:8" s="1108" customFormat="1" ht="13.5" customHeight="1" x14ac:dyDescent="0.25">
      <c r="A147" s="1119" t="s">
        <v>1042</v>
      </c>
      <c r="B147" s="1119">
        <v>225</v>
      </c>
      <c r="C147" s="1123">
        <v>0.84</v>
      </c>
      <c r="D147" s="1124">
        <v>5.3999999999999999E-2</v>
      </c>
      <c r="E147" s="1119">
        <v>2</v>
      </c>
      <c r="F147" s="1119">
        <v>5</v>
      </c>
      <c r="G147" s="1119">
        <v>7.1999999999999995E-2</v>
      </c>
      <c r="H147" s="1119">
        <v>8.2000000000000003E-2</v>
      </c>
    </row>
    <row r="148" spans="1:8" s="1108" customFormat="1" ht="13.5" customHeight="1" x14ac:dyDescent="0.25">
      <c r="A148" s="1119" t="s">
        <v>1006</v>
      </c>
      <c r="B148" s="1119">
        <v>175</v>
      </c>
      <c r="C148" s="1123">
        <v>0.84</v>
      </c>
      <c r="D148" s="1124">
        <v>5.1999999999999998E-2</v>
      </c>
      <c r="E148" s="1119">
        <v>2</v>
      </c>
      <c r="F148" s="1119">
        <v>5</v>
      </c>
      <c r="G148" s="1119">
        <v>6.6000000000000003E-2</v>
      </c>
      <c r="H148" s="1119">
        <v>7.5999999999999998E-2</v>
      </c>
    </row>
    <row r="149" spans="1:8" s="1108" customFormat="1" ht="13.5" customHeight="1" x14ac:dyDescent="0.25">
      <c r="A149" s="1123" t="s">
        <v>1003</v>
      </c>
      <c r="B149" s="1119">
        <v>125</v>
      </c>
      <c r="C149" s="1123">
        <v>0.84</v>
      </c>
      <c r="D149" s="1124">
        <v>4.9000000000000002E-2</v>
      </c>
      <c r="E149" s="1119">
        <v>2</v>
      </c>
      <c r="F149" s="1119">
        <v>5</v>
      </c>
      <c r="G149" s="1119">
        <v>6.4000000000000001E-2</v>
      </c>
      <c r="H149" s="1119">
        <v>7.0000000000000007E-2</v>
      </c>
    </row>
    <row r="150" spans="1:8" s="1108" customFormat="1" ht="13.5" customHeight="1" x14ac:dyDescent="0.25">
      <c r="A150" s="1123" t="s">
        <v>1003</v>
      </c>
      <c r="B150" s="1119">
        <v>75</v>
      </c>
      <c r="C150" s="1123">
        <v>0.84</v>
      </c>
      <c r="D150" s="1124">
        <v>4.7E-2</v>
      </c>
      <c r="E150" s="1119">
        <v>2</v>
      </c>
      <c r="F150" s="1119">
        <v>5</v>
      </c>
      <c r="G150" s="1119">
        <v>5.8000000000000003E-2</v>
      </c>
      <c r="H150" s="1119">
        <v>6.4000000000000001E-2</v>
      </c>
    </row>
    <row r="151" spans="1:8" s="1108" customFormat="1" ht="13.5" customHeight="1" x14ac:dyDescent="0.25">
      <c r="A151" s="1119" t="s">
        <v>1043</v>
      </c>
      <c r="B151" s="1119">
        <v>250</v>
      </c>
      <c r="C151" s="1123">
        <v>0.84</v>
      </c>
      <c r="D151" s="1124">
        <v>5.8000000000000003E-2</v>
      </c>
      <c r="E151" s="1119">
        <v>2</v>
      </c>
      <c r="F151" s="1119">
        <v>5</v>
      </c>
      <c r="G151" s="1119">
        <v>8.2000000000000003E-2</v>
      </c>
      <c r="H151" s="1119">
        <v>8.5000000000000006E-2</v>
      </c>
    </row>
    <row r="152" spans="1:8" s="1108" customFormat="1" ht="13.5" customHeight="1" x14ac:dyDescent="0.25">
      <c r="A152" s="1119" t="s">
        <v>1006</v>
      </c>
      <c r="B152" s="1119">
        <v>225</v>
      </c>
      <c r="C152" s="1123">
        <v>0.84</v>
      </c>
      <c r="D152" s="1124">
        <v>5.8000000000000003E-2</v>
      </c>
      <c r="E152" s="1119">
        <v>2</v>
      </c>
      <c r="F152" s="1119">
        <v>5</v>
      </c>
      <c r="G152" s="1119">
        <v>7.9000000000000001E-2</v>
      </c>
      <c r="H152" s="1119">
        <v>8.4000000000000005E-2</v>
      </c>
    </row>
    <row r="153" spans="1:8" s="1108" customFormat="1" ht="13.5" customHeight="1" x14ac:dyDescent="0.25">
      <c r="A153" s="1123" t="s">
        <v>1003</v>
      </c>
      <c r="B153" s="1119">
        <v>200</v>
      </c>
      <c r="C153" s="1123">
        <v>0.84</v>
      </c>
      <c r="D153" s="1124">
        <v>5.6000000000000001E-2</v>
      </c>
      <c r="E153" s="1119">
        <v>2</v>
      </c>
      <c r="F153" s="1119">
        <v>5</v>
      </c>
      <c r="G153" s="1119">
        <v>7.5999999999999998E-2</v>
      </c>
      <c r="H153" s="1119">
        <v>0.08</v>
      </c>
    </row>
    <row r="154" spans="1:8" s="1108" customFormat="1" ht="13.5" customHeight="1" x14ac:dyDescent="0.25">
      <c r="A154" s="1123" t="s">
        <v>1003</v>
      </c>
      <c r="B154" s="1119">
        <v>150</v>
      </c>
      <c r="C154" s="1123">
        <v>0.84</v>
      </c>
      <c r="D154" s="1124">
        <v>0.05</v>
      </c>
      <c r="E154" s="1119">
        <v>2</v>
      </c>
      <c r="F154" s="1119">
        <v>5</v>
      </c>
      <c r="G154" s="1119">
        <v>6.8000000000000005E-2</v>
      </c>
      <c r="H154" s="1119">
        <v>7.2999999999999995E-2</v>
      </c>
    </row>
    <row r="155" spans="1:8" s="1108" customFormat="1" ht="13.5" customHeight="1" x14ac:dyDescent="0.25">
      <c r="A155" s="1123" t="s">
        <v>1003</v>
      </c>
      <c r="B155" s="1119">
        <v>125</v>
      </c>
      <c r="C155" s="1123">
        <v>0.84</v>
      </c>
      <c r="D155" s="1124">
        <v>4.9000000000000002E-2</v>
      </c>
      <c r="E155" s="1119">
        <v>2</v>
      </c>
      <c r="F155" s="1119">
        <v>5</v>
      </c>
      <c r="G155" s="1119">
        <v>6.4000000000000001E-2</v>
      </c>
      <c r="H155" s="1119">
        <v>6.9000000000000006E-2</v>
      </c>
    </row>
    <row r="156" spans="1:8" s="1108" customFormat="1" ht="13.5" customHeight="1" x14ac:dyDescent="0.25">
      <c r="A156" s="1123" t="s">
        <v>1003</v>
      </c>
      <c r="B156" s="1119">
        <v>100</v>
      </c>
      <c r="C156" s="1123">
        <v>0.84</v>
      </c>
      <c r="D156" s="1124">
        <v>4.3999999999999997E-2</v>
      </c>
      <c r="E156" s="1119">
        <v>2</v>
      </c>
      <c r="F156" s="1119">
        <v>5</v>
      </c>
      <c r="G156" s="1119">
        <v>0.06</v>
      </c>
      <c r="H156" s="1119">
        <v>6.5000000000000002E-2</v>
      </c>
    </row>
    <row r="157" spans="1:8" s="1108" customFormat="1" ht="13.5" customHeight="1" x14ac:dyDescent="0.25">
      <c r="A157" s="1123" t="s">
        <v>1003</v>
      </c>
      <c r="B157" s="1119">
        <v>75</v>
      </c>
      <c r="C157" s="1123">
        <v>0.84</v>
      </c>
      <c r="D157" s="1124">
        <v>4.5999999999999999E-2</v>
      </c>
      <c r="E157" s="1119">
        <v>2</v>
      </c>
      <c r="F157" s="1119">
        <v>5</v>
      </c>
      <c r="G157" s="1119">
        <v>5.6000000000000001E-2</v>
      </c>
      <c r="H157" s="1119">
        <v>6.3E-2</v>
      </c>
    </row>
    <row r="158" spans="1:8" s="1108" customFormat="1" ht="13.5" customHeight="1" x14ac:dyDescent="0.25">
      <c r="A158" s="1119" t="s">
        <v>1044</v>
      </c>
      <c r="B158" s="1119">
        <v>180</v>
      </c>
      <c r="C158" s="1123">
        <v>0.84</v>
      </c>
      <c r="D158" s="1124">
        <v>3.7999999999999999E-2</v>
      </c>
      <c r="E158" s="1119">
        <v>2</v>
      </c>
      <c r="F158" s="1119">
        <v>5</v>
      </c>
      <c r="G158" s="1119">
        <v>4.4999999999999998E-2</v>
      </c>
      <c r="H158" s="1119">
        <v>4.8000000000000001E-2</v>
      </c>
    </row>
    <row r="159" spans="1:8" s="1108" customFormat="1" ht="13.5" customHeight="1" x14ac:dyDescent="0.25">
      <c r="A159" s="1119" t="s">
        <v>1006</v>
      </c>
      <c r="B159" s="1119" t="s">
        <v>1045</v>
      </c>
      <c r="C159" s="1123">
        <v>0.84</v>
      </c>
      <c r="D159" s="1124">
        <v>3.6999999999999998E-2</v>
      </c>
      <c r="E159" s="1119">
        <v>2</v>
      </c>
      <c r="F159" s="1119">
        <v>5</v>
      </c>
      <c r="G159" s="1119">
        <v>4.2999999999999997E-2</v>
      </c>
      <c r="H159" s="1119">
        <v>4.5999999999999999E-2</v>
      </c>
    </row>
    <row r="160" spans="1:8" s="1108" customFormat="1" ht="13.5" customHeight="1" x14ac:dyDescent="0.25">
      <c r="A160" s="1123" t="s">
        <v>1003</v>
      </c>
      <c r="B160" s="1119" t="s">
        <v>1046</v>
      </c>
      <c r="C160" s="1123">
        <v>0.84</v>
      </c>
      <c r="D160" s="1124">
        <v>3.5999999999999997E-2</v>
      </c>
      <c r="E160" s="1119">
        <v>2</v>
      </c>
      <c r="F160" s="1119">
        <v>5</v>
      </c>
      <c r="G160" s="1119">
        <v>4.2000000000000003E-2</v>
      </c>
      <c r="H160" s="1119">
        <v>4.4999999999999998E-2</v>
      </c>
    </row>
    <row r="161" spans="1:8" s="1108" customFormat="1" ht="13.5" customHeight="1" x14ac:dyDescent="0.25">
      <c r="A161" s="1123" t="s">
        <v>1003</v>
      </c>
      <c r="B161" s="1119" t="s">
        <v>1047</v>
      </c>
      <c r="C161" s="1123">
        <v>0.84</v>
      </c>
      <c r="D161" s="1124">
        <v>3.5000000000000003E-2</v>
      </c>
      <c r="E161" s="1119">
        <v>2</v>
      </c>
      <c r="F161" s="1119">
        <v>5</v>
      </c>
      <c r="G161" s="1119">
        <v>4.1000000000000002E-2</v>
      </c>
      <c r="H161" s="1119">
        <v>4.3999999999999997E-2</v>
      </c>
    </row>
    <row r="162" spans="1:8" s="1108" customFormat="1" ht="13.5" customHeight="1" x14ac:dyDescent="0.25">
      <c r="A162" s="1125"/>
      <c r="B162" s="1125"/>
      <c r="C162" s="1125"/>
      <c r="D162" s="1125"/>
      <c r="E162" s="1125"/>
      <c r="F162" s="1125"/>
      <c r="G162" s="1125"/>
      <c r="H162" s="1125"/>
    </row>
    <row r="163" spans="1:8" s="1108" customFormat="1" ht="13.5" customHeight="1" x14ac:dyDescent="0.25">
      <c r="A163" s="1123" t="s">
        <v>1003</v>
      </c>
      <c r="B163" s="1119" t="s">
        <v>1048</v>
      </c>
      <c r="C163" s="1123">
        <v>0.84</v>
      </c>
      <c r="D163" s="1124">
        <v>3.5999999999999997E-2</v>
      </c>
      <c r="E163" s="1119">
        <v>2</v>
      </c>
      <c r="F163" s="1119">
        <v>5</v>
      </c>
      <c r="G163" s="1119">
        <v>4.2000000000000003E-2</v>
      </c>
      <c r="H163" s="1119">
        <v>4.4999999999999998E-2</v>
      </c>
    </row>
    <row r="164" spans="1:8" s="1108" customFormat="1" ht="13.5" customHeight="1" x14ac:dyDescent="0.25">
      <c r="A164" s="1119" t="s">
        <v>1049</v>
      </c>
      <c r="B164" s="1119">
        <v>200</v>
      </c>
      <c r="C164" s="1123">
        <v>0.84</v>
      </c>
      <c r="D164" s="1124">
        <v>6.4000000000000001E-2</v>
      </c>
      <c r="E164" s="1119">
        <v>1</v>
      </c>
      <c r="F164" s="1119">
        <v>2</v>
      </c>
      <c r="G164" s="1119">
        <v>7.0000000000000007E-2</v>
      </c>
      <c r="H164" s="1119">
        <v>7.5999999999999998E-2</v>
      </c>
    </row>
    <row r="165" spans="1:8" s="1108" customFormat="1" ht="13.5" customHeight="1" x14ac:dyDescent="0.25">
      <c r="A165" s="1119" t="s">
        <v>1050</v>
      </c>
      <c r="B165" s="1119">
        <v>200</v>
      </c>
      <c r="C165" s="1123">
        <v>0.84</v>
      </c>
      <c r="D165" s="1124">
        <v>7.0000000000000007E-2</v>
      </c>
      <c r="E165" s="1119">
        <v>2</v>
      </c>
      <c r="F165" s="1119">
        <v>5</v>
      </c>
      <c r="G165" s="1119">
        <v>7.5999999999999998E-2</v>
      </c>
      <c r="H165" s="1119">
        <v>0.08</v>
      </c>
    </row>
    <row r="166" spans="1:8" s="1108" customFormat="1" ht="13.5" customHeight="1" x14ac:dyDescent="0.25">
      <c r="A166" s="1119" t="s">
        <v>1006</v>
      </c>
      <c r="B166" s="1119">
        <v>125</v>
      </c>
      <c r="C166" s="1123">
        <v>0.84</v>
      </c>
      <c r="D166" s="1124">
        <v>5.6000000000000001E-2</v>
      </c>
      <c r="E166" s="1119">
        <v>2</v>
      </c>
      <c r="F166" s="1119">
        <v>5</v>
      </c>
      <c r="G166" s="1119">
        <v>0.06</v>
      </c>
      <c r="H166" s="1119">
        <v>6.4000000000000001E-2</v>
      </c>
    </row>
    <row r="167" spans="1:8" s="1108" customFormat="1" ht="13.5" customHeight="1" x14ac:dyDescent="0.25">
      <c r="A167" s="1119" t="s">
        <v>1051</v>
      </c>
      <c r="B167" s="1119">
        <v>45</v>
      </c>
      <c r="C167" s="1123">
        <v>0.84</v>
      </c>
      <c r="D167" s="1124">
        <v>4.7E-2</v>
      </c>
      <c r="E167" s="1119">
        <v>2</v>
      </c>
      <c r="F167" s="1119">
        <v>5</v>
      </c>
      <c r="G167" s="1119">
        <v>0.06</v>
      </c>
      <c r="H167" s="1119">
        <v>6.4000000000000001E-2</v>
      </c>
    </row>
    <row r="168" spans="1:8" s="1108" customFormat="1" ht="13.5" customHeight="1" x14ac:dyDescent="0.25">
      <c r="A168" s="1119" t="s">
        <v>1052</v>
      </c>
      <c r="B168" s="1119">
        <v>150</v>
      </c>
      <c r="C168" s="1123">
        <v>0.84</v>
      </c>
      <c r="D168" s="1124">
        <v>6.0999999999999999E-2</v>
      </c>
      <c r="E168" s="1119">
        <v>2</v>
      </c>
      <c r="F168" s="1119">
        <v>5</v>
      </c>
      <c r="G168" s="1119">
        <v>6.4000000000000001E-2</v>
      </c>
      <c r="H168" s="1119">
        <v>7.0000000000000007E-2</v>
      </c>
    </row>
    <row r="169" spans="1:8" s="1108" customFormat="1" ht="13.5" customHeight="1" x14ac:dyDescent="0.25">
      <c r="A169" s="1119" t="s">
        <v>1053</v>
      </c>
      <c r="B169" s="1119">
        <v>25</v>
      </c>
      <c r="C169" s="1123">
        <v>0.84</v>
      </c>
      <c r="D169" s="1124">
        <v>0.04</v>
      </c>
      <c r="E169" s="1119">
        <v>2</v>
      </c>
      <c r="F169" s="1119">
        <v>5</v>
      </c>
      <c r="G169" s="1119">
        <v>4.2999999999999997E-2</v>
      </c>
      <c r="H169" s="1119">
        <v>0.05</v>
      </c>
    </row>
    <row r="170" spans="1:8" s="1108" customFormat="1" ht="13.5" customHeight="1" x14ac:dyDescent="0.25">
      <c r="A170" s="1119" t="s">
        <v>1006</v>
      </c>
      <c r="B170" s="1119">
        <v>17</v>
      </c>
      <c r="C170" s="1123">
        <v>0.84</v>
      </c>
      <c r="D170" s="1124">
        <v>4.3999999999999997E-2</v>
      </c>
      <c r="E170" s="1119">
        <v>2</v>
      </c>
      <c r="F170" s="1119">
        <v>5</v>
      </c>
      <c r="G170" s="1119">
        <v>4.5999999999999999E-2</v>
      </c>
      <c r="H170" s="1119">
        <v>5.2999999999999999E-2</v>
      </c>
    </row>
    <row r="171" spans="1:8" s="1108" customFormat="1" ht="13.5" customHeight="1" x14ac:dyDescent="0.25">
      <c r="A171" s="1123" t="s">
        <v>1003</v>
      </c>
      <c r="B171" s="1119">
        <v>15</v>
      </c>
      <c r="C171" s="1123">
        <v>0.84</v>
      </c>
      <c r="D171" s="1124">
        <v>4.5999999999999999E-2</v>
      </c>
      <c r="E171" s="1119">
        <v>2</v>
      </c>
      <c r="F171" s="1119">
        <v>5</v>
      </c>
      <c r="G171" s="1119">
        <v>4.8000000000000001E-2</v>
      </c>
      <c r="H171" s="1119">
        <v>5.2999999999999999E-2</v>
      </c>
    </row>
    <row r="172" spans="1:8" s="1108" customFormat="1" ht="13.5" customHeight="1" x14ac:dyDescent="0.25">
      <c r="A172" s="1123" t="s">
        <v>1003</v>
      </c>
      <c r="B172" s="1119">
        <v>11</v>
      </c>
      <c r="C172" s="1123">
        <v>0.84</v>
      </c>
      <c r="D172" s="1124">
        <v>4.8000000000000001E-2</v>
      </c>
      <c r="E172" s="1119">
        <v>2</v>
      </c>
      <c r="F172" s="1119">
        <v>5</v>
      </c>
      <c r="G172" s="1119">
        <v>0.05</v>
      </c>
      <c r="H172" s="1119">
        <v>5.5E-2</v>
      </c>
    </row>
    <row r="173" spans="1:8" s="1108" customFormat="1" ht="13.5" customHeight="1" x14ac:dyDescent="0.25">
      <c r="A173" s="1119" t="s">
        <v>1054</v>
      </c>
      <c r="B173" s="1119">
        <v>85</v>
      </c>
      <c r="C173" s="1123">
        <v>0.84</v>
      </c>
      <c r="D173" s="1124">
        <v>4.3999999999999997E-2</v>
      </c>
      <c r="E173" s="1119">
        <v>2</v>
      </c>
      <c r="F173" s="1119">
        <v>5</v>
      </c>
      <c r="G173" s="1119">
        <v>4.5999999999999999E-2</v>
      </c>
      <c r="H173" s="1119">
        <v>0.05</v>
      </c>
    </row>
    <row r="174" spans="1:8" s="1108" customFormat="1" ht="13.5" customHeight="1" x14ac:dyDescent="0.25">
      <c r="A174" s="1119" t="s">
        <v>1006</v>
      </c>
      <c r="B174" s="1119">
        <v>75</v>
      </c>
      <c r="C174" s="1123">
        <v>0.84</v>
      </c>
      <c r="D174" s="1124">
        <v>0.04</v>
      </c>
      <c r="E174" s="1119">
        <v>2</v>
      </c>
      <c r="F174" s="1119">
        <v>5</v>
      </c>
      <c r="G174" s="1119">
        <v>4.2000000000000003E-2</v>
      </c>
      <c r="H174" s="1119">
        <v>4.7E-2</v>
      </c>
    </row>
    <row r="175" spans="1:8" s="1108" customFormat="1" ht="13.5" customHeight="1" x14ac:dyDescent="0.25">
      <c r="A175" s="1123" t="s">
        <v>1003</v>
      </c>
      <c r="B175" s="1119">
        <v>60</v>
      </c>
      <c r="C175" s="1123">
        <v>0.84</v>
      </c>
      <c r="D175" s="1124">
        <v>3.7999999999999999E-2</v>
      </c>
      <c r="E175" s="1119">
        <v>2</v>
      </c>
      <c r="F175" s="1119">
        <v>5</v>
      </c>
      <c r="G175" s="1119">
        <v>0.04</v>
      </c>
      <c r="H175" s="1119">
        <v>4.4999999999999998E-2</v>
      </c>
    </row>
    <row r="176" spans="1:8" s="1108" customFormat="1" ht="13.5" customHeight="1" x14ac:dyDescent="0.25">
      <c r="A176" s="1123" t="s">
        <v>1003</v>
      </c>
      <c r="B176" s="1119">
        <v>45</v>
      </c>
      <c r="C176" s="1123">
        <v>0.84</v>
      </c>
      <c r="D176" s="1124">
        <v>3.9E-2</v>
      </c>
      <c r="E176" s="1119">
        <v>2</v>
      </c>
      <c r="F176" s="1119">
        <v>5</v>
      </c>
      <c r="G176" s="1119">
        <v>4.1000000000000002E-2</v>
      </c>
      <c r="H176" s="1119">
        <v>4.4999999999999998E-2</v>
      </c>
    </row>
    <row r="177" spans="1:8" s="1108" customFormat="1" ht="13.5" customHeight="1" x14ac:dyDescent="0.25">
      <c r="A177" s="1123" t="s">
        <v>1003</v>
      </c>
      <c r="B177" s="1119">
        <v>35</v>
      </c>
      <c r="C177" s="1123">
        <v>0.84</v>
      </c>
      <c r="D177" s="1124">
        <v>3.9E-2</v>
      </c>
      <c r="E177" s="1119">
        <v>2</v>
      </c>
      <c r="F177" s="1119">
        <v>5</v>
      </c>
      <c r="G177" s="1119">
        <v>4.1000000000000002E-2</v>
      </c>
      <c r="H177" s="1119">
        <v>4.5999999999999999E-2</v>
      </c>
    </row>
    <row r="178" spans="1:8" s="1108" customFormat="1" ht="13.5" customHeight="1" x14ac:dyDescent="0.25">
      <c r="A178" s="1123" t="s">
        <v>1003</v>
      </c>
      <c r="B178" s="1119">
        <v>30</v>
      </c>
      <c r="C178" s="1123">
        <v>0.84</v>
      </c>
      <c r="D178" s="1124">
        <v>0.04</v>
      </c>
      <c r="E178" s="1119">
        <v>2</v>
      </c>
      <c r="F178" s="1119">
        <v>5</v>
      </c>
      <c r="G178" s="1119">
        <v>4.2000000000000003E-2</v>
      </c>
      <c r="H178" s="1119">
        <v>4.5999999999999999E-2</v>
      </c>
    </row>
    <row r="179" spans="1:8" s="1108" customFormat="1" ht="13.5" customHeight="1" x14ac:dyDescent="0.25">
      <c r="A179" s="1123" t="s">
        <v>1003</v>
      </c>
      <c r="B179" s="1119">
        <v>20</v>
      </c>
      <c r="C179" s="1123">
        <v>0.84</v>
      </c>
      <c r="D179" s="1124">
        <v>0.04</v>
      </c>
      <c r="E179" s="1119">
        <v>2</v>
      </c>
      <c r="F179" s="1119">
        <v>5</v>
      </c>
      <c r="G179" s="1119">
        <v>4.2999999999999997E-2</v>
      </c>
      <c r="H179" s="1119">
        <v>4.8000000000000001E-2</v>
      </c>
    </row>
    <row r="180" spans="1:8" s="1108" customFormat="1" ht="13.5" customHeight="1" x14ac:dyDescent="0.25">
      <c r="A180" s="1123" t="s">
        <v>1003</v>
      </c>
      <c r="B180" s="1119">
        <v>17</v>
      </c>
      <c r="C180" s="1123">
        <v>0.84</v>
      </c>
      <c r="D180" s="1124">
        <v>4.3999999999999997E-2</v>
      </c>
      <c r="E180" s="1119">
        <v>2</v>
      </c>
      <c r="F180" s="1119">
        <v>5</v>
      </c>
      <c r="G180" s="1119">
        <v>4.7E-2</v>
      </c>
      <c r="H180" s="1119">
        <v>5.2999999999999999E-2</v>
      </c>
    </row>
    <row r="181" spans="1:8" s="1108" customFormat="1" ht="13.5" customHeight="1" x14ac:dyDescent="0.25">
      <c r="A181" s="1123" t="s">
        <v>1003</v>
      </c>
      <c r="B181" s="1119">
        <v>15</v>
      </c>
      <c r="C181" s="1123">
        <v>0.84</v>
      </c>
      <c r="D181" s="1124">
        <v>4.5999999999999999E-2</v>
      </c>
      <c r="E181" s="1119">
        <v>2</v>
      </c>
      <c r="F181" s="1119">
        <v>5</v>
      </c>
      <c r="G181" s="1119">
        <v>4.9000000000000002E-2</v>
      </c>
      <c r="H181" s="1119">
        <v>5.5E-2</v>
      </c>
    </row>
    <row r="182" spans="1:8" s="1108" customFormat="1" ht="13.5" customHeight="1" x14ac:dyDescent="0.25">
      <c r="A182" s="1119" t="s">
        <v>1055</v>
      </c>
      <c r="B182" s="1119">
        <v>400</v>
      </c>
      <c r="C182" s="1123">
        <v>0.84</v>
      </c>
      <c r="D182" s="1124">
        <v>0.11</v>
      </c>
      <c r="E182" s="1119">
        <v>1</v>
      </c>
      <c r="F182" s="1119">
        <v>2</v>
      </c>
      <c r="G182" s="1119">
        <v>0.12</v>
      </c>
      <c r="H182" s="1119">
        <v>0.14000000000000001</v>
      </c>
    </row>
    <row r="183" spans="1:8" s="1108" customFormat="1" ht="13.5" customHeight="1" x14ac:dyDescent="0.25">
      <c r="A183" s="1119" t="s">
        <v>1006</v>
      </c>
      <c r="B183" s="1119">
        <v>300</v>
      </c>
      <c r="C183" s="1123">
        <v>0.84</v>
      </c>
      <c r="D183" s="1124">
        <v>0.09</v>
      </c>
      <c r="E183" s="1119">
        <v>1</v>
      </c>
      <c r="F183" s="1119">
        <v>2</v>
      </c>
      <c r="G183" s="1119">
        <v>0.11</v>
      </c>
      <c r="H183" s="1119">
        <v>0.12</v>
      </c>
    </row>
    <row r="184" spans="1:8" s="1108" customFormat="1" ht="13.5" customHeight="1" x14ac:dyDescent="0.25">
      <c r="A184" s="1123" t="s">
        <v>1003</v>
      </c>
      <c r="B184" s="1119">
        <v>200</v>
      </c>
      <c r="C184" s="1123">
        <v>0.84</v>
      </c>
      <c r="D184" s="1124">
        <v>7.0000000000000007E-2</v>
      </c>
      <c r="E184" s="1119">
        <v>1</v>
      </c>
      <c r="F184" s="1119">
        <v>2</v>
      </c>
      <c r="G184" s="1119">
        <v>0.08</v>
      </c>
      <c r="H184" s="1119">
        <v>0.09</v>
      </c>
    </row>
    <row r="185" spans="1:8" s="1108" customFormat="1" ht="13.5" customHeight="1" x14ac:dyDescent="0.25">
      <c r="A185" s="2523" t="s">
        <v>1056</v>
      </c>
      <c r="B185" s="2523"/>
      <c r="C185" s="2523"/>
      <c r="D185" s="2523"/>
      <c r="E185" s="2523"/>
      <c r="F185" s="2523"/>
      <c r="G185" s="2523"/>
      <c r="H185" s="2523"/>
    </row>
    <row r="186" spans="1:8" s="1108" customFormat="1" ht="13.5" customHeight="1" x14ac:dyDescent="0.25">
      <c r="A186" s="1119" t="s">
        <v>1057</v>
      </c>
      <c r="B186" s="1119">
        <v>1000</v>
      </c>
      <c r="C186" s="1123">
        <v>2.2999999999999998</v>
      </c>
      <c r="D186" s="1124">
        <v>0.15</v>
      </c>
      <c r="E186" s="1119">
        <v>10</v>
      </c>
      <c r="F186" s="1119">
        <v>12</v>
      </c>
      <c r="G186" s="1119">
        <v>0.23</v>
      </c>
      <c r="H186" s="1119">
        <v>0.28999999999999998</v>
      </c>
    </row>
    <row r="187" spans="1:8" s="1108" customFormat="1" ht="13.5" customHeight="1" x14ac:dyDescent="0.25">
      <c r="A187" s="1119" t="s">
        <v>1006</v>
      </c>
      <c r="B187" s="1119">
        <v>800</v>
      </c>
      <c r="C187" s="1123">
        <v>2.2999999999999998</v>
      </c>
      <c r="D187" s="1124">
        <v>0.13</v>
      </c>
      <c r="E187" s="1119">
        <v>10</v>
      </c>
      <c r="F187" s="1119">
        <v>12</v>
      </c>
      <c r="G187" s="1119">
        <v>0.19</v>
      </c>
      <c r="H187" s="1119">
        <v>0.23</v>
      </c>
    </row>
    <row r="188" spans="1:8" s="1108" customFormat="1" ht="13.5" customHeight="1" x14ac:dyDescent="0.25">
      <c r="A188" s="1123" t="s">
        <v>1003</v>
      </c>
      <c r="B188" s="1119">
        <v>600</v>
      </c>
      <c r="C188" s="1123">
        <v>2.2999999999999998</v>
      </c>
      <c r="D188" s="1124">
        <v>0.11</v>
      </c>
      <c r="E188" s="1119">
        <v>10</v>
      </c>
      <c r="F188" s="1119">
        <v>12</v>
      </c>
      <c r="G188" s="1119">
        <v>0.13</v>
      </c>
      <c r="H188" s="1119">
        <v>0.16</v>
      </c>
    </row>
    <row r="189" spans="1:8" s="1108" customFormat="1" ht="13.5" customHeight="1" x14ac:dyDescent="0.25">
      <c r="A189" s="1123" t="s">
        <v>1003</v>
      </c>
      <c r="B189" s="1119">
        <v>400</v>
      </c>
      <c r="C189" s="1123">
        <v>2.2999999999999998</v>
      </c>
      <c r="D189" s="1124">
        <v>0.08</v>
      </c>
      <c r="E189" s="1119">
        <v>10</v>
      </c>
      <c r="F189" s="1119">
        <v>12</v>
      </c>
      <c r="G189" s="1119">
        <v>0.11</v>
      </c>
      <c r="H189" s="1119">
        <v>0.13</v>
      </c>
    </row>
    <row r="190" spans="1:8" s="1108" customFormat="1" ht="13.5" customHeight="1" x14ac:dyDescent="0.25">
      <c r="A190" s="1119" t="s">
        <v>1058</v>
      </c>
      <c r="B190" s="1119">
        <v>200</v>
      </c>
      <c r="C190" s="1123">
        <v>2.2999999999999998</v>
      </c>
      <c r="D190" s="1124">
        <v>0.06</v>
      </c>
      <c r="E190" s="1119">
        <v>10</v>
      </c>
      <c r="F190" s="1119">
        <v>12</v>
      </c>
      <c r="G190" s="1119">
        <v>7.0000000000000007E-2</v>
      </c>
      <c r="H190" s="1119">
        <v>0.08</v>
      </c>
    </row>
    <row r="191" spans="1:8" s="1108" customFormat="1" ht="13.5" customHeight="1" x14ac:dyDescent="0.25">
      <c r="A191" s="1119" t="s">
        <v>1059</v>
      </c>
      <c r="B191" s="1119">
        <v>500</v>
      </c>
      <c r="C191" s="1123">
        <v>2.2999999999999998</v>
      </c>
      <c r="D191" s="1124">
        <v>9.5000000000000001E-2</v>
      </c>
      <c r="E191" s="1119">
        <v>10</v>
      </c>
      <c r="F191" s="1119">
        <v>15</v>
      </c>
      <c r="G191" s="1119">
        <v>0.15</v>
      </c>
      <c r="H191" s="1119">
        <v>0.19</v>
      </c>
    </row>
    <row r="192" spans="1:8" s="1108" customFormat="1" ht="13.5" customHeight="1" x14ac:dyDescent="0.25">
      <c r="A192" s="1119" t="s">
        <v>1006</v>
      </c>
      <c r="B192" s="1119">
        <v>450</v>
      </c>
      <c r="C192" s="1123">
        <v>2.2999999999999998</v>
      </c>
      <c r="D192" s="1124">
        <v>0.09</v>
      </c>
      <c r="E192" s="1119">
        <v>10</v>
      </c>
      <c r="F192" s="1119">
        <v>15</v>
      </c>
      <c r="G192" s="1119">
        <v>0.13500000000000001</v>
      </c>
      <c r="H192" s="1119">
        <v>0.17</v>
      </c>
    </row>
    <row r="193" spans="1:8" s="1108" customFormat="1" ht="13.5" customHeight="1" x14ac:dyDescent="0.25">
      <c r="A193" s="1123" t="s">
        <v>1003</v>
      </c>
      <c r="B193" s="1119">
        <v>400</v>
      </c>
      <c r="C193" s="1123">
        <v>2.2999999999999998</v>
      </c>
      <c r="D193" s="1124">
        <v>0.08</v>
      </c>
      <c r="E193" s="1119">
        <v>10</v>
      </c>
      <c r="F193" s="1119">
        <v>15</v>
      </c>
      <c r="G193" s="1119">
        <v>0.13</v>
      </c>
      <c r="H193" s="1119">
        <v>0.16</v>
      </c>
    </row>
    <row r="194" spans="1:8" s="1108" customFormat="1" ht="13.5" customHeight="1" x14ac:dyDescent="0.25">
      <c r="A194" s="1119" t="s">
        <v>1060</v>
      </c>
      <c r="B194" s="1119">
        <v>300</v>
      </c>
      <c r="C194" s="1123">
        <v>2.2999999999999998</v>
      </c>
      <c r="D194" s="1124">
        <v>7.0000000000000007E-2</v>
      </c>
      <c r="E194" s="1119">
        <v>10</v>
      </c>
      <c r="F194" s="1119">
        <v>15</v>
      </c>
      <c r="G194" s="1119">
        <v>0.09</v>
      </c>
      <c r="H194" s="1119">
        <v>0.14000000000000001</v>
      </c>
    </row>
    <row r="195" spans="1:8" s="1108" customFormat="1" ht="13.5" customHeight="1" x14ac:dyDescent="0.25">
      <c r="A195" s="1119" t="s">
        <v>1006</v>
      </c>
      <c r="B195" s="1119">
        <v>200</v>
      </c>
      <c r="C195" s="1123">
        <v>2.2999999999999998</v>
      </c>
      <c r="D195" s="1124">
        <v>0.06</v>
      </c>
      <c r="E195" s="1119">
        <v>10</v>
      </c>
      <c r="F195" s="1119">
        <v>15</v>
      </c>
      <c r="G195" s="1119">
        <v>7.0000000000000007E-2</v>
      </c>
      <c r="H195" s="1119">
        <v>0.09</v>
      </c>
    </row>
    <row r="196" spans="1:8" s="1108" customFormat="1" ht="13.5" customHeight="1" x14ac:dyDescent="0.25">
      <c r="A196" s="1119" t="s">
        <v>1061</v>
      </c>
      <c r="B196" s="1119">
        <v>300</v>
      </c>
      <c r="C196" s="1123">
        <v>2.2999999999999998</v>
      </c>
      <c r="D196" s="1124">
        <v>6.4000000000000001E-2</v>
      </c>
      <c r="E196" s="1119">
        <v>15</v>
      </c>
      <c r="F196" s="1119">
        <v>20</v>
      </c>
      <c r="G196" s="1119">
        <v>7.0000000000000007E-2</v>
      </c>
      <c r="H196" s="1119">
        <v>0.08</v>
      </c>
    </row>
    <row r="197" spans="1:8" s="1108" customFormat="1" ht="13.5" customHeight="1" x14ac:dyDescent="0.25">
      <c r="A197" s="1119" t="s">
        <v>1006</v>
      </c>
      <c r="B197" s="1119">
        <v>200</v>
      </c>
      <c r="C197" s="1123">
        <v>2.2999999999999998</v>
      </c>
      <c r="D197" s="1124">
        <v>5.1999999999999998E-2</v>
      </c>
      <c r="E197" s="1119">
        <v>15</v>
      </c>
      <c r="F197" s="1119">
        <v>20</v>
      </c>
      <c r="G197" s="1119">
        <v>0.06</v>
      </c>
      <c r="H197" s="1119">
        <v>6.4000000000000001E-2</v>
      </c>
    </row>
    <row r="198" spans="1:8" s="1108" customFormat="1" ht="13.5" customHeight="1" x14ac:dyDescent="0.25">
      <c r="A198" s="1119" t="s">
        <v>1062</v>
      </c>
      <c r="B198" s="1119">
        <v>150</v>
      </c>
      <c r="C198" s="1123">
        <v>2.2999999999999998</v>
      </c>
      <c r="D198" s="1124">
        <v>0.05</v>
      </c>
      <c r="E198" s="1119">
        <v>7</v>
      </c>
      <c r="F198" s="1119">
        <v>12</v>
      </c>
      <c r="G198" s="1119">
        <v>0.06</v>
      </c>
      <c r="H198" s="1119">
        <v>7.0000000000000007E-2</v>
      </c>
    </row>
    <row r="199" spans="1:8" s="1108" customFormat="1" ht="13.5" customHeight="1" x14ac:dyDescent="0.25">
      <c r="A199" s="1119" t="s">
        <v>1063</v>
      </c>
      <c r="B199" s="1119">
        <v>1350</v>
      </c>
      <c r="C199" s="1123">
        <v>0.84</v>
      </c>
      <c r="D199" s="1124">
        <v>0.35</v>
      </c>
      <c r="E199" s="1119">
        <v>4</v>
      </c>
      <c r="F199" s="1119">
        <v>6</v>
      </c>
      <c r="G199" s="1119">
        <v>0.5</v>
      </c>
      <c r="H199" s="1119">
        <v>0.56000000000000005</v>
      </c>
    </row>
    <row r="200" spans="1:8" s="1108" customFormat="1" ht="13.5" customHeight="1" x14ac:dyDescent="0.25">
      <c r="A200" s="1119" t="s">
        <v>1006</v>
      </c>
      <c r="B200" s="1119">
        <v>1100</v>
      </c>
      <c r="C200" s="1123">
        <v>0.84</v>
      </c>
      <c r="D200" s="1124">
        <v>0.23</v>
      </c>
      <c r="E200" s="1119">
        <v>4</v>
      </c>
      <c r="F200" s="1119">
        <v>6</v>
      </c>
      <c r="G200" s="1119">
        <v>0.35</v>
      </c>
      <c r="H200" s="1119">
        <v>0.41</v>
      </c>
    </row>
    <row r="201" spans="1:8" s="1108" customFormat="1" ht="13.5" customHeight="1" x14ac:dyDescent="0.25">
      <c r="A201" s="1119" t="s">
        <v>1064</v>
      </c>
      <c r="B201" s="1119">
        <v>1050</v>
      </c>
      <c r="C201" s="1123">
        <v>0.84</v>
      </c>
      <c r="D201" s="1124">
        <v>0.15</v>
      </c>
      <c r="E201" s="1119">
        <v>4</v>
      </c>
      <c r="F201" s="1119">
        <v>6</v>
      </c>
      <c r="G201" s="1119">
        <v>0.34</v>
      </c>
      <c r="H201" s="1119">
        <v>0.36</v>
      </c>
    </row>
    <row r="202" spans="1:8" s="1108" customFormat="1" ht="13.5" customHeight="1" x14ac:dyDescent="0.25">
      <c r="A202" s="1119" t="s">
        <v>1006</v>
      </c>
      <c r="B202" s="1119">
        <v>800</v>
      </c>
      <c r="C202" s="1123">
        <v>0.84</v>
      </c>
      <c r="D202" s="1124">
        <v>0.15</v>
      </c>
      <c r="E202" s="1119">
        <v>4</v>
      </c>
      <c r="F202" s="1119">
        <v>6</v>
      </c>
      <c r="G202" s="1119">
        <v>0.19</v>
      </c>
      <c r="H202" s="1119">
        <v>0.21</v>
      </c>
    </row>
    <row r="203" spans="1:8" s="1108" customFormat="1" ht="13.5" customHeight="1" x14ac:dyDescent="0.25">
      <c r="A203" s="1119" t="s">
        <v>1065</v>
      </c>
      <c r="B203" s="1119">
        <v>300</v>
      </c>
      <c r="C203" s="1123">
        <v>1.68</v>
      </c>
      <c r="D203" s="1124">
        <v>8.6999999999999994E-2</v>
      </c>
      <c r="E203" s="1119">
        <v>1</v>
      </c>
      <c r="F203" s="1119">
        <v>2</v>
      </c>
      <c r="G203" s="1119">
        <v>0.09</v>
      </c>
      <c r="H203" s="1119">
        <v>9.9000000000000005E-2</v>
      </c>
    </row>
    <row r="204" spans="1:8" s="1108" customFormat="1" ht="13.5" customHeight="1" x14ac:dyDescent="0.25">
      <c r="A204" s="1119" t="s">
        <v>1006</v>
      </c>
      <c r="B204" s="1119">
        <v>250</v>
      </c>
      <c r="C204" s="1123">
        <v>1.68</v>
      </c>
      <c r="D204" s="1124">
        <v>8.2000000000000003E-2</v>
      </c>
      <c r="E204" s="1119">
        <v>1</v>
      </c>
      <c r="F204" s="1119">
        <v>2</v>
      </c>
      <c r="G204" s="1119">
        <v>8.5000000000000006E-2</v>
      </c>
      <c r="H204" s="1119">
        <v>9.9000000000000005E-2</v>
      </c>
    </row>
    <row r="205" spans="1:8" s="1108" customFormat="1" ht="13.5" customHeight="1" x14ac:dyDescent="0.25">
      <c r="A205" s="1125"/>
      <c r="B205" s="1125"/>
      <c r="C205" s="1125"/>
      <c r="D205" s="1125"/>
      <c r="E205" s="1125"/>
      <c r="F205" s="1125"/>
      <c r="G205" s="1125"/>
      <c r="H205" s="1125"/>
    </row>
    <row r="206" spans="1:8" s="1108" customFormat="1" ht="13.5" customHeight="1" x14ac:dyDescent="0.25">
      <c r="A206" s="1123" t="s">
        <v>1003</v>
      </c>
      <c r="B206" s="1119">
        <v>225</v>
      </c>
      <c r="C206" s="1123">
        <v>1.68</v>
      </c>
      <c r="D206" s="1124">
        <v>7.9000000000000001E-2</v>
      </c>
      <c r="E206" s="1119">
        <v>1</v>
      </c>
      <c r="F206" s="1119">
        <v>2</v>
      </c>
      <c r="G206" s="1119">
        <v>8.2000000000000003E-2</v>
      </c>
      <c r="H206" s="1119">
        <v>9.4E-2</v>
      </c>
    </row>
    <row r="207" spans="1:8" s="1108" customFormat="1" ht="13.5" customHeight="1" x14ac:dyDescent="0.25">
      <c r="A207" s="1123" t="s">
        <v>1003</v>
      </c>
      <c r="B207" s="1119">
        <v>200</v>
      </c>
      <c r="C207" s="1123">
        <v>1.68</v>
      </c>
      <c r="D207" s="1124">
        <v>7.5999999999999998E-2</v>
      </c>
      <c r="E207" s="1119">
        <v>1</v>
      </c>
      <c r="F207" s="1119">
        <v>2</v>
      </c>
      <c r="G207" s="1119">
        <v>7.8E-2</v>
      </c>
      <c r="H207" s="1119">
        <v>0.09</v>
      </c>
    </row>
    <row r="208" spans="1:8" s="1108" customFormat="1" ht="13.5" customHeight="1" x14ac:dyDescent="0.25">
      <c r="A208" s="2523" t="s">
        <v>1066</v>
      </c>
      <c r="B208" s="2523"/>
      <c r="C208" s="2523"/>
      <c r="D208" s="2523"/>
      <c r="E208" s="2523"/>
      <c r="F208" s="2523"/>
      <c r="G208" s="2523"/>
      <c r="H208" s="2523"/>
    </row>
    <row r="209" spans="1:8" s="1108" customFormat="1" ht="13.5" customHeight="1" x14ac:dyDescent="0.25">
      <c r="A209" s="1119" t="s">
        <v>1067</v>
      </c>
      <c r="B209" s="1119">
        <v>600</v>
      </c>
      <c r="C209" s="1123">
        <v>0.84</v>
      </c>
      <c r="D209" s="1124">
        <v>0.14000000000000001</v>
      </c>
      <c r="E209" s="1119">
        <v>2</v>
      </c>
      <c r="F209" s="1119">
        <v>3</v>
      </c>
      <c r="G209" s="1119">
        <v>0.17</v>
      </c>
      <c r="H209" s="1119">
        <v>0.19</v>
      </c>
    </row>
    <row r="210" spans="1:8" s="1108" customFormat="1" ht="13.5" customHeight="1" x14ac:dyDescent="0.25">
      <c r="A210" s="1119" t="s">
        <v>1006</v>
      </c>
      <c r="B210" s="1126">
        <v>500</v>
      </c>
      <c r="C210" s="1123">
        <v>0.84</v>
      </c>
      <c r="D210" s="1124">
        <v>0.14000000000000001</v>
      </c>
      <c r="E210" s="1119">
        <v>2</v>
      </c>
      <c r="F210" s="1119">
        <v>3</v>
      </c>
      <c r="G210" s="1119">
        <v>0.15</v>
      </c>
      <c r="H210" s="1119">
        <v>0.16500000000000001</v>
      </c>
    </row>
    <row r="211" spans="1:8" s="1108" customFormat="1" ht="13.5" customHeight="1" x14ac:dyDescent="0.25">
      <c r="A211" s="1123" t="s">
        <v>1003</v>
      </c>
      <c r="B211" s="1119">
        <v>450</v>
      </c>
      <c r="C211" s="1123">
        <v>0.84</v>
      </c>
      <c r="D211" s="1124">
        <v>0.13</v>
      </c>
      <c r="E211" s="1119">
        <v>2</v>
      </c>
      <c r="F211" s="1119">
        <v>3</v>
      </c>
      <c r="G211" s="1119">
        <v>0.14000000000000001</v>
      </c>
      <c r="H211" s="1119">
        <v>0.155</v>
      </c>
    </row>
    <row r="212" spans="1:8" s="1108" customFormat="1" ht="13.5" customHeight="1" x14ac:dyDescent="0.25">
      <c r="A212" s="1123" t="s">
        <v>1003</v>
      </c>
      <c r="B212" s="1119">
        <v>400</v>
      </c>
      <c r="C212" s="1123">
        <v>0.84</v>
      </c>
      <c r="D212" s="1124">
        <v>0.12</v>
      </c>
      <c r="E212" s="1119">
        <v>2</v>
      </c>
      <c r="F212" s="1119">
        <v>3</v>
      </c>
      <c r="G212" s="1119">
        <v>0.13</v>
      </c>
      <c r="H212" s="1119">
        <v>0.14499999999999999</v>
      </c>
    </row>
    <row r="213" spans="1:8" s="1108" customFormat="1" ht="13.5" customHeight="1" x14ac:dyDescent="0.25">
      <c r="A213" s="1123" t="s">
        <v>1003</v>
      </c>
      <c r="B213" s="1126">
        <v>350</v>
      </c>
      <c r="C213" s="1123">
        <v>0.84</v>
      </c>
      <c r="D213" s="1124">
        <v>0.115</v>
      </c>
      <c r="E213" s="1119">
        <v>2</v>
      </c>
      <c r="F213" s="1119">
        <v>3</v>
      </c>
      <c r="G213" s="1119">
        <v>0.125</v>
      </c>
      <c r="H213" s="1119">
        <v>0.14000000000000001</v>
      </c>
    </row>
    <row r="214" spans="1:8" s="1108" customFormat="1" ht="13.5" customHeight="1" x14ac:dyDescent="0.25">
      <c r="A214" s="1123" t="s">
        <v>1003</v>
      </c>
      <c r="B214" s="1126">
        <v>300</v>
      </c>
      <c r="C214" s="1123">
        <v>0.84</v>
      </c>
      <c r="D214" s="1124">
        <v>0.108</v>
      </c>
      <c r="E214" s="1119">
        <v>2</v>
      </c>
      <c r="F214" s="1119">
        <v>3</v>
      </c>
      <c r="G214" s="1119">
        <v>0.12</v>
      </c>
      <c r="H214" s="1119">
        <v>0.13</v>
      </c>
    </row>
    <row r="215" spans="1:8" s="1108" customFormat="1" ht="13.5" customHeight="1" x14ac:dyDescent="0.25">
      <c r="A215" s="1119" t="s">
        <v>1067</v>
      </c>
      <c r="B215" s="1119">
        <v>250</v>
      </c>
      <c r="C215" s="1123">
        <v>0.84</v>
      </c>
      <c r="D215" s="1124">
        <v>9.9000000000000005E-2</v>
      </c>
      <c r="E215" s="1119">
        <v>2</v>
      </c>
      <c r="F215" s="1119">
        <v>3</v>
      </c>
      <c r="G215" s="1119">
        <v>0.11</v>
      </c>
      <c r="H215" s="1119">
        <v>0.12</v>
      </c>
    </row>
    <row r="216" spans="1:8" s="1108" customFormat="1" ht="13.5" customHeight="1" x14ac:dyDescent="0.25">
      <c r="A216" s="1119" t="s">
        <v>1068</v>
      </c>
      <c r="B216" s="1126">
        <v>700</v>
      </c>
      <c r="C216" s="1123">
        <v>0.84</v>
      </c>
      <c r="D216" s="1124">
        <v>0.16</v>
      </c>
      <c r="E216" s="1119">
        <v>2</v>
      </c>
      <c r="F216" s="1119">
        <v>4</v>
      </c>
      <c r="G216" s="1119">
        <v>0.18</v>
      </c>
      <c r="H216" s="1119">
        <v>0.21</v>
      </c>
    </row>
    <row r="217" spans="1:8" s="1108" customFormat="1" ht="13.5" customHeight="1" x14ac:dyDescent="0.25">
      <c r="A217" s="1119" t="s">
        <v>1006</v>
      </c>
      <c r="B217" s="1119">
        <v>600</v>
      </c>
      <c r="C217" s="1123">
        <v>0.84</v>
      </c>
      <c r="D217" s="1124">
        <v>0.13</v>
      </c>
      <c r="E217" s="1119">
        <v>2</v>
      </c>
      <c r="F217" s="1119">
        <v>4</v>
      </c>
      <c r="G217" s="1119">
        <v>0.16</v>
      </c>
      <c r="H217" s="1119">
        <v>0.19</v>
      </c>
    </row>
    <row r="218" spans="1:8" s="1108" customFormat="1" ht="13.5" customHeight="1" x14ac:dyDescent="0.25">
      <c r="A218" s="1123" t="s">
        <v>1003</v>
      </c>
      <c r="B218" s="1126">
        <v>500</v>
      </c>
      <c r="C218" s="1123">
        <v>0.84</v>
      </c>
      <c r="D218" s="1124">
        <v>0.12</v>
      </c>
      <c r="E218" s="1119">
        <v>2</v>
      </c>
      <c r="F218" s="1119">
        <v>4</v>
      </c>
      <c r="G218" s="1119">
        <v>0.15</v>
      </c>
      <c r="H218" s="1119">
        <v>0.17499999999999999</v>
      </c>
    </row>
    <row r="219" spans="1:8" s="1108" customFormat="1" ht="13.5" customHeight="1" x14ac:dyDescent="0.25">
      <c r="A219" s="1123" t="s">
        <v>1003</v>
      </c>
      <c r="B219" s="1119">
        <v>450</v>
      </c>
      <c r="C219" s="1123">
        <v>0.84</v>
      </c>
      <c r="D219" s="1124">
        <v>0.11</v>
      </c>
      <c r="E219" s="1119">
        <v>2</v>
      </c>
      <c r="F219" s="1119">
        <v>4</v>
      </c>
      <c r="G219" s="1119">
        <v>0.14000000000000001</v>
      </c>
      <c r="H219" s="1119">
        <v>0.16</v>
      </c>
    </row>
    <row r="220" spans="1:8" s="1108" customFormat="1" ht="13.5" customHeight="1" x14ac:dyDescent="0.25">
      <c r="A220" s="1123" t="s">
        <v>1003</v>
      </c>
      <c r="B220" s="1119">
        <v>400</v>
      </c>
      <c r="C220" s="1123">
        <v>0.84</v>
      </c>
      <c r="D220" s="1124">
        <v>0.11</v>
      </c>
      <c r="E220" s="1119">
        <v>2</v>
      </c>
      <c r="F220" s="1119">
        <v>4</v>
      </c>
      <c r="G220" s="1119">
        <v>0.13</v>
      </c>
      <c r="H220" s="1119">
        <v>0.15</v>
      </c>
    </row>
    <row r="221" spans="1:8" s="1108" customFormat="1" ht="13.5" customHeight="1" x14ac:dyDescent="0.25">
      <c r="A221" s="1119" t="s">
        <v>1069</v>
      </c>
      <c r="B221" s="1119">
        <v>1000</v>
      </c>
      <c r="C221" s="1123">
        <v>0.84</v>
      </c>
      <c r="D221" s="1124">
        <v>0.21</v>
      </c>
      <c r="E221" s="1119">
        <v>2</v>
      </c>
      <c r="F221" s="1119">
        <v>3</v>
      </c>
      <c r="G221" s="1119">
        <v>0.24</v>
      </c>
      <c r="H221" s="1119">
        <v>0.31</v>
      </c>
    </row>
    <row r="222" spans="1:8" s="1108" customFormat="1" ht="13.5" customHeight="1" x14ac:dyDescent="0.25">
      <c r="A222" s="1119" t="s">
        <v>1070</v>
      </c>
      <c r="B222" s="1126">
        <v>900</v>
      </c>
      <c r="C222" s="1123">
        <v>0.84</v>
      </c>
      <c r="D222" s="1124">
        <v>0.19</v>
      </c>
      <c r="E222" s="1119">
        <v>2</v>
      </c>
      <c r="F222" s="1119">
        <v>3</v>
      </c>
      <c r="G222" s="1119">
        <v>0.23</v>
      </c>
      <c r="H222" s="1119">
        <v>0.3</v>
      </c>
    </row>
    <row r="223" spans="1:8" s="1108" customFormat="1" ht="13.5" customHeight="1" x14ac:dyDescent="0.25">
      <c r="A223" s="1119" t="s">
        <v>1006</v>
      </c>
      <c r="B223" s="1126">
        <v>800</v>
      </c>
      <c r="C223" s="1123">
        <v>0.84</v>
      </c>
      <c r="D223" s="1124">
        <v>0.18</v>
      </c>
      <c r="E223" s="1119">
        <v>2</v>
      </c>
      <c r="F223" s="1119">
        <v>3</v>
      </c>
      <c r="G223" s="1119">
        <v>0.21</v>
      </c>
      <c r="H223" s="1119">
        <v>0.26</v>
      </c>
    </row>
    <row r="224" spans="1:8" s="1108" customFormat="1" ht="13.5" customHeight="1" x14ac:dyDescent="0.25">
      <c r="A224" s="1123" t="s">
        <v>1003</v>
      </c>
      <c r="B224" s="1119">
        <v>700</v>
      </c>
      <c r="C224" s="1123">
        <v>0.84</v>
      </c>
      <c r="D224" s="1124">
        <v>0.16</v>
      </c>
      <c r="E224" s="1119">
        <v>2</v>
      </c>
      <c r="F224" s="1119">
        <v>3</v>
      </c>
      <c r="G224" s="1119">
        <v>0.19</v>
      </c>
      <c r="H224" s="1119">
        <v>0.23</v>
      </c>
    </row>
    <row r="225" spans="1:8" s="1108" customFormat="1" ht="13.5" customHeight="1" x14ac:dyDescent="0.25">
      <c r="A225" s="1123" t="s">
        <v>1003</v>
      </c>
      <c r="B225" s="1119">
        <v>600</v>
      </c>
      <c r="C225" s="1123">
        <v>0.84</v>
      </c>
      <c r="D225" s="1124">
        <v>0.15</v>
      </c>
      <c r="E225" s="1119">
        <v>2</v>
      </c>
      <c r="F225" s="1119">
        <v>3</v>
      </c>
      <c r="G225" s="1119">
        <v>0.18</v>
      </c>
      <c r="H225" s="1119">
        <v>0.21</v>
      </c>
    </row>
    <row r="226" spans="1:8" s="1108" customFormat="1" ht="13.5" customHeight="1" x14ac:dyDescent="0.25">
      <c r="A226" s="1123" t="s">
        <v>1003</v>
      </c>
      <c r="B226" s="1126">
        <v>500</v>
      </c>
      <c r="C226" s="1123">
        <v>0.84</v>
      </c>
      <c r="D226" s="1124">
        <v>0.14000000000000001</v>
      </c>
      <c r="E226" s="1119">
        <v>2</v>
      </c>
      <c r="F226" s="1119">
        <v>3</v>
      </c>
      <c r="G226" s="1119">
        <v>0.16</v>
      </c>
      <c r="H226" s="1119">
        <v>0.19</v>
      </c>
    </row>
    <row r="227" spans="1:8" s="1108" customFormat="1" ht="13.5" customHeight="1" x14ac:dyDescent="0.25">
      <c r="A227" s="1123" t="s">
        <v>1003</v>
      </c>
      <c r="B227" s="1119">
        <v>450</v>
      </c>
      <c r="C227" s="1123">
        <v>0.84</v>
      </c>
      <c r="D227" s="1124">
        <v>0.13</v>
      </c>
      <c r="E227" s="1119">
        <v>2</v>
      </c>
      <c r="F227" s="1119">
        <v>3</v>
      </c>
      <c r="G227" s="1119">
        <v>0.15</v>
      </c>
      <c r="H227" s="1119">
        <v>0.17</v>
      </c>
    </row>
    <row r="228" spans="1:8" s="1108" customFormat="1" ht="13.5" customHeight="1" x14ac:dyDescent="0.25">
      <c r="A228" s="1123" t="s">
        <v>1003</v>
      </c>
      <c r="B228" s="1119">
        <v>400</v>
      </c>
      <c r="C228" s="1123">
        <v>0.84</v>
      </c>
      <c r="D228" s="1124">
        <v>0.122</v>
      </c>
      <c r="E228" s="1119">
        <v>2</v>
      </c>
      <c r="F228" s="1119">
        <v>3</v>
      </c>
      <c r="G228" s="1119">
        <v>0.14000000000000001</v>
      </c>
      <c r="H228" s="1119">
        <v>0.16</v>
      </c>
    </row>
    <row r="229" spans="1:8" s="1108" customFormat="1" ht="13.5" customHeight="1" x14ac:dyDescent="0.25">
      <c r="A229" s="1119" t="s">
        <v>1071</v>
      </c>
      <c r="B229" s="1126">
        <v>500</v>
      </c>
      <c r="C229" s="1123">
        <v>0.84</v>
      </c>
      <c r="D229" s="1124">
        <v>0.09</v>
      </c>
      <c r="E229" s="1119">
        <v>1</v>
      </c>
      <c r="F229" s="1119">
        <v>2</v>
      </c>
      <c r="G229" s="1119">
        <v>0.1</v>
      </c>
      <c r="H229" s="1119">
        <v>0.11</v>
      </c>
    </row>
    <row r="230" spans="1:8" s="1108" customFormat="1" ht="13.5" customHeight="1" x14ac:dyDescent="0.25">
      <c r="A230" s="1119" t="s">
        <v>1006</v>
      </c>
      <c r="B230" s="1119">
        <v>400</v>
      </c>
      <c r="C230" s="1123">
        <v>0.84</v>
      </c>
      <c r="D230" s="1124">
        <v>7.5999999999999998E-2</v>
      </c>
      <c r="E230" s="1119">
        <v>1</v>
      </c>
      <c r="F230" s="1119">
        <v>2</v>
      </c>
      <c r="G230" s="1119">
        <v>8.6999999999999994E-2</v>
      </c>
      <c r="H230" s="1119">
        <v>9.5000000000000001E-2</v>
      </c>
    </row>
    <row r="231" spans="1:8" s="1108" customFormat="1" ht="13.5" customHeight="1" x14ac:dyDescent="0.25">
      <c r="A231" s="1123" t="s">
        <v>1003</v>
      </c>
      <c r="B231" s="1126">
        <v>350</v>
      </c>
      <c r="C231" s="1123">
        <v>0.84</v>
      </c>
      <c r="D231" s="1124">
        <v>7.0000000000000007E-2</v>
      </c>
      <c r="E231" s="1119">
        <v>1</v>
      </c>
      <c r="F231" s="1119">
        <v>2</v>
      </c>
      <c r="G231" s="1119">
        <v>8.1000000000000003E-2</v>
      </c>
      <c r="H231" s="1119">
        <v>8.5000000000000006E-2</v>
      </c>
    </row>
    <row r="232" spans="1:8" s="1108" customFormat="1" ht="13.5" customHeight="1" x14ac:dyDescent="0.25">
      <c r="A232" s="1123" t="s">
        <v>1003</v>
      </c>
      <c r="B232" s="1126">
        <v>300</v>
      </c>
      <c r="C232" s="1123">
        <v>0.84</v>
      </c>
      <c r="D232" s="1124">
        <v>6.4000000000000001E-2</v>
      </c>
      <c r="E232" s="1119">
        <v>1</v>
      </c>
      <c r="F232" s="1119">
        <v>2</v>
      </c>
      <c r="G232" s="1119">
        <v>7.5999999999999998E-2</v>
      </c>
      <c r="H232" s="1119">
        <v>0.08</v>
      </c>
    </row>
    <row r="233" spans="1:8" s="1108" customFormat="1" ht="13.5" customHeight="1" x14ac:dyDescent="0.25">
      <c r="A233" s="1119" t="s">
        <v>1072</v>
      </c>
      <c r="B233" s="1119">
        <v>200</v>
      </c>
      <c r="C233" s="1123">
        <v>0.84</v>
      </c>
      <c r="D233" s="1124">
        <v>6.5000000000000002E-2</v>
      </c>
      <c r="E233" s="1119">
        <v>1</v>
      </c>
      <c r="F233" s="1119">
        <v>3</v>
      </c>
      <c r="G233" s="1119">
        <v>0.08</v>
      </c>
      <c r="H233" s="1119">
        <v>9.5000000000000001E-2</v>
      </c>
    </row>
    <row r="234" spans="1:8" s="1108" customFormat="1" ht="13.5" customHeight="1" x14ac:dyDescent="0.25">
      <c r="A234" s="1119" t="s">
        <v>1006</v>
      </c>
      <c r="B234" s="1126">
        <v>150</v>
      </c>
      <c r="C234" s="1123">
        <v>0.84</v>
      </c>
      <c r="D234" s="1124">
        <v>0.06</v>
      </c>
      <c r="E234" s="1119">
        <v>1</v>
      </c>
      <c r="F234" s="1119">
        <v>3</v>
      </c>
      <c r="G234" s="1119">
        <v>7.3999999999999996E-2</v>
      </c>
      <c r="H234" s="1119">
        <v>9.8000000000000004E-2</v>
      </c>
    </row>
    <row r="235" spans="1:8" s="1108" customFormat="1" ht="13.5" customHeight="1" x14ac:dyDescent="0.25">
      <c r="A235" s="1123" t="s">
        <v>1003</v>
      </c>
      <c r="B235" s="1126">
        <v>100</v>
      </c>
      <c r="C235" s="1123">
        <v>0.84</v>
      </c>
      <c r="D235" s="1124">
        <v>5.5E-2</v>
      </c>
      <c r="E235" s="1119">
        <v>1</v>
      </c>
      <c r="F235" s="1119">
        <v>3</v>
      </c>
      <c r="G235" s="1119">
        <v>6.7000000000000004E-2</v>
      </c>
      <c r="H235" s="1119">
        <v>0.08</v>
      </c>
    </row>
    <row r="236" spans="1:8" s="1108" customFormat="1" ht="13.5" customHeight="1" x14ac:dyDescent="0.25">
      <c r="A236" s="1119" t="s">
        <v>1073</v>
      </c>
      <c r="B236" s="1119">
        <v>1600</v>
      </c>
      <c r="C236" s="1123">
        <v>0.84</v>
      </c>
      <c r="D236" s="1124">
        <v>0.35</v>
      </c>
      <c r="E236" s="1119">
        <v>1</v>
      </c>
      <c r="F236" s="1119">
        <v>2</v>
      </c>
      <c r="G236" s="1119">
        <v>0.47</v>
      </c>
      <c r="H236" s="1119">
        <v>0.57999999999999996</v>
      </c>
    </row>
    <row r="237" spans="1:8" s="1108" customFormat="1" ht="13.5" customHeight="1" x14ac:dyDescent="0.25">
      <c r="A237" s="2523" t="s">
        <v>1074</v>
      </c>
      <c r="B237" s="2523"/>
      <c r="C237" s="2523"/>
      <c r="D237" s="2523"/>
      <c r="E237" s="2523"/>
      <c r="F237" s="2523"/>
      <c r="G237" s="2523"/>
      <c r="H237" s="2523"/>
    </row>
    <row r="238" spans="1:8" s="1108" customFormat="1" ht="13.5" customHeight="1" x14ac:dyDescent="0.25">
      <c r="A238" s="1119" t="s">
        <v>1075</v>
      </c>
      <c r="B238" s="1119">
        <v>1400</v>
      </c>
      <c r="C238" s="1123">
        <v>0.84</v>
      </c>
      <c r="D238" s="1124">
        <v>0.41</v>
      </c>
      <c r="E238" s="1119">
        <v>2</v>
      </c>
      <c r="F238" s="1119">
        <v>4</v>
      </c>
      <c r="G238" s="1119">
        <v>0.52</v>
      </c>
      <c r="H238" s="1119">
        <v>0.64</v>
      </c>
    </row>
    <row r="239" spans="1:8" s="1108" customFormat="1" ht="13.5" customHeight="1" x14ac:dyDescent="0.25">
      <c r="A239" s="1119" t="s">
        <v>1006</v>
      </c>
      <c r="B239" s="1119">
        <v>1200</v>
      </c>
      <c r="C239" s="1123">
        <v>0.84</v>
      </c>
      <c r="D239" s="1124">
        <v>0.35</v>
      </c>
      <c r="E239" s="1119">
        <v>2</v>
      </c>
      <c r="F239" s="1119">
        <v>4</v>
      </c>
      <c r="G239" s="1119">
        <v>0.47</v>
      </c>
      <c r="H239" s="1119">
        <v>0.57999999999999996</v>
      </c>
    </row>
    <row r="240" spans="1:8" s="1108" customFormat="1" ht="13.5" customHeight="1" x14ac:dyDescent="0.25">
      <c r="A240" s="1119" t="s">
        <v>1076</v>
      </c>
      <c r="B240" s="1119">
        <v>1000</v>
      </c>
      <c r="C240" s="1123">
        <v>0.84</v>
      </c>
      <c r="D240" s="1124">
        <v>0.21</v>
      </c>
      <c r="E240" s="1119">
        <v>7</v>
      </c>
      <c r="F240" s="1119">
        <v>12</v>
      </c>
      <c r="G240" s="1119">
        <v>0.26</v>
      </c>
      <c r="H240" s="1119">
        <v>0.3</v>
      </c>
    </row>
    <row r="241" spans="1:8" s="1108" customFormat="1" ht="13.5" customHeight="1" x14ac:dyDescent="0.25">
      <c r="A241" s="1119" t="s">
        <v>1006</v>
      </c>
      <c r="B241" s="1126">
        <v>800</v>
      </c>
      <c r="C241" s="1123">
        <v>0.84</v>
      </c>
      <c r="D241" s="1124">
        <v>0.16</v>
      </c>
      <c r="E241" s="1119">
        <v>7</v>
      </c>
      <c r="F241" s="1119">
        <v>12</v>
      </c>
      <c r="G241" s="1119">
        <v>0.21</v>
      </c>
      <c r="H241" s="1119">
        <v>0.26</v>
      </c>
    </row>
    <row r="242" spans="1:8" s="1108" customFormat="1" ht="13.5" customHeight="1" x14ac:dyDescent="0.25">
      <c r="A242" s="1119" t="s">
        <v>1077</v>
      </c>
      <c r="B242" s="1119">
        <v>600</v>
      </c>
      <c r="C242" s="1123">
        <v>0.84</v>
      </c>
      <c r="D242" s="1124">
        <v>0.14000000000000001</v>
      </c>
      <c r="E242" s="1119">
        <v>10</v>
      </c>
      <c r="F242" s="1119">
        <v>15</v>
      </c>
      <c r="G242" s="1119">
        <v>0.19</v>
      </c>
      <c r="H242" s="1119">
        <v>0.23</v>
      </c>
    </row>
    <row r="243" spans="1:8" s="1108" customFormat="1" ht="13.5" customHeight="1" x14ac:dyDescent="0.25">
      <c r="A243" s="1119" t="s">
        <v>1078</v>
      </c>
      <c r="B243" s="1126">
        <v>500</v>
      </c>
      <c r="C243" s="1123">
        <v>0.84</v>
      </c>
      <c r="D243" s="1124">
        <v>0.12</v>
      </c>
      <c r="E243" s="1119">
        <v>6</v>
      </c>
      <c r="F243" s="1119">
        <v>10</v>
      </c>
      <c r="G243" s="1119">
        <v>0.15</v>
      </c>
      <c r="H243" s="1119">
        <v>0.19</v>
      </c>
    </row>
    <row r="244" spans="1:8" s="1108" customFormat="1" ht="13.5" customHeight="1" x14ac:dyDescent="0.25">
      <c r="A244" s="1119" t="s">
        <v>1006</v>
      </c>
      <c r="B244" s="1119">
        <v>400</v>
      </c>
      <c r="C244" s="1123">
        <v>0.84</v>
      </c>
      <c r="D244" s="1124">
        <v>0.09</v>
      </c>
      <c r="E244" s="1119">
        <v>6</v>
      </c>
      <c r="F244" s="1119">
        <v>10</v>
      </c>
      <c r="G244" s="1119">
        <v>0.13</v>
      </c>
      <c r="H244" s="1119">
        <v>0.15</v>
      </c>
    </row>
    <row r="245" spans="1:8" s="1108" customFormat="1" ht="13.5" customHeight="1" x14ac:dyDescent="0.25">
      <c r="A245" s="2527" t="s">
        <v>1079</v>
      </c>
      <c r="B245" s="2527"/>
      <c r="C245" s="2527"/>
      <c r="D245" s="2527"/>
      <c r="E245" s="2527"/>
      <c r="F245" s="2527"/>
      <c r="G245" s="2527"/>
      <c r="H245" s="2527"/>
    </row>
    <row r="246" spans="1:8" s="1108" customFormat="1" ht="13.5" customHeight="1" x14ac:dyDescent="0.25">
      <c r="A246" s="2531" t="s">
        <v>1080</v>
      </c>
      <c r="B246" s="2531"/>
      <c r="C246" s="2531"/>
      <c r="D246" s="2531"/>
      <c r="E246" s="2531"/>
      <c r="F246" s="2531"/>
      <c r="G246" s="2531"/>
      <c r="H246" s="2531"/>
    </row>
    <row r="247" spans="1:8" s="1108" customFormat="1" ht="13.5" customHeight="1" x14ac:dyDescent="0.25">
      <c r="A247" s="1119" t="s">
        <v>1081</v>
      </c>
      <c r="B247" s="1119">
        <v>1800</v>
      </c>
      <c r="C247" s="1123">
        <v>0.84</v>
      </c>
      <c r="D247" s="1124">
        <v>0.64</v>
      </c>
      <c r="E247" s="1119">
        <v>7</v>
      </c>
      <c r="F247" s="1119">
        <v>10</v>
      </c>
      <c r="G247" s="1119">
        <v>0.87</v>
      </c>
      <c r="H247" s="1119">
        <v>0.99</v>
      </c>
    </row>
    <row r="248" spans="1:8" s="1108" customFormat="1" ht="13.5" customHeight="1" x14ac:dyDescent="0.25">
      <c r="A248" s="1127" t="s">
        <v>1003</v>
      </c>
      <c r="B248" s="1119">
        <v>1600</v>
      </c>
      <c r="C248" s="1123">
        <v>0.84</v>
      </c>
      <c r="D248" s="1124">
        <v>0.52</v>
      </c>
      <c r="E248" s="1119">
        <v>7</v>
      </c>
      <c r="F248" s="1119">
        <v>10</v>
      </c>
      <c r="G248" s="1119">
        <v>0.7</v>
      </c>
      <c r="H248" s="1119">
        <v>0.81</v>
      </c>
    </row>
    <row r="249" spans="1:8" s="1108" customFormat="1" ht="13.5" customHeight="1" x14ac:dyDescent="0.25">
      <c r="A249" s="1127" t="s">
        <v>1003</v>
      </c>
      <c r="B249" s="1119">
        <v>1400</v>
      </c>
      <c r="C249" s="1123">
        <v>0.84</v>
      </c>
      <c r="D249" s="1124">
        <v>0.41</v>
      </c>
      <c r="E249" s="1119">
        <v>7</v>
      </c>
      <c r="F249" s="1119">
        <v>10</v>
      </c>
      <c r="G249" s="1119">
        <v>0.52</v>
      </c>
      <c r="H249" s="1119">
        <v>0.57999999999999996</v>
      </c>
    </row>
    <row r="250" spans="1:8" s="1108" customFormat="1" ht="13.5" customHeight="1" x14ac:dyDescent="0.25">
      <c r="A250" s="1127" t="s">
        <v>1003</v>
      </c>
      <c r="B250" s="1119">
        <v>1200</v>
      </c>
      <c r="C250" s="1123">
        <v>0.84</v>
      </c>
      <c r="D250" s="1124">
        <v>0.28999999999999998</v>
      </c>
      <c r="E250" s="1119">
        <v>7</v>
      </c>
      <c r="F250" s="1119">
        <v>10</v>
      </c>
      <c r="G250" s="1119">
        <v>0.41</v>
      </c>
      <c r="H250" s="1119">
        <v>0.47</v>
      </c>
    </row>
    <row r="251" spans="1:8" s="1108" customFormat="1" ht="13.5" customHeight="1" x14ac:dyDescent="0.25">
      <c r="A251" s="1119" t="s">
        <v>1082</v>
      </c>
      <c r="B251" s="1119">
        <v>1600</v>
      </c>
      <c r="C251" s="1123">
        <v>0.84</v>
      </c>
      <c r="D251" s="1124">
        <v>0.52</v>
      </c>
      <c r="E251" s="1119">
        <v>4</v>
      </c>
      <c r="F251" s="1119">
        <v>6</v>
      </c>
      <c r="G251" s="1119">
        <v>0.62</v>
      </c>
      <c r="H251" s="1119">
        <v>0.68</v>
      </c>
    </row>
    <row r="252" spans="1:8" s="1108" customFormat="1" ht="13.5" customHeight="1" x14ac:dyDescent="0.25">
      <c r="A252" s="1127" t="s">
        <v>1003</v>
      </c>
      <c r="B252" s="1119">
        <v>1400</v>
      </c>
      <c r="C252" s="1123">
        <v>0.84</v>
      </c>
      <c r="D252" s="1124">
        <v>0.42</v>
      </c>
      <c r="E252" s="1119">
        <v>4</v>
      </c>
      <c r="F252" s="1119">
        <v>6</v>
      </c>
      <c r="G252" s="1119">
        <v>0.49</v>
      </c>
      <c r="H252" s="1119">
        <v>0.54</v>
      </c>
    </row>
    <row r="253" spans="1:8" s="1108" customFormat="1" ht="13.5" customHeight="1" x14ac:dyDescent="0.25">
      <c r="A253" s="1127" t="s">
        <v>1003</v>
      </c>
      <c r="B253" s="1119">
        <v>1200</v>
      </c>
      <c r="C253" s="1123">
        <v>0.84</v>
      </c>
      <c r="D253" s="1124">
        <v>0.34</v>
      </c>
      <c r="E253" s="1119">
        <v>4</v>
      </c>
      <c r="F253" s="1119">
        <v>6</v>
      </c>
      <c r="G253" s="1119">
        <v>0.4</v>
      </c>
      <c r="H253" s="1119">
        <v>0.43</v>
      </c>
    </row>
    <row r="254" spans="1:8" s="1108" customFormat="1" ht="13.5" customHeight="1" x14ac:dyDescent="0.25">
      <c r="A254" s="1127" t="s">
        <v>1003</v>
      </c>
      <c r="B254" s="1119">
        <v>1000</v>
      </c>
      <c r="C254" s="1123">
        <v>0.84</v>
      </c>
      <c r="D254" s="1124">
        <v>0.26</v>
      </c>
      <c r="E254" s="1119">
        <v>4</v>
      </c>
      <c r="F254" s="1119">
        <v>6</v>
      </c>
      <c r="G254" s="1119">
        <v>0.3</v>
      </c>
      <c r="H254" s="1119">
        <v>0.34</v>
      </c>
    </row>
    <row r="255" spans="1:8" s="1108" customFormat="1" ht="13.5" customHeight="1" x14ac:dyDescent="0.25">
      <c r="A255" s="1127" t="s">
        <v>1003</v>
      </c>
      <c r="B255" s="1126">
        <v>800</v>
      </c>
      <c r="C255" s="1123">
        <v>0.84</v>
      </c>
      <c r="D255" s="1124">
        <v>0.19</v>
      </c>
      <c r="E255" s="1119">
        <v>4</v>
      </c>
      <c r="F255" s="1119">
        <v>6</v>
      </c>
      <c r="G255" s="1119">
        <v>0.22</v>
      </c>
      <c r="H255" s="1119">
        <v>0.26</v>
      </c>
    </row>
    <row r="256" spans="1:8" s="1108" customFormat="1" ht="13.5" customHeight="1" x14ac:dyDescent="0.25">
      <c r="A256" s="1119" t="s">
        <v>1083</v>
      </c>
      <c r="B256" s="1119">
        <v>1600</v>
      </c>
      <c r="C256" s="1123">
        <v>0.84</v>
      </c>
      <c r="D256" s="1124">
        <v>0.52</v>
      </c>
      <c r="E256" s="1119">
        <v>7</v>
      </c>
      <c r="F256" s="1119">
        <v>10</v>
      </c>
      <c r="G256" s="1119">
        <v>0.64</v>
      </c>
      <c r="H256" s="1119">
        <v>0.7</v>
      </c>
    </row>
    <row r="257" spans="1:8" s="1108" customFormat="1" ht="13.5" customHeight="1" x14ac:dyDescent="0.25">
      <c r="A257" s="1119" t="s">
        <v>1006</v>
      </c>
      <c r="B257" s="1119">
        <v>1400</v>
      </c>
      <c r="C257" s="1123">
        <v>0.84</v>
      </c>
      <c r="D257" s="1124">
        <v>0.41</v>
      </c>
      <c r="E257" s="1119">
        <v>7</v>
      </c>
      <c r="F257" s="1119">
        <v>10</v>
      </c>
      <c r="G257" s="1119">
        <v>0.52</v>
      </c>
      <c r="H257" s="1119">
        <v>0.57999999999999996</v>
      </c>
    </row>
    <row r="258" spans="1:8" s="1108" customFormat="1" ht="13.5" customHeight="1" x14ac:dyDescent="0.25">
      <c r="A258" s="1127" t="s">
        <v>1003</v>
      </c>
      <c r="B258" s="1119">
        <v>1200</v>
      </c>
      <c r="C258" s="1123">
        <v>0.84</v>
      </c>
      <c r="D258" s="1119">
        <v>0.33</v>
      </c>
      <c r="E258" s="1119">
        <v>7</v>
      </c>
      <c r="F258" s="1119">
        <v>10</v>
      </c>
      <c r="G258" s="1119">
        <v>0.41</v>
      </c>
      <c r="H258" s="1119">
        <v>0.47</v>
      </c>
    </row>
    <row r="259" spans="1:8" s="1108" customFormat="1" ht="13.5" customHeight="1" x14ac:dyDescent="0.25">
      <c r="A259" s="1127" t="s">
        <v>1003</v>
      </c>
      <c r="B259" s="1119">
        <v>1000</v>
      </c>
      <c r="C259" s="1123">
        <v>0.84</v>
      </c>
      <c r="D259" s="1119">
        <v>0.24</v>
      </c>
      <c r="E259" s="1119">
        <v>7</v>
      </c>
      <c r="F259" s="1119">
        <v>10</v>
      </c>
      <c r="G259" s="1119">
        <v>0.28999999999999998</v>
      </c>
      <c r="H259" s="1119">
        <v>0.35</v>
      </c>
    </row>
    <row r="260" spans="1:8" s="1108" customFormat="1" ht="13.5" customHeight="1" x14ac:dyDescent="0.25">
      <c r="A260" s="1127" t="s">
        <v>1003</v>
      </c>
      <c r="B260" s="1126">
        <v>800</v>
      </c>
      <c r="C260" s="1123">
        <v>0.84</v>
      </c>
      <c r="D260" s="1119">
        <v>0.2</v>
      </c>
      <c r="E260" s="1119">
        <v>7</v>
      </c>
      <c r="F260" s="1119">
        <v>10</v>
      </c>
      <c r="G260" s="1119">
        <v>0.23</v>
      </c>
      <c r="H260" s="1119">
        <v>0.28999999999999998</v>
      </c>
    </row>
    <row r="261" spans="1:8" s="1108" customFormat="1" ht="13.5" customHeight="1" x14ac:dyDescent="0.25">
      <c r="A261" s="2523" t="s">
        <v>1084</v>
      </c>
      <c r="B261" s="2523"/>
      <c r="C261" s="2523"/>
      <c r="D261" s="2523"/>
      <c r="E261" s="2523"/>
      <c r="F261" s="2523"/>
      <c r="G261" s="2523"/>
      <c r="H261" s="2523"/>
    </row>
    <row r="262" spans="1:8" s="1108" customFormat="1" ht="13.5" customHeight="1" x14ac:dyDescent="0.25">
      <c r="A262" s="1121" t="s">
        <v>1085</v>
      </c>
      <c r="B262" s="1119">
        <v>1800</v>
      </c>
      <c r="C262" s="1123">
        <v>0.84</v>
      </c>
      <c r="D262" s="1119">
        <v>0.66</v>
      </c>
      <c r="E262" s="1119">
        <v>5</v>
      </c>
      <c r="F262" s="1119">
        <v>10</v>
      </c>
      <c r="G262" s="1119">
        <v>0.8</v>
      </c>
      <c r="H262" s="1119">
        <v>0.92</v>
      </c>
    </row>
    <row r="263" spans="1:8" s="1108" customFormat="1" ht="13.5" customHeight="1" x14ac:dyDescent="0.25">
      <c r="A263" s="1121" t="s">
        <v>1085</v>
      </c>
      <c r="B263" s="1119">
        <v>1600</v>
      </c>
      <c r="C263" s="1123">
        <v>0.84</v>
      </c>
      <c r="D263" s="1119">
        <v>0.57999999999999996</v>
      </c>
      <c r="E263" s="1119">
        <v>5</v>
      </c>
      <c r="F263" s="1119">
        <v>10</v>
      </c>
      <c r="G263" s="1119">
        <v>0.67</v>
      </c>
      <c r="H263" s="1119">
        <v>0.79</v>
      </c>
    </row>
    <row r="264" spans="1:8" s="1108" customFormat="1" ht="13.5" customHeight="1" x14ac:dyDescent="0.25">
      <c r="A264" s="1121" t="s">
        <v>1085</v>
      </c>
      <c r="B264" s="1119">
        <v>1400</v>
      </c>
      <c r="C264" s="1123">
        <v>0.84</v>
      </c>
      <c r="D264" s="1119">
        <v>0.47</v>
      </c>
      <c r="E264" s="1119">
        <v>5</v>
      </c>
      <c r="F264" s="1119">
        <v>10</v>
      </c>
      <c r="G264" s="1119">
        <v>0.56000000000000005</v>
      </c>
      <c r="H264" s="1119">
        <v>0.65</v>
      </c>
    </row>
    <row r="265" spans="1:8" s="1108" customFormat="1" ht="13.5" customHeight="1" x14ac:dyDescent="0.25">
      <c r="A265" s="1121" t="s">
        <v>1085</v>
      </c>
      <c r="B265" s="1119">
        <v>1200</v>
      </c>
      <c r="C265" s="1123">
        <v>0.84</v>
      </c>
      <c r="D265" s="1119">
        <v>0.36</v>
      </c>
      <c r="E265" s="1119">
        <v>5</v>
      </c>
      <c r="F265" s="1119">
        <v>10</v>
      </c>
      <c r="G265" s="1119">
        <v>0.44</v>
      </c>
      <c r="H265" s="1119">
        <v>0.52</v>
      </c>
    </row>
    <row r="266" spans="1:8" s="1108" customFormat="1" ht="13.5" customHeight="1" x14ac:dyDescent="0.25">
      <c r="A266" s="1121" t="s">
        <v>1085</v>
      </c>
      <c r="B266" s="1119">
        <v>1000</v>
      </c>
      <c r="C266" s="1123">
        <v>0.84</v>
      </c>
      <c r="D266" s="1119">
        <v>0.27</v>
      </c>
      <c r="E266" s="1119">
        <v>5</v>
      </c>
      <c r="F266" s="1119">
        <v>10</v>
      </c>
      <c r="G266" s="1119">
        <v>0.33</v>
      </c>
      <c r="H266" s="1119">
        <v>0.41</v>
      </c>
    </row>
    <row r="267" spans="1:8" s="1108" customFormat="1" ht="13.5" customHeight="1" x14ac:dyDescent="0.25">
      <c r="A267" s="1121" t="s">
        <v>1085</v>
      </c>
      <c r="B267" s="1126">
        <v>800</v>
      </c>
      <c r="C267" s="1123">
        <v>0.84</v>
      </c>
      <c r="D267" s="1119">
        <v>0.21</v>
      </c>
      <c r="E267" s="1119">
        <v>5</v>
      </c>
      <c r="F267" s="1119">
        <v>10</v>
      </c>
      <c r="G267" s="1119">
        <v>0.24</v>
      </c>
      <c r="H267" s="1119">
        <v>0.31</v>
      </c>
    </row>
    <row r="268" spans="1:8" s="1108" customFormat="1" ht="13.5" customHeight="1" x14ac:dyDescent="0.25">
      <c r="A268" s="1121" t="s">
        <v>1085</v>
      </c>
      <c r="B268" s="1119">
        <v>600</v>
      </c>
      <c r="C268" s="1123">
        <v>0.84</v>
      </c>
      <c r="D268" s="1119">
        <v>0.16</v>
      </c>
      <c r="E268" s="1119">
        <v>5</v>
      </c>
      <c r="F268" s="1119">
        <v>10</v>
      </c>
      <c r="G268" s="1119">
        <v>0.2</v>
      </c>
      <c r="H268" s="1119">
        <v>0.26</v>
      </c>
    </row>
    <row r="269" spans="1:8" s="1108" customFormat="1" ht="13.5" customHeight="1" x14ac:dyDescent="0.25">
      <c r="A269" s="1121" t="s">
        <v>1085</v>
      </c>
      <c r="B269" s="1126">
        <v>500</v>
      </c>
      <c r="C269" s="1123">
        <v>0.84</v>
      </c>
      <c r="D269" s="1119">
        <v>0.14000000000000001</v>
      </c>
      <c r="E269" s="1119">
        <v>5</v>
      </c>
      <c r="F269" s="1119">
        <v>10</v>
      </c>
      <c r="G269" s="1119">
        <v>0.17</v>
      </c>
      <c r="H269" s="1119">
        <v>0.23</v>
      </c>
    </row>
    <row r="270" spans="1:8" s="1108" customFormat="1" ht="13.5" customHeight="1" x14ac:dyDescent="0.25">
      <c r="A270" s="1119" t="s">
        <v>1086</v>
      </c>
      <c r="B270" s="1119">
        <v>1200</v>
      </c>
      <c r="C270" s="1123">
        <v>0.84</v>
      </c>
      <c r="D270" s="1119">
        <v>0.41</v>
      </c>
      <c r="E270" s="1119">
        <v>4</v>
      </c>
      <c r="F270" s="1119">
        <v>8</v>
      </c>
      <c r="G270" s="1119">
        <v>0.52</v>
      </c>
      <c r="H270" s="1119">
        <v>0.57999999999999996</v>
      </c>
    </row>
    <row r="271" spans="1:8" s="1108" customFormat="1" ht="13.5" customHeight="1" x14ac:dyDescent="0.25">
      <c r="A271" s="1119" t="s">
        <v>1006</v>
      </c>
      <c r="B271" s="1119">
        <v>1000</v>
      </c>
      <c r="C271" s="1123">
        <v>0.84</v>
      </c>
      <c r="D271" s="1119">
        <v>0.33</v>
      </c>
      <c r="E271" s="1119">
        <v>4</v>
      </c>
      <c r="F271" s="1119">
        <v>8</v>
      </c>
      <c r="G271" s="1119">
        <v>0.41</v>
      </c>
      <c r="H271" s="1119">
        <v>0.47</v>
      </c>
    </row>
    <row r="272" spans="1:8" s="1108" customFormat="1" ht="13.5" customHeight="1" x14ac:dyDescent="0.25">
      <c r="A272" s="1127" t="s">
        <v>1003</v>
      </c>
      <c r="B272" s="1126">
        <v>800</v>
      </c>
      <c r="C272" s="1123">
        <v>0.84</v>
      </c>
      <c r="D272" s="1119">
        <v>0.23</v>
      </c>
      <c r="E272" s="1119">
        <v>4</v>
      </c>
      <c r="F272" s="1119">
        <v>8</v>
      </c>
      <c r="G272" s="1119">
        <v>0.28999999999999998</v>
      </c>
      <c r="H272" s="1119">
        <v>0.35</v>
      </c>
    </row>
    <row r="273" spans="1:8" s="1108" customFormat="1" ht="13.5" customHeight="1" x14ac:dyDescent="0.25">
      <c r="A273" s="1119" t="s">
        <v>1087</v>
      </c>
      <c r="B273" s="1119">
        <v>1000</v>
      </c>
      <c r="C273" s="1123">
        <v>0.84</v>
      </c>
      <c r="D273" s="1119">
        <v>0.28000000000000003</v>
      </c>
      <c r="E273" s="1119">
        <v>9</v>
      </c>
      <c r="F273" s="1119">
        <v>13</v>
      </c>
      <c r="G273" s="1119">
        <v>0.35</v>
      </c>
      <c r="H273" s="1119">
        <v>0.41</v>
      </c>
    </row>
    <row r="274" spans="1:8" s="1108" customFormat="1" ht="13.5" customHeight="1" x14ac:dyDescent="0.25">
      <c r="A274" s="1119" t="s">
        <v>1006</v>
      </c>
      <c r="B274" s="1126">
        <v>800</v>
      </c>
      <c r="C274" s="1123">
        <v>0.84</v>
      </c>
      <c r="D274" s="1119">
        <v>0.22</v>
      </c>
      <c r="E274" s="1119">
        <v>9</v>
      </c>
      <c r="F274" s="1119">
        <v>13</v>
      </c>
      <c r="G274" s="1119">
        <v>0.28999999999999998</v>
      </c>
      <c r="H274" s="1119">
        <v>0.35</v>
      </c>
    </row>
    <row r="275" spans="1:8" s="1108" customFormat="1" ht="13.5" customHeight="1" x14ac:dyDescent="0.25">
      <c r="A275" s="1119" t="s">
        <v>1088</v>
      </c>
      <c r="B275" s="1119">
        <v>1400</v>
      </c>
      <c r="C275" s="1123">
        <v>0.84</v>
      </c>
      <c r="D275" s="1119">
        <v>0.49</v>
      </c>
      <c r="E275" s="1119">
        <v>4</v>
      </c>
      <c r="F275" s="1119">
        <v>7</v>
      </c>
      <c r="G275" s="1119">
        <v>0.56000000000000005</v>
      </c>
      <c r="H275" s="1119">
        <v>0.64</v>
      </c>
    </row>
    <row r="276" spans="1:8" s="1108" customFormat="1" ht="13.5" customHeight="1" x14ac:dyDescent="0.25">
      <c r="A276" s="1127" t="s">
        <v>1003</v>
      </c>
      <c r="B276" s="1119">
        <v>1200</v>
      </c>
      <c r="C276" s="1123">
        <v>0.84</v>
      </c>
      <c r="D276" s="1119">
        <v>0.36</v>
      </c>
      <c r="E276" s="1119">
        <v>4</v>
      </c>
      <c r="F276" s="1119">
        <v>7</v>
      </c>
      <c r="G276" s="1119">
        <v>0.44</v>
      </c>
      <c r="H276" s="1119">
        <v>0.5</v>
      </c>
    </row>
    <row r="277" spans="1:8" s="1108" customFormat="1" ht="13.5" customHeight="1" x14ac:dyDescent="0.25">
      <c r="A277" s="1127" t="s">
        <v>1003</v>
      </c>
      <c r="B277" s="1119">
        <v>1000</v>
      </c>
      <c r="C277" s="1123">
        <v>0.84</v>
      </c>
      <c r="D277" s="1119">
        <v>0.27</v>
      </c>
      <c r="E277" s="1119">
        <v>4</v>
      </c>
      <c r="F277" s="1119">
        <v>7</v>
      </c>
      <c r="G277" s="1119">
        <v>0.33</v>
      </c>
      <c r="H277" s="1119">
        <v>0.38</v>
      </c>
    </row>
    <row r="278" spans="1:8" s="1108" customFormat="1" ht="13.5" customHeight="1" x14ac:dyDescent="0.25">
      <c r="A278" s="1119" t="s">
        <v>1089</v>
      </c>
      <c r="B278" s="1119">
        <v>1200</v>
      </c>
      <c r="C278" s="1123">
        <v>0.84</v>
      </c>
      <c r="D278" s="1119">
        <v>0.28999999999999998</v>
      </c>
      <c r="E278" s="1119">
        <v>10</v>
      </c>
      <c r="F278" s="1119">
        <v>15</v>
      </c>
      <c r="G278" s="1119">
        <v>0.44</v>
      </c>
      <c r="H278" s="1119">
        <v>0.5</v>
      </c>
    </row>
    <row r="279" spans="1:8" s="1108" customFormat="1" ht="13.5" customHeight="1" x14ac:dyDescent="0.25">
      <c r="A279" s="1127" t="s">
        <v>1003</v>
      </c>
      <c r="B279" s="1119">
        <v>1000</v>
      </c>
      <c r="C279" s="1123">
        <v>0.84</v>
      </c>
      <c r="D279" s="1119">
        <v>0.22</v>
      </c>
      <c r="E279" s="1119">
        <v>10</v>
      </c>
      <c r="F279" s="1119">
        <v>15</v>
      </c>
      <c r="G279" s="1119">
        <v>0.33</v>
      </c>
      <c r="H279" s="1119">
        <v>0.38</v>
      </c>
    </row>
    <row r="280" spans="1:8" s="1108" customFormat="1" ht="13.5" customHeight="1" x14ac:dyDescent="0.25">
      <c r="A280" s="1127" t="s">
        <v>1003</v>
      </c>
      <c r="B280" s="1126">
        <v>800</v>
      </c>
      <c r="C280" s="1123">
        <v>0.84</v>
      </c>
      <c r="D280" s="1119">
        <v>0.16</v>
      </c>
      <c r="E280" s="1119">
        <v>10</v>
      </c>
      <c r="F280" s="1119">
        <v>15</v>
      </c>
      <c r="G280" s="1119">
        <v>0.27</v>
      </c>
      <c r="H280" s="1119">
        <v>0.33</v>
      </c>
    </row>
    <row r="281" spans="1:8" s="1108" customFormat="1" ht="13.5" customHeight="1" x14ac:dyDescent="0.25">
      <c r="A281" s="1127" t="s">
        <v>1003</v>
      </c>
      <c r="B281" s="1119">
        <v>600</v>
      </c>
      <c r="C281" s="1123">
        <v>0.84</v>
      </c>
      <c r="D281" s="1119">
        <v>0.12</v>
      </c>
      <c r="E281" s="1119">
        <v>10</v>
      </c>
      <c r="F281" s="1119">
        <v>15</v>
      </c>
      <c r="G281" s="1119">
        <v>0.19</v>
      </c>
      <c r="H281" s="1119">
        <v>0.23</v>
      </c>
    </row>
    <row r="282" spans="1:8" s="1108" customFormat="1" ht="13.5" customHeight="1" x14ac:dyDescent="0.25">
      <c r="A282" s="1119" t="s">
        <v>1090</v>
      </c>
      <c r="B282" s="1119">
        <v>1800</v>
      </c>
      <c r="C282" s="1123">
        <v>0.84</v>
      </c>
      <c r="D282" s="1119">
        <v>0.52</v>
      </c>
      <c r="E282" s="1119">
        <v>5</v>
      </c>
      <c r="F282" s="1119">
        <v>8</v>
      </c>
      <c r="G282" s="1119">
        <v>0.63</v>
      </c>
      <c r="H282" s="1119">
        <v>0.76</v>
      </c>
    </row>
    <row r="283" spans="1:8" s="1108" customFormat="1" ht="13.5" customHeight="1" x14ac:dyDescent="0.25">
      <c r="A283" s="1119" t="s">
        <v>1006</v>
      </c>
      <c r="B283" s="1119">
        <v>1600</v>
      </c>
      <c r="C283" s="1123">
        <v>0.84</v>
      </c>
      <c r="D283" s="1119">
        <v>0.41</v>
      </c>
      <c r="E283" s="1119">
        <v>5</v>
      </c>
      <c r="F283" s="1119">
        <v>8</v>
      </c>
      <c r="G283" s="1119">
        <v>0.52</v>
      </c>
      <c r="H283" s="1119">
        <v>0.63</v>
      </c>
    </row>
    <row r="284" spans="1:8" s="1108" customFormat="1" ht="13.5" customHeight="1" x14ac:dyDescent="0.25">
      <c r="A284" s="1127" t="s">
        <v>1003</v>
      </c>
      <c r="B284" s="1119">
        <v>1400</v>
      </c>
      <c r="C284" s="1123">
        <v>0.84</v>
      </c>
      <c r="D284" s="1119">
        <v>0.35</v>
      </c>
      <c r="E284" s="1119">
        <v>5</v>
      </c>
      <c r="F284" s="1119">
        <v>8</v>
      </c>
      <c r="G284" s="1119">
        <v>0.44</v>
      </c>
      <c r="H284" s="1119">
        <v>0.52</v>
      </c>
    </row>
    <row r="285" spans="1:8" s="1108" customFormat="1" ht="13.5" customHeight="1" x14ac:dyDescent="0.25">
      <c r="A285" s="1127" t="s">
        <v>1003</v>
      </c>
      <c r="B285" s="1119">
        <v>1200</v>
      </c>
      <c r="C285" s="1123">
        <v>0.84</v>
      </c>
      <c r="D285" s="1119">
        <v>0.28999999999999998</v>
      </c>
      <c r="E285" s="1119">
        <v>5</v>
      </c>
      <c r="F285" s="1119">
        <v>8</v>
      </c>
      <c r="G285" s="1119">
        <v>0.37</v>
      </c>
      <c r="H285" s="1119">
        <v>0.44</v>
      </c>
    </row>
    <row r="286" spans="1:8" s="1108" customFormat="1" ht="13.5" customHeight="1" x14ac:dyDescent="0.25">
      <c r="A286" s="1127" t="s">
        <v>1003</v>
      </c>
      <c r="B286" s="1119">
        <v>1000</v>
      </c>
      <c r="C286" s="1123">
        <v>0.84</v>
      </c>
      <c r="D286" s="1119">
        <v>0.23</v>
      </c>
      <c r="E286" s="1119">
        <v>5</v>
      </c>
      <c r="F286" s="1119">
        <v>8</v>
      </c>
      <c r="G286" s="1119">
        <v>0.31</v>
      </c>
      <c r="H286" s="1119">
        <v>0.37</v>
      </c>
    </row>
    <row r="287" spans="1:8" s="1108" customFormat="1" ht="13.5" customHeight="1" x14ac:dyDescent="0.25">
      <c r="A287" s="1119" t="s">
        <v>1091</v>
      </c>
      <c r="B287" s="1119">
        <v>1600</v>
      </c>
      <c r="C287" s="1123">
        <v>0.84</v>
      </c>
      <c r="D287" s="1119">
        <v>0.47</v>
      </c>
      <c r="E287" s="1119">
        <v>8</v>
      </c>
      <c r="F287" s="1119">
        <v>11</v>
      </c>
      <c r="G287" s="1119">
        <v>0.63</v>
      </c>
      <c r="H287" s="1119">
        <v>0.7</v>
      </c>
    </row>
    <row r="288" spans="1:8" s="1108" customFormat="1" ht="13.5" customHeight="1" x14ac:dyDescent="0.25">
      <c r="A288" s="1119" t="s">
        <v>1006</v>
      </c>
      <c r="B288" s="1119">
        <v>1400</v>
      </c>
      <c r="C288" s="1123">
        <v>0.84</v>
      </c>
      <c r="D288" s="1119">
        <v>0.35</v>
      </c>
      <c r="E288" s="1119">
        <v>8</v>
      </c>
      <c r="F288" s="1119">
        <v>11</v>
      </c>
      <c r="G288" s="1119">
        <v>0.52</v>
      </c>
      <c r="H288" s="1119">
        <v>0.57999999999999996</v>
      </c>
    </row>
    <row r="289" spans="1:8" s="1108" customFormat="1" ht="13.5" customHeight="1" x14ac:dyDescent="0.25">
      <c r="A289" s="1127" t="s">
        <v>1003</v>
      </c>
      <c r="B289" s="1119">
        <v>1200</v>
      </c>
      <c r="C289" s="1123">
        <v>0.84</v>
      </c>
      <c r="D289" s="1119">
        <v>0.28999999999999998</v>
      </c>
      <c r="E289" s="1119">
        <v>8</v>
      </c>
      <c r="F289" s="1119">
        <v>11</v>
      </c>
      <c r="G289" s="1119">
        <v>0.41</v>
      </c>
      <c r="H289" s="1119">
        <v>0.47</v>
      </c>
    </row>
    <row r="290" spans="1:8" s="1108" customFormat="1" ht="13.5" customHeight="1" x14ac:dyDescent="0.25">
      <c r="A290" s="1127" t="s">
        <v>1003</v>
      </c>
      <c r="B290" s="1119">
        <v>1000</v>
      </c>
      <c r="C290" s="1123">
        <v>0.84</v>
      </c>
      <c r="D290" s="1119">
        <v>0.23</v>
      </c>
      <c r="E290" s="1119">
        <v>8</v>
      </c>
      <c r="F290" s="1119">
        <v>11</v>
      </c>
      <c r="G290" s="1119">
        <v>0.35</v>
      </c>
      <c r="H290" s="1119">
        <v>0.41</v>
      </c>
    </row>
    <row r="291" spans="1:8" s="1108" customFormat="1" ht="13.5" customHeight="1" x14ac:dyDescent="0.25">
      <c r="A291" s="1127" t="s">
        <v>1003</v>
      </c>
      <c r="B291" s="1126">
        <v>800</v>
      </c>
      <c r="C291" s="1123">
        <v>0.84</v>
      </c>
      <c r="D291" s="1119">
        <v>0.17</v>
      </c>
      <c r="E291" s="1119">
        <v>8</v>
      </c>
      <c r="F291" s="1119">
        <v>11</v>
      </c>
      <c r="G291" s="1119">
        <v>0.28999999999999998</v>
      </c>
      <c r="H291" s="1119">
        <v>0.35</v>
      </c>
    </row>
    <row r="292" spans="1:8" s="1108" customFormat="1" ht="13.5" customHeight="1" x14ac:dyDescent="0.25">
      <c r="A292" s="1119" t="s">
        <v>1092</v>
      </c>
      <c r="B292" s="1119">
        <v>1800</v>
      </c>
      <c r="C292" s="1123">
        <v>0.84</v>
      </c>
      <c r="D292" s="1119">
        <v>0.57999999999999996</v>
      </c>
      <c r="E292" s="1119">
        <v>5</v>
      </c>
      <c r="F292" s="1119">
        <v>8</v>
      </c>
      <c r="G292" s="1119">
        <v>0.7</v>
      </c>
      <c r="H292" s="1119">
        <v>0.81</v>
      </c>
    </row>
    <row r="293" spans="1:8" s="1108" customFormat="1" ht="13.5" customHeight="1" x14ac:dyDescent="0.25">
      <c r="A293" s="1119" t="s">
        <v>1092</v>
      </c>
      <c r="B293" s="1119">
        <v>1600</v>
      </c>
      <c r="C293" s="1123">
        <v>0.84</v>
      </c>
      <c r="D293" s="1119">
        <v>0.47</v>
      </c>
      <c r="E293" s="1119">
        <v>5</v>
      </c>
      <c r="F293" s="1119">
        <v>8</v>
      </c>
      <c r="G293" s="1119">
        <v>0.57999999999999996</v>
      </c>
      <c r="H293" s="1119">
        <v>0.64</v>
      </c>
    </row>
    <row r="294" spans="1:8" s="1108" customFormat="1" ht="13.5" customHeight="1" x14ac:dyDescent="0.25">
      <c r="A294" s="1119" t="s">
        <v>1006</v>
      </c>
      <c r="B294" s="1119">
        <v>1400</v>
      </c>
      <c r="C294" s="1123">
        <v>0.84</v>
      </c>
      <c r="D294" s="1119">
        <v>0.41</v>
      </c>
      <c r="E294" s="1119">
        <v>5</v>
      </c>
      <c r="F294" s="1119">
        <v>8</v>
      </c>
      <c r="G294" s="1119">
        <v>0.52</v>
      </c>
      <c r="H294" s="1119">
        <v>0.57999999999999996</v>
      </c>
    </row>
    <row r="295" spans="1:8" s="1108" customFormat="1" ht="13.5" customHeight="1" x14ac:dyDescent="0.25">
      <c r="A295" s="1127" t="s">
        <v>1003</v>
      </c>
      <c r="B295" s="1119">
        <v>1200</v>
      </c>
      <c r="C295" s="1123">
        <v>0.84</v>
      </c>
      <c r="D295" s="1119">
        <v>0.35</v>
      </c>
      <c r="E295" s="1119">
        <v>5</v>
      </c>
      <c r="F295" s="1119">
        <v>8</v>
      </c>
      <c r="G295" s="1119">
        <v>0.47</v>
      </c>
      <c r="H295" s="1119">
        <v>0.52</v>
      </c>
    </row>
    <row r="296" spans="1:8" s="1108" customFormat="1" ht="13.5" customHeight="1" x14ac:dyDescent="0.25">
      <c r="A296" s="1119" t="s">
        <v>1093</v>
      </c>
      <c r="B296" s="1119">
        <v>1800</v>
      </c>
      <c r="C296" s="1123">
        <v>0.84</v>
      </c>
      <c r="D296" s="1119">
        <v>0.7</v>
      </c>
      <c r="E296" s="1119">
        <v>5</v>
      </c>
      <c r="F296" s="1119">
        <v>8</v>
      </c>
      <c r="G296" s="1119">
        <v>0.85</v>
      </c>
      <c r="H296" s="1119">
        <v>0.93</v>
      </c>
    </row>
    <row r="297" spans="1:8" s="1108" customFormat="1" ht="13.5" customHeight="1" x14ac:dyDescent="0.25">
      <c r="A297" s="1119" t="s">
        <v>1006</v>
      </c>
      <c r="B297" s="1119">
        <v>1600</v>
      </c>
      <c r="C297" s="1123">
        <v>0.84</v>
      </c>
      <c r="D297" s="1119">
        <v>0.57999999999999996</v>
      </c>
      <c r="E297" s="1119">
        <v>5</v>
      </c>
      <c r="F297" s="1119">
        <v>8</v>
      </c>
      <c r="G297" s="1119">
        <v>0.72</v>
      </c>
      <c r="H297" s="1119">
        <v>0.78</v>
      </c>
    </row>
    <row r="298" spans="1:8" s="1108" customFormat="1" ht="13.5" customHeight="1" x14ac:dyDescent="0.25">
      <c r="A298" s="1127" t="s">
        <v>1003</v>
      </c>
      <c r="B298" s="1119">
        <v>1400</v>
      </c>
      <c r="C298" s="1123">
        <v>0.84</v>
      </c>
      <c r="D298" s="1119">
        <v>0.47</v>
      </c>
      <c r="E298" s="1119">
        <v>5</v>
      </c>
      <c r="F298" s="1119">
        <v>8</v>
      </c>
      <c r="G298" s="1119">
        <v>0.59</v>
      </c>
      <c r="H298" s="1119">
        <v>0.65</v>
      </c>
    </row>
    <row r="299" spans="1:8" s="1108" customFormat="1" ht="13.5" customHeight="1" x14ac:dyDescent="0.25">
      <c r="A299" s="1127" t="s">
        <v>1003</v>
      </c>
      <c r="B299" s="1119">
        <v>1200</v>
      </c>
      <c r="C299" s="1123">
        <v>0.84</v>
      </c>
      <c r="D299" s="1119">
        <v>0.35</v>
      </c>
      <c r="E299" s="1119">
        <v>5</v>
      </c>
      <c r="F299" s="1119">
        <v>8</v>
      </c>
      <c r="G299" s="1119">
        <v>0.48</v>
      </c>
      <c r="H299" s="1119">
        <v>0.54</v>
      </c>
    </row>
    <row r="300" spans="1:8" s="1108" customFormat="1" ht="13.5" customHeight="1" x14ac:dyDescent="0.25">
      <c r="A300" s="1127" t="s">
        <v>1003</v>
      </c>
      <c r="B300" s="1119">
        <v>1000</v>
      </c>
      <c r="C300" s="1123">
        <v>0.84</v>
      </c>
      <c r="D300" s="1119">
        <v>0.28999999999999998</v>
      </c>
      <c r="E300" s="1119">
        <v>5</v>
      </c>
      <c r="F300" s="1119">
        <v>8</v>
      </c>
      <c r="G300" s="1119">
        <v>0.38</v>
      </c>
      <c r="H300" s="1119">
        <v>0.44</v>
      </c>
    </row>
    <row r="301" spans="1:8" s="1108" customFormat="1" ht="13.5" customHeight="1" x14ac:dyDescent="0.25">
      <c r="A301" s="1119" t="s">
        <v>1094</v>
      </c>
      <c r="B301" s="1119">
        <v>1400</v>
      </c>
      <c r="C301" s="1123">
        <v>0.84</v>
      </c>
      <c r="D301" s="1119">
        <v>0.47</v>
      </c>
      <c r="E301" s="1119">
        <v>5</v>
      </c>
      <c r="F301" s="1119">
        <v>8</v>
      </c>
      <c r="G301" s="1119">
        <v>0.52</v>
      </c>
      <c r="H301" s="1119">
        <v>0.57999999999999996</v>
      </c>
    </row>
    <row r="302" spans="1:8" s="1108" customFormat="1" ht="13.5" customHeight="1" x14ac:dyDescent="0.25">
      <c r="A302" s="1119" t="s">
        <v>1006</v>
      </c>
      <c r="B302" s="1119">
        <v>1200</v>
      </c>
      <c r="C302" s="1123">
        <v>0.84</v>
      </c>
      <c r="D302" s="1119">
        <v>0.35</v>
      </c>
      <c r="E302" s="1119">
        <v>5</v>
      </c>
      <c r="F302" s="1119">
        <v>8</v>
      </c>
      <c r="G302" s="1119">
        <v>0.41</v>
      </c>
      <c r="H302" s="1119">
        <v>0.47</v>
      </c>
    </row>
    <row r="303" spans="1:8" s="1108" customFormat="1" ht="13.5" customHeight="1" x14ac:dyDescent="0.25">
      <c r="A303" s="1127" t="s">
        <v>1003</v>
      </c>
      <c r="B303" s="1119">
        <v>1000</v>
      </c>
      <c r="C303" s="1123">
        <v>0.84</v>
      </c>
      <c r="D303" s="1119">
        <v>0.24</v>
      </c>
      <c r="E303" s="1119">
        <v>5</v>
      </c>
      <c r="F303" s="1119">
        <v>8</v>
      </c>
      <c r="G303" s="1119">
        <v>0.3</v>
      </c>
      <c r="H303" s="1119">
        <v>0.35</v>
      </c>
    </row>
    <row r="304" spans="1:8" s="1108" customFormat="1" ht="13.5" customHeight="1" x14ac:dyDescent="0.25">
      <c r="A304" s="1119" t="s">
        <v>1095</v>
      </c>
      <c r="B304" s="1126">
        <v>800</v>
      </c>
      <c r="C304" s="1123">
        <v>0.84</v>
      </c>
      <c r="D304" s="1119">
        <v>0.21</v>
      </c>
      <c r="E304" s="1119">
        <v>8</v>
      </c>
      <c r="F304" s="1119">
        <v>13</v>
      </c>
      <c r="G304" s="1119">
        <v>0.23</v>
      </c>
      <c r="H304" s="1119">
        <v>0.26</v>
      </c>
    </row>
    <row r="305" spans="1:8" s="1108" customFormat="1" ht="13.5" customHeight="1" x14ac:dyDescent="0.25">
      <c r="A305" s="1127" t="s">
        <v>1003</v>
      </c>
      <c r="B305" s="1119">
        <v>600</v>
      </c>
      <c r="C305" s="1123">
        <v>0.84</v>
      </c>
      <c r="D305" s="1119">
        <v>0.14000000000000001</v>
      </c>
      <c r="E305" s="1119">
        <v>8</v>
      </c>
      <c r="F305" s="1119">
        <v>13</v>
      </c>
      <c r="G305" s="1119">
        <v>0.16</v>
      </c>
      <c r="H305" s="1119">
        <v>0.17</v>
      </c>
    </row>
    <row r="306" spans="1:8" s="1108" customFormat="1" ht="13.5" customHeight="1" x14ac:dyDescent="0.25">
      <c r="A306" s="1127" t="s">
        <v>1003</v>
      </c>
      <c r="B306" s="1119">
        <v>400</v>
      </c>
      <c r="C306" s="1123">
        <v>0.84</v>
      </c>
      <c r="D306" s="1119">
        <v>0.09</v>
      </c>
      <c r="E306" s="1119">
        <v>8</v>
      </c>
      <c r="F306" s="1119">
        <v>13</v>
      </c>
      <c r="G306" s="1119">
        <v>0.11</v>
      </c>
      <c r="H306" s="1119">
        <v>0.13</v>
      </c>
    </row>
    <row r="307" spans="1:8" s="1108" customFormat="1" ht="13.5" customHeight="1" x14ac:dyDescent="0.25">
      <c r="A307" s="1127" t="s">
        <v>1003</v>
      </c>
      <c r="B307" s="1126">
        <v>300</v>
      </c>
      <c r="C307" s="1123">
        <v>0.84</v>
      </c>
      <c r="D307" s="1119">
        <v>0.08</v>
      </c>
      <c r="E307" s="1119">
        <v>8</v>
      </c>
      <c r="F307" s="1119">
        <v>13</v>
      </c>
      <c r="G307" s="1119">
        <v>0.09</v>
      </c>
      <c r="H307" s="1119">
        <v>0.11</v>
      </c>
    </row>
    <row r="308" spans="1:8" s="1108" customFormat="1" ht="13.5" customHeight="1" x14ac:dyDescent="0.25">
      <c r="A308" s="2523" t="s">
        <v>1096</v>
      </c>
      <c r="B308" s="2523"/>
      <c r="C308" s="2523"/>
      <c r="D308" s="2523"/>
      <c r="E308" s="2523"/>
      <c r="F308" s="2523"/>
      <c r="G308" s="2523"/>
      <c r="H308" s="2523"/>
    </row>
    <row r="309" spans="1:8" s="1108" customFormat="1" ht="13.5" customHeight="1" x14ac:dyDescent="0.25">
      <c r="A309" s="1119" t="s">
        <v>1097</v>
      </c>
      <c r="B309" s="1119">
        <v>600</v>
      </c>
      <c r="C309" s="1123">
        <v>1.06</v>
      </c>
      <c r="D309" s="1119">
        <v>0.14499999999999999</v>
      </c>
      <c r="E309" s="1119">
        <v>4</v>
      </c>
      <c r="F309" s="1119">
        <v>8</v>
      </c>
      <c r="G309" s="1119">
        <v>0.17499999999999999</v>
      </c>
      <c r="H309" s="1119">
        <v>0.2</v>
      </c>
    </row>
    <row r="310" spans="1:8" s="1108" customFormat="1" ht="13.5" customHeight="1" x14ac:dyDescent="0.25">
      <c r="A310" s="1125"/>
      <c r="B310" s="1125"/>
      <c r="C310" s="1125"/>
      <c r="D310" s="1125"/>
      <c r="E310" s="1125"/>
      <c r="F310" s="1125"/>
      <c r="G310" s="1125"/>
      <c r="H310" s="1125"/>
    </row>
    <row r="311" spans="1:8" s="1108" customFormat="1" ht="13.5" customHeight="1" x14ac:dyDescent="0.25">
      <c r="A311" s="1127" t="s">
        <v>1003</v>
      </c>
      <c r="B311" s="1126">
        <v>500</v>
      </c>
      <c r="C311" s="1123">
        <v>1.06</v>
      </c>
      <c r="D311" s="1119">
        <v>0.125</v>
      </c>
      <c r="E311" s="1119">
        <v>4</v>
      </c>
      <c r="F311" s="1119">
        <v>8</v>
      </c>
      <c r="G311" s="1119">
        <v>0.14000000000000001</v>
      </c>
      <c r="H311" s="1119">
        <v>0.16</v>
      </c>
    </row>
    <row r="312" spans="1:8" s="1108" customFormat="1" ht="13.5" customHeight="1" x14ac:dyDescent="0.25">
      <c r="A312" s="1127" t="s">
        <v>1003</v>
      </c>
      <c r="B312" s="1119">
        <v>400</v>
      </c>
      <c r="C312" s="1123">
        <v>1.06</v>
      </c>
      <c r="D312" s="1119">
        <v>0.105</v>
      </c>
      <c r="E312" s="1119">
        <v>4</v>
      </c>
      <c r="F312" s="1119">
        <v>8</v>
      </c>
      <c r="G312" s="1119">
        <v>0.12</v>
      </c>
      <c r="H312" s="1119">
        <v>0.13500000000000001</v>
      </c>
    </row>
    <row r="313" spans="1:8" s="1108" customFormat="1" ht="13.5" customHeight="1" x14ac:dyDescent="0.25">
      <c r="A313" s="1127" t="s">
        <v>1003</v>
      </c>
      <c r="B313" s="1126">
        <v>300</v>
      </c>
      <c r="C313" s="1123">
        <v>1.06</v>
      </c>
      <c r="D313" s="1119">
        <v>8.5000000000000006E-2</v>
      </c>
      <c r="E313" s="1119">
        <v>4</v>
      </c>
      <c r="F313" s="1119">
        <v>8</v>
      </c>
      <c r="G313" s="1119">
        <v>0.09</v>
      </c>
      <c r="H313" s="1119">
        <v>0.11</v>
      </c>
    </row>
    <row r="314" spans="1:8" s="1108" customFormat="1" ht="13.5" customHeight="1" x14ac:dyDescent="0.25">
      <c r="A314" s="1127" t="s">
        <v>1003</v>
      </c>
      <c r="B314" s="1119">
        <v>200</v>
      </c>
      <c r="C314" s="1123">
        <v>1.06</v>
      </c>
      <c r="D314" s="1119">
        <v>6.5000000000000002E-2</v>
      </c>
      <c r="E314" s="1119">
        <v>4</v>
      </c>
      <c r="F314" s="1119">
        <v>8</v>
      </c>
      <c r="G314" s="1119">
        <v>7.0000000000000007E-2</v>
      </c>
      <c r="H314" s="1119">
        <v>0.08</v>
      </c>
    </row>
    <row r="315" spans="1:8" s="1108" customFormat="1" ht="13.5" customHeight="1" x14ac:dyDescent="0.25">
      <c r="A315" s="1127" t="s">
        <v>1003</v>
      </c>
      <c r="B315" s="1126">
        <v>150</v>
      </c>
      <c r="C315" s="1123">
        <v>1.06</v>
      </c>
      <c r="D315" s="1119">
        <v>5.5E-2</v>
      </c>
      <c r="E315" s="1119">
        <v>4</v>
      </c>
      <c r="F315" s="1119">
        <v>8</v>
      </c>
      <c r="G315" s="1119">
        <v>5.7000000000000002E-2</v>
      </c>
      <c r="H315" s="1119">
        <v>0.06</v>
      </c>
    </row>
    <row r="316" spans="1:8" s="1108" customFormat="1" ht="13.5" customHeight="1" x14ac:dyDescent="0.25">
      <c r="A316" s="1121" t="s">
        <v>1098</v>
      </c>
      <c r="B316" s="1119">
        <v>1000</v>
      </c>
      <c r="C316" s="1123">
        <v>0.84</v>
      </c>
      <c r="D316" s="1119">
        <v>0.28999999999999998</v>
      </c>
      <c r="E316" s="1119">
        <v>10</v>
      </c>
      <c r="F316" s="1119">
        <v>15</v>
      </c>
      <c r="G316" s="1119">
        <v>0.41</v>
      </c>
      <c r="H316" s="1119">
        <v>0.47</v>
      </c>
    </row>
    <row r="317" spans="1:8" s="1108" customFormat="1" ht="13.5" customHeight="1" x14ac:dyDescent="0.25">
      <c r="A317" s="1119" t="s">
        <v>1006</v>
      </c>
      <c r="B317" s="1126">
        <v>800</v>
      </c>
      <c r="C317" s="1123">
        <v>0.84</v>
      </c>
      <c r="D317" s="1119">
        <v>0.21</v>
      </c>
      <c r="E317" s="1119">
        <v>10</v>
      </c>
      <c r="F317" s="1119">
        <v>15</v>
      </c>
      <c r="G317" s="1119">
        <v>0.33</v>
      </c>
      <c r="H317" s="1119">
        <v>0.37</v>
      </c>
    </row>
    <row r="318" spans="1:8" s="1108" customFormat="1" ht="13.5" customHeight="1" x14ac:dyDescent="0.25">
      <c r="A318" s="1127" t="s">
        <v>1003</v>
      </c>
      <c r="B318" s="1119">
        <v>600</v>
      </c>
      <c r="C318" s="1123">
        <v>0.84</v>
      </c>
      <c r="D318" s="1119">
        <v>0.14000000000000001</v>
      </c>
      <c r="E318" s="1119">
        <v>8</v>
      </c>
      <c r="F318" s="1119">
        <v>12</v>
      </c>
      <c r="G318" s="1119">
        <v>0.22</v>
      </c>
      <c r="H318" s="1119">
        <v>0.26</v>
      </c>
    </row>
    <row r="319" spans="1:8" s="1108" customFormat="1" ht="13.5" customHeight="1" x14ac:dyDescent="0.25">
      <c r="A319" s="1127" t="s">
        <v>1003</v>
      </c>
      <c r="B319" s="1119">
        <v>400</v>
      </c>
      <c r="C319" s="1123">
        <v>0.84</v>
      </c>
      <c r="D319" s="1119">
        <v>0.11</v>
      </c>
      <c r="E319" s="1119">
        <v>8</v>
      </c>
      <c r="F319" s="1119">
        <v>12</v>
      </c>
      <c r="G319" s="1119">
        <v>0.14000000000000001</v>
      </c>
      <c r="H319" s="1119">
        <v>0.15</v>
      </c>
    </row>
    <row r="320" spans="1:8" s="1108" customFormat="1" ht="13.5" customHeight="1" x14ac:dyDescent="0.25">
      <c r="A320" s="1119" t="s">
        <v>1098</v>
      </c>
      <c r="B320" s="1126">
        <v>300</v>
      </c>
      <c r="C320" s="1123">
        <v>0.84</v>
      </c>
      <c r="D320" s="1119">
        <v>0.08</v>
      </c>
      <c r="E320" s="1119">
        <v>8</v>
      </c>
      <c r="F320" s="1119">
        <v>12</v>
      </c>
      <c r="G320" s="1119">
        <v>0.11</v>
      </c>
      <c r="H320" s="1119">
        <v>0.13</v>
      </c>
    </row>
    <row r="321" spans="1:8" s="1108" customFormat="1" ht="13.5" customHeight="1" x14ac:dyDescent="0.25">
      <c r="A321" s="1119" t="s">
        <v>1099</v>
      </c>
      <c r="B321" s="1119">
        <v>1200</v>
      </c>
      <c r="C321" s="1123">
        <v>0.84</v>
      </c>
      <c r="D321" s="1119">
        <v>0.28999999999999998</v>
      </c>
      <c r="E321" s="1119">
        <v>15</v>
      </c>
      <c r="F321" s="1119">
        <v>22</v>
      </c>
      <c r="G321" s="1119">
        <v>0.52</v>
      </c>
      <c r="H321" s="1119">
        <v>0.57999999999999996</v>
      </c>
    </row>
    <row r="322" spans="1:8" s="1108" customFormat="1" ht="13.5" customHeight="1" x14ac:dyDescent="0.25">
      <c r="A322" s="1119" t="s">
        <v>1006</v>
      </c>
      <c r="B322" s="1119">
        <v>1000</v>
      </c>
      <c r="C322" s="1123">
        <v>0.84</v>
      </c>
      <c r="D322" s="1119">
        <v>0.23</v>
      </c>
      <c r="E322" s="1119">
        <v>15</v>
      </c>
      <c r="F322" s="1119">
        <v>22</v>
      </c>
      <c r="G322" s="1119">
        <v>0.44</v>
      </c>
      <c r="H322" s="1119">
        <v>0.5</v>
      </c>
    </row>
    <row r="323" spans="1:8" s="1108" customFormat="1" ht="13.5" customHeight="1" x14ac:dyDescent="0.25">
      <c r="A323" s="1127" t="s">
        <v>1003</v>
      </c>
      <c r="B323" s="1126">
        <v>800</v>
      </c>
      <c r="C323" s="1123">
        <v>0.84</v>
      </c>
      <c r="D323" s="1119">
        <v>0.17</v>
      </c>
      <c r="E323" s="1119">
        <v>15</v>
      </c>
      <c r="F323" s="1119">
        <v>22</v>
      </c>
      <c r="G323" s="1119">
        <v>0.35</v>
      </c>
      <c r="H323" s="1119">
        <v>0.41</v>
      </c>
    </row>
    <row r="324" spans="1:8" s="1108" customFormat="1" ht="13.5" customHeight="1" x14ac:dyDescent="0.25">
      <c r="A324" s="2528" t="s">
        <v>1100</v>
      </c>
      <c r="B324" s="2528"/>
      <c r="C324" s="2528"/>
      <c r="D324" s="2528"/>
      <c r="E324" s="2528"/>
      <c r="F324" s="2528"/>
      <c r="G324" s="2528"/>
      <c r="H324" s="2528"/>
    </row>
    <row r="325" spans="1:8" s="1108" customFormat="1" ht="13.5" customHeight="1" x14ac:dyDescent="0.25">
      <c r="A325" s="1119" t="s">
        <v>1101</v>
      </c>
      <c r="B325" s="1119">
        <v>1800</v>
      </c>
      <c r="C325" s="1123">
        <v>0.88</v>
      </c>
      <c r="D325" s="1119">
        <v>0.56000000000000005</v>
      </c>
      <c r="E325" s="1119">
        <v>1</v>
      </c>
      <c r="F325" s="1119">
        <v>2</v>
      </c>
      <c r="G325" s="1119">
        <v>0.7</v>
      </c>
      <c r="H325" s="1119">
        <v>0.81</v>
      </c>
    </row>
    <row r="326" spans="1:8" s="1108" customFormat="1" ht="13.5" customHeight="1" x14ac:dyDescent="0.25">
      <c r="A326" s="1119" t="s">
        <v>1102</v>
      </c>
      <c r="B326" s="1119">
        <v>1700</v>
      </c>
      <c r="C326" s="1123">
        <v>0.88</v>
      </c>
      <c r="D326" s="1119">
        <v>0.52</v>
      </c>
      <c r="E326" s="1119">
        <v>1.5</v>
      </c>
      <c r="F326" s="1119">
        <v>3</v>
      </c>
      <c r="G326" s="1119">
        <v>0.64</v>
      </c>
      <c r="H326" s="1119">
        <v>0.76</v>
      </c>
    </row>
    <row r="327" spans="1:8" s="1108" customFormat="1" ht="13.5" customHeight="1" x14ac:dyDescent="0.25">
      <c r="A327" s="1119" t="s">
        <v>1103</v>
      </c>
      <c r="B327" s="1119">
        <v>1600</v>
      </c>
      <c r="C327" s="1123">
        <v>0.88</v>
      </c>
      <c r="D327" s="1119">
        <v>0.47</v>
      </c>
      <c r="E327" s="1119">
        <v>2</v>
      </c>
      <c r="F327" s="1119">
        <v>4</v>
      </c>
      <c r="G327" s="1119">
        <v>0.57999999999999996</v>
      </c>
      <c r="H327" s="1119">
        <v>0.7</v>
      </c>
    </row>
    <row r="328" spans="1:8" s="1108" customFormat="1" ht="13.5" customHeight="1" x14ac:dyDescent="0.25">
      <c r="A328" s="1119" t="s">
        <v>1104</v>
      </c>
      <c r="B328" s="1119">
        <v>1800</v>
      </c>
      <c r="C328" s="1123">
        <v>0.88</v>
      </c>
      <c r="D328" s="1119">
        <v>0.7</v>
      </c>
      <c r="E328" s="1119">
        <v>2</v>
      </c>
      <c r="F328" s="1119">
        <v>4</v>
      </c>
      <c r="G328" s="1119">
        <v>0.76</v>
      </c>
      <c r="H328" s="1119">
        <v>0.87</v>
      </c>
    </row>
    <row r="329" spans="1:8" s="1108" customFormat="1" ht="13.5" customHeight="1" x14ac:dyDescent="0.25">
      <c r="A329" s="1119" t="s">
        <v>1105</v>
      </c>
      <c r="B329" s="1119">
        <v>1200</v>
      </c>
      <c r="C329" s="1123">
        <v>0.88</v>
      </c>
      <c r="D329" s="1119">
        <v>0.35</v>
      </c>
      <c r="E329" s="1119">
        <v>2</v>
      </c>
      <c r="F329" s="1119">
        <v>4</v>
      </c>
      <c r="G329" s="1119">
        <v>0.47</v>
      </c>
      <c r="H329" s="1119">
        <v>0.52</v>
      </c>
    </row>
    <row r="330" spans="1:8" s="1108" customFormat="1" ht="13.5" customHeight="1" x14ac:dyDescent="0.25">
      <c r="A330" s="1119" t="s">
        <v>1006</v>
      </c>
      <c r="B330" s="1119">
        <v>1000</v>
      </c>
      <c r="C330" s="1123">
        <v>0.88</v>
      </c>
      <c r="D330" s="1119">
        <v>0.28999999999999998</v>
      </c>
      <c r="E330" s="1119">
        <v>2</v>
      </c>
      <c r="F330" s="1119">
        <v>4</v>
      </c>
      <c r="G330" s="1119">
        <v>0.41</v>
      </c>
      <c r="H330" s="1119">
        <v>0.47</v>
      </c>
    </row>
    <row r="331" spans="1:8" s="1108" customFormat="1" ht="13.5" customHeight="1" x14ac:dyDescent="0.25">
      <c r="A331" s="1119" t="s">
        <v>1106</v>
      </c>
      <c r="B331" s="1119">
        <v>1500</v>
      </c>
      <c r="C331" s="1123">
        <v>0.88</v>
      </c>
      <c r="D331" s="1119">
        <v>0.52</v>
      </c>
      <c r="E331" s="1119">
        <v>1.5</v>
      </c>
      <c r="F331" s="1119">
        <v>3</v>
      </c>
      <c r="G331" s="1119">
        <v>0.64</v>
      </c>
      <c r="H331" s="1119">
        <v>0.7</v>
      </c>
    </row>
    <row r="332" spans="1:8" s="1108" customFormat="1" ht="13.5" customHeight="1" x14ac:dyDescent="0.25">
      <c r="A332" s="2528" t="s">
        <v>1107</v>
      </c>
      <c r="B332" s="2528"/>
      <c r="C332" s="2528"/>
      <c r="D332" s="2528"/>
      <c r="E332" s="2528"/>
      <c r="F332" s="2528"/>
      <c r="G332" s="2528"/>
      <c r="H332" s="2528"/>
    </row>
    <row r="333" spans="1:8" s="1108" customFormat="1" ht="13.5" customHeight="1" x14ac:dyDescent="0.25">
      <c r="A333" s="1119" t="s">
        <v>1108</v>
      </c>
      <c r="B333" s="1119">
        <v>1600</v>
      </c>
      <c r="C333" s="1123">
        <v>0.88</v>
      </c>
      <c r="D333" s="1119">
        <v>0.47</v>
      </c>
      <c r="E333" s="1119">
        <v>1</v>
      </c>
      <c r="F333" s="1119">
        <v>2</v>
      </c>
      <c r="G333" s="1119">
        <v>0.57999999999999996</v>
      </c>
      <c r="H333" s="1119">
        <v>0.64</v>
      </c>
    </row>
    <row r="334" spans="1:8" s="1108" customFormat="1" ht="13.5" customHeight="1" x14ac:dyDescent="0.25">
      <c r="A334" s="1119" t="s">
        <v>1109</v>
      </c>
      <c r="B334" s="1119">
        <v>1400</v>
      </c>
      <c r="C334" s="1123">
        <v>0.88</v>
      </c>
      <c r="D334" s="1119">
        <v>0.41</v>
      </c>
      <c r="E334" s="1119">
        <v>1</v>
      </c>
      <c r="F334" s="1119">
        <v>2</v>
      </c>
      <c r="G334" s="1119">
        <v>0.52</v>
      </c>
      <c r="H334" s="1119">
        <v>0.57999999999999996</v>
      </c>
    </row>
    <row r="335" spans="1:8" s="1108" customFormat="1" ht="13.5" customHeight="1" x14ac:dyDescent="0.25">
      <c r="A335" s="1119" t="s">
        <v>1110</v>
      </c>
      <c r="B335" s="1119">
        <v>1200</v>
      </c>
      <c r="C335" s="1123">
        <v>0.88</v>
      </c>
      <c r="D335" s="1119">
        <v>0.35</v>
      </c>
      <c r="E335" s="1119">
        <v>1</v>
      </c>
      <c r="F335" s="1119">
        <v>2</v>
      </c>
      <c r="G335" s="1119">
        <v>0.47</v>
      </c>
      <c r="H335" s="1119">
        <v>0.52</v>
      </c>
    </row>
    <row r="336" spans="1:8" s="1108" customFormat="1" ht="13.5" customHeight="1" x14ac:dyDescent="0.25">
      <c r="A336" s="1119" t="s">
        <v>1111</v>
      </c>
      <c r="B336" s="1119">
        <v>1500</v>
      </c>
      <c r="C336" s="1123">
        <v>0.88</v>
      </c>
      <c r="D336" s="1119">
        <v>0.64</v>
      </c>
      <c r="E336" s="1119">
        <v>2</v>
      </c>
      <c r="F336" s="1119">
        <v>4</v>
      </c>
      <c r="G336" s="1119">
        <v>0.7</v>
      </c>
      <c r="H336" s="1119">
        <v>0.81</v>
      </c>
    </row>
    <row r="337" spans="1:10" s="1108" customFormat="1" ht="13.5" customHeight="1" x14ac:dyDescent="0.25">
      <c r="A337" s="1119" t="s">
        <v>1112</v>
      </c>
      <c r="B337" s="2529">
        <v>1400</v>
      </c>
      <c r="C337" s="2530">
        <v>0.88</v>
      </c>
      <c r="D337" s="2529">
        <v>0.52</v>
      </c>
      <c r="E337" s="2529">
        <v>2</v>
      </c>
      <c r="F337" s="2529">
        <v>4</v>
      </c>
      <c r="G337" s="2529">
        <v>0.64</v>
      </c>
      <c r="H337" s="2529">
        <v>0.76</v>
      </c>
    </row>
    <row r="338" spans="1:10" s="1108" customFormat="1" ht="13.5" customHeight="1" x14ac:dyDescent="0.25">
      <c r="A338" s="1119" t="s">
        <v>1113</v>
      </c>
      <c r="B338" s="2529"/>
      <c r="C338" s="2530"/>
      <c r="D338" s="2529"/>
      <c r="E338" s="2529"/>
      <c r="F338" s="2529"/>
      <c r="G338" s="2529"/>
      <c r="H338" s="2529"/>
    </row>
    <row r="339" spans="1:10" s="1108" customFormat="1" ht="13.5" customHeight="1" x14ac:dyDescent="0.25">
      <c r="A339" s="2523" t="s">
        <v>1114</v>
      </c>
      <c r="B339" s="2523"/>
      <c r="C339" s="2523"/>
      <c r="D339" s="2523"/>
      <c r="E339" s="2523"/>
      <c r="F339" s="2523"/>
      <c r="G339" s="2523"/>
      <c r="H339" s="2523"/>
    </row>
    <row r="340" spans="1:10" s="1108" customFormat="1" ht="13.5" customHeight="1" x14ac:dyDescent="0.25">
      <c r="A340" s="1119" t="s">
        <v>1115</v>
      </c>
      <c r="B340" s="1126">
        <v>500</v>
      </c>
      <c r="C340" s="1123">
        <v>2.2999999999999998</v>
      </c>
      <c r="D340" s="1119">
        <v>0.09</v>
      </c>
      <c r="E340" s="1119">
        <v>15</v>
      </c>
      <c r="F340" s="1119">
        <v>20</v>
      </c>
      <c r="G340" s="1119">
        <v>0.14000000000000001</v>
      </c>
      <c r="H340" s="1119">
        <v>0.18</v>
      </c>
      <c r="J340" s="1108">
        <f>0.2/H340</f>
        <v>1.1111111111111112</v>
      </c>
    </row>
    <row r="341" spans="1:10" s="1108" customFormat="1" ht="13.5" customHeight="1" x14ac:dyDescent="0.25">
      <c r="A341" s="1119" t="s">
        <v>1116</v>
      </c>
      <c r="B341" s="1126">
        <v>500</v>
      </c>
      <c r="C341" s="1123">
        <v>2.2999999999999998</v>
      </c>
      <c r="D341" s="1119">
        <v>0.18</v>
      </c>
      <c r="E341" s="1119">
        <v>15</v>
      </c>
      <c r="F341" s="1119">
        <v>20</v>
      </c>
      <c r="G341" s="1119">
        <v>0.28999999999999998</v>
      </c>
      <c r="H341" s="1119">
        <v>0.35</v>
      </c>
      <c r="J341" s="1108">
        <f>0.2/H341</f>
        <v>0.57142857142857151</v>
      </c>
    </row>
    <row r="342" spans="1:10" s="1108" customFormat="1" ht="13.5" customHeight="1" x14ac:dyDescent="0.25">
      <c r="A342" s="1119" t="s">
        <v>1117</v>
      </c>
      <c r="B342" s="1119">
        <v>700</v>
      </c>
      <c r="C342" s="1123">
        <v>2.2999999999999998</v>
      </c>
      <c r="D342" s="1119">
        <v>0.1</v>
      </c>
      <c r="E342" s="1119">
        <v>10</v>
      </c>
      <c r="F342" s="1119">
        <v>15</v>
      </c>
      <c r="G342" s="1119">
        <v>0.18</v>
      </c>
      <c r="H342" s="1119">
        <v>0.23</v>
      </c>
      <c r="J342" s="1108">
        <f>0.2/H342</f>
        <v>0.86956521739130432</v>
      </c>
    </row>
    <row r="343" spans="1:10" s="1108" customFormat="1" ht="13.5" customHeight="1" x14ac:dyDescent="0.25">
      <c r="A343" s="1119" t="s">
        <v>1118</v>
      </c>
      <c r="B343" s="1119">
        <v>700</v>
      </c>
      <c r="C343" s="1123">
        <v>2.2999999999999998</v>
      </c>
      <c r="D343" s="1119">
        <v>0.23</v>
      </c>
      <c r="E343" s="1119">
        <v>10</v>
      </c>
      <c r="F343" s="1119">
        <v>15</v>
      </c>
      <c r="G343" s="1119">
        <v>0.35</v>
      </c>
      <c r="H343" s="1119">
        <v>0.41</v>
      </c>
      <c r="J343" s="1108">
        <f>0.2/H343</f>
        <v>0.48780487804878053</v>
      </c>
    </row>
    <row r="344" spans="1:10" s="1108" customFormat="1" ht="13.5" customHeight="1" x14ac:dyDescent="0.25">
      <c r="A344" s="1119" t="s">
        <v>1119</v>
      </c>
      <c r="B344" s="1119">
        <v>600</v>
      </c>
      <c r="C344" s="1123">
        <v>2.2999999999999998</v>
      </c>
      <c r="D344" s="1119">
        <v>0.12</v>
      </c>
      <c r="E344" s="1119">
        <v>10</v>
      </c>
      <c r="F344" s="1119">
        <v>13</v>
      </c>
      <c r="G344" s="1119">
        <v>0.15</v>
      </c>
      <c r="H344" s="1119">
        <v>0.18</v>
      </c>
    </row>
    <row r="345" spans="1:10" s="1108" customFormat="1" ht="13.5" customHeight="1" x14ac:dyDescent="0.25">
      <c r="A345" s="1119" t="s">
        <v>1120</v>
      </c>
      <c r="B345" s="1119">
        <v>1000</v>
      </c>
      <c r="C345" s="1123">
        <v>2.2999999999999998</v>
      </c>
      <c r="D345" s="1119">
        <v>0.18</v>
      </c>
      <c r="E345" s="1119">
        <v>5</v>
      </c>
      <c r="F345" s="1119">
        <v>10</v>
      </c>
      <c r="G345" s="1119">
        <v>0.21</v>
      </c>
      <c r="H345" s="1119">
        <v>0.23</v>
      </c>
    </row>
    <row r="346" spans="1:10" s="1108" customFormat="1" ht="13.5" customHeight="1" x14ac:dyDescent="0.25">
      <c r="A346" s="1119" t="s">
        <v>1121</v>
      </c>
      <c r="B346" s="1119">
        <v>650</v>
      </c>
      <c r="C346" s="1123">
        <v>2.2999999999999998</v>
      </c>
      <c r="D346" s="1119">
        <v>0.13</v>
      </c>
      <c r="E346" s="1119">
        <v>6</v>
      </c>
      <c r="F346" s="1119">
        <v>12</v>
      </c>
      <c r="G346" s="1119">
        <v>0.15</v>
      </c>
      <c r="H346" s="1119">
        <v>0.18</v>
      </c>
    </row>
    <row r="347" spans="1:10" s="1108" customFormat="1" ht="13.5" customHeight="1" x14ac:dyDescent="0.25">
      <c r="A347" s="2527" t="s">
        <v>1122</v>
      </c>
      <c r="B347" s="2527"/>
      <c r="C347" s="2527"/>
      <c r="D347" s="2527"/>
      <c r="E347" s="2527"/>
      <c r="F347" s="2527"/>
      <c r="G347" s="2527"/>
      <c r="H347" s="2527"/>
      <c r="J347" s="1108">
        <v>4.1000000000000002E-2</v>
      </c>
    </row>
    <row r="348" spans="1:10" s="1108" customFormat="1" ht="13.5" customHeight="1" x14ac:dyDescent="0.25">
      <c r="A348" s="2523" t="s">
        <v>1123</v>
      </c>
      <c r="B348" s="2523"/>
      <c r="C348" s="2523"/>
      <c r="D348" s="2523"/>
      <c r="E348" s="2523"/>
      <c r="F348" s="2523"/>
      <c r="G348" s="2523"/>
      <c r="H348" s="2523"/>
    </row>
    <row r="349" spans="1:10" s="1108" customFormat="1" ht="13.5" customHeight="1" x14ac:dyDescent="0.25">
      <c r="A349" s="1128" t="s">
        <v>1124</v>
      </c>
      <c r="B349" s="1119">
        <v>2500</v>
      </c>
      <c r="C349" s="1119">
        <v>0.84</v>
      </c>
      <c r="D349" s="1119">
        <v>1.69</v>
      </c>
      <c r="E349" s="1119">
        <v>2</v>
      </c>
      <c r="F349" s="1119">
        <v>3</v>
      </c>
      <c r="G349" s="1119">
        <v>1.92</v>
      </c>
      <c r="H349" s="1119">
        <v>2.04</v>
      </c>
    </row>
    <row r="350" spans="1:10" s="1108" customFormat="1" ht="13.5" customHeight="1" x14ac:dyDescent="0.25">
      <c r="A350" s="1119" t="s">
        <v>1125</v>
      </c>
      <c r="B350" s="1119">
        <v>2400</v>
      </c>
      <c r="C350" s="1119">
        <v>0.84</v>
      </c>
      <c r="D350" s="1119">
        <v>1.51</v>
      </c>
      <c r="E350" s="1119">
        <v>2</v>
      </c>
      <c r="F350" s="1119">
        <v>3</v>
      </c>
      <c r="G350" s="1119">
        <v>1.74</v>
      </c>
      <c r="H350" s="1119">
        <v>1.86</v>
      </c>
    </row>
    <row r="351" spans="1:10" s="1108" customFormat="1" ht="13.5" customHeight="1" x14ac:dyDescent="0.25">
      <c r="A351" s="1119" t="s">
        <v>1126</v>
      </c>
      <c r="B351" s="1119">
        <v>1800</v>
      </c>
      <c r="C351" s="1119">
        <v>0.84</v>
      </c>
      <c r="D351" s="1119">
        <v>0.57999999999999996</v>
      </c>
      <c r="E351" s="1119">
        <v>2</v>
      </c>
      <c r="F351" s="1119">
        <v>4</v>
      </c>
      <c r="G351" s="1119">
        <v>0.76</v>
      </c>
      <c r="H351" s="1119">
        <v>0.93</v>
      </c>
    </row>
    <row r="352" spans="1:10" s="1108" customFormat="1" ht="13.5" customHeight="1" x14ac:dyDescent="0.25">
      <c r="A352" s="1119" t="s">
        <v>1127</v>
      </c>
      <c r="B352" s="1119">
        <v>1700</v>
      </c>
      <c r="C352" s="1119">
        <v>0.84</v>
      </c>
      <c r="D352" s="1119">
        <v>0.52</v>
      </c>
      <c r="E352" s="1119">
        <v>2</v>
      </c>
      <c r="F352" s="1119">
        <v>4</v>
      </c>
      <c r="G352" s="1119">
        <v>0.7</v>
      </c>
      <c r="H352" s="1119">
        <v>0.87</v>
      </c>
    </row>
    <row r="353" spans="1:8" s="1108" customFormat="1" ht="13.5" customHeight="1" x14ac:dyDescent="0.25">
      <c r="A353" s="1119" t="s">
        <v>1128</v>
      </c>
      <c r="B353" s="1119">
        <v>1600</v>
      </c>
      <c r="C353" s="1119">
        <v>0.84</v>
      </c>
      <c r="D353" s="1119">
        <v>0.47</v>
      </c>
      <c r="E353" s="1119">
        <v>2</v>
      </c>
      <c r="F353" s="1119">
        <v>4</v>
      </c>
      <c r="G353" s="1119">
        <v>0.7</v>
      </c>
      <c r="H353" s="1119">
        <v>0.81</v>
      </c>
    </row>
    <row r="354" spans="1:8" s="1108" customFormat="1" ht="13.5" customHeight="1" x14ac:dyDescent="0.25">
      <c r="A354" s="2523" t="s">
        <v>1129</v>
      </c>
      <c r="B354" s="2523"/>
      <c r="C354" s="2523"/>
      <c r="D354" s="2523"/>
      <c r="E354" s="2523"/>
      <c r="F354" s="2523"/>
      <c r="G354" s="2523"/>
      <c r="H354" s="2523"/>
    </row>
    <row r="355" spans="1:8" s="1108" customFormat="1" ht="13.5" customHeight="1" x14ac:dyDescent="0.25">
      <c r="A355" s="1119" t="s">
        <v>1130</v>
      </c>
      <c r="B355" s="1119">
        <v>2800</v>
      </c>
      <c r="C355" s="1119">
        <v>0.88</v>
      </c>
      <c r="D355" s="1119">
        <v>3.49</v>
      </c>
      <c r="E355" s="1119">
        <v>0</v>
      </c>
      <c r="F355" s="1119">
        <v>0</v>
      </c>
      <c r="G355" s="1119">
        <v>3.49</v>
      </c>
      <c r="H355" s="1119">
        <v>3.49</v>
      </c>
    </row>
    <row r="356" spans="1:8" s="1108" customFormat="1" ht="13.5" customHeight="1" x14ac:dyDescent="0.25">
      <c r="A356" s="1119" t="s">
        <v>1131</v>
      </c>
      <c r="B356" s="1119">
        <v>2800</v>
      </c>
      <c r="C356" s="1119">
        <v>0.88</v>
      </c>
      <c r="D356" s="1119">
        <v>2.91</v>
      </c>
      <c r="E356" s="1119">
        <v>0</v>
      </c>
      <c r="F356" s="1119">
        <v>0</v>
      </c>
      <c r="G356" s="1119">
        <v>2.91</v>
      </c>
      <c r="H356" s="1119">
        <v>2.91</v>
      </c>
    </row>
    <row r="357" spans="1:8" s="1108" customFormat="1" ht="13.5" customHeight="1" x14ac:dyDescent="0.25">
      <c r="A357" s="1119" t="s">
        <v>1132</v>
      </c>
      <c r="B357" s="1119">
        <v>2000</v>
      </c>
      <c r="C357" s="1119">
        <v>0.88</v>
      </c>
      <c r="D357" s="1119">
        <v>0.93</v>
      </c>
      <c r="E357" s="1119">
        <v>2</v>
      </c>
      <c r="F357" s="1119">
        <v>3</v>
      </c>
      <c r="G357" s="1119">
        <v>1.1599999999999999</v>
      </c>
      <c r="H357" s="1119">
        <v>1.28</v>
      </c>
    </row>
    <row r="358" spans="1:8" s="1108" customFormat="1" ht="13.5" customHeight="1" x14ac:dyDescent="0.25">
      <c r="A358" s="1129" t="s">
        <v>1003</v>
      </c>
      <c r="B358" s="1119">
        <v>1800</v>
      </c>
      <c r="C358" s="1119">
        <v>0.88</v>
      </c>
      <c r="D358" s="1119">
        <v>0.7</v>
      </c>
      <c r="E358" s="1119">
        <v>2</v>
      </c>
      <c r="F358" s="1119">
        <v>3</v>
      </c>
      <c r="G358" s="1119">
        <v>0.93</v>
      </c>
      <c r="H358" s="1119">
        <v>1.05</v>
      </c>
    </row>
    <row r="359" spans="1:8" s="1108" customFormat="1" ht="13.5" customHeight="1" x14ac:dyDescent="0.25">
      <c r="A359" s="1119" t="s">
        <v>1132</v>
      </c>
      <c r="B359" s="1119">
        <v>1600</v>
      </c>
      <c r="C359" s="1119">
        <v>0.88</v>
      </c>
      <c r="D359" s="1119">
        <v>0.57999999999999996</v>
      </c>
      <c r="E359" s="1119">
        <v>2</v>
      </c>
      <c r="F359" s="1119">
        <v>3</v>
      </c>
      <c r="G359" s="1119">
        <v>0.73</v>
      </c>
      <c r="H359" s="1119">
        <v>0.81</v>
      </c>
    </row>
    <row r="360" spans="1:8" s="1108" customFormat="1" ht="13.5" customHeight="1" x14ac:dyDescent="0.25">
      <c r="A360" s="1129" t="s">
        <v>1003</v>
      </c>
      <c r="B360" s="1119">
        <v>1400</v>
      </c>
      <c r="C360" s="1119">
        <v>0.88</v>
      </c>
      <c r="D360" s="1119">
        <v>0.49</v>
      </c>
      <c r="E360" s="1119">
        <v>2</v>
      </c>
      <c r="F360" s="1119">
        <v>3</v>
      </c>
      <c r="G360" s="1119">
        <v>0.56000000000000005</v>
      </c>
      <c r="H360" s="1119">
        <v>0.57999999999999996</v>
      </c>
    </row>
    <row r="361" spans="1:8" s="1108" customFormat="1" ht="13.5" customHeight="1" x14ac:dyDescent="0.25">
      <c r="A361" s="1119" t="s">
        <v>1133</v>
      </c>
      <c r="B361" s="1119">
        <v>2000</v>
      </c>
      <c r="C361" s="1119">
        <v>0.88</v>
      </c>
      <c r="D361" s="1119">
        <v>0.76</v>
      </c>
      <c r="E361" s="1119">
        <v>3</v>
      </c>
      <c r="F361" s="1119">
        <v>5</v>
      </c>
      <c r="G361" s="1119">
        <v>0.93</v>
      </c>
      <c r="H361" s="1119">
        <v>1.05</v>
      </c>
    </row>
    <row r="362" spans="1:8" s="1108" customFormat="1" ht="13.5" customHeight="1" x14ac:dyDescent="0.25">
      <c r="A362" s="1129" t="s">
        <v>1003</v>
      </c>
      <c r="B362" s="1119">
        <v>1800</v>
      </c>
      <c r="C362" s="1119">
        <v>0.88</v>
      </c>
      <c r="D362" s="1119">
        <v>0.56000000000000005</v>
      </c>
      <c r="E362" s="1119">
        <v>3</v>
      </c>
      <c r="F362" s="1119">
        <v>5</v>
      </c>
      <c r="G362" s="1119">
        <v>0.7</v>
      </c>
      <c r="H362" s="1119">
        <v>0.81</v>
      </c>
    </row>
    <row r="363" spans="1:8" s="1108" customFormat="1" ht="13.5" customHeight="1" x14ac:dyDescent="0.25">
      <c r="A363" s="1129" t="s">
        <v>1003</v>
      </c>
      <c r="B363" s="1119">
        <v>1600</v>
      </c>
      <c r="C363" s="1119">
        <v>0.88</v>
      </c>
      <c r="D363" s="1119">
        <v>0.41</v>
      </c>
      <c r="E363" s="1119">
        <v>3</v>
      </c>
      <c r="F363" s="1119">
        <v>5</v>
      </c>
      <c r="G363" s="1119">
        <v>0.52</v>
      </c>
      <c r="H363" s="1119">
        <v>0.64</v>
      </c>
    </row>
    <row r="364" spans="1:8" s="1108" customFormat="1" ht="13.5" customHeight="1" x14ac:dyDescent="0.25">
      <c r="A364" s="1129" t="s">
        <v>1003</v>
      </c>
      <c r="B364" s="1119">
        <v>1400</v>
      </c>
      <c r="C364" s="1119">
        <v>0.88</v>
      </c>
      <c r="D364" s="1119">
        <v>0.33</v>
      </c>
      <c r="E364" s="1119">
        <v>3</v>
      </c>
      <c r="F364" s="1119">
        <v>5</v>
      </c>
      <c r="G364" s="1119">
        <v>0.43</v>
      </c>
      <c r="H364" s="1119">
        <v>0.52</v>
      </c>
    </row>
    <row r="365" spans="1:8" s="1108" customFormat="1" ht="13.5" customHeight="1" x14ac:dyDescent="0.25">
      <c r="A365" s="1129" t="s">
        <v>1003</v>
      </c>
      <c r="B365" s="1119">
        <v>1200</v>
      </c>
      <c r="C365" s="1119">
        <v>0.88</v>
      </c>
      <c r="D365" s="1119">
        <v>0.27</v>
      </c>
      <c r="E365" s="1119">
        <v>3</v>
      </c>
      <c r="F365" s="1119">
        <v>5</v>
      </c>
      <c r="G365" s="1119">
        <v>0.35</v>
      </c>
      <c r="H365" s="1119">
        <v>0.41</v>
      </c>
    </row>
    <row r="366" spans="1:8" s="1108" customFormat="1" ht="13.5" customHeight="1" x14ac:dyDescent="0.25">
      <c r="A366" s="1129" t="s">
        <v>1003</v>
      </c>
      <c r="B366" s="1119">
        <v>1000</v>
      </c>
      <c r="C366" s="1119">
        <v>0.88</v>
      </c>
      <c r="D366" s="1119">
        <v>0.21</v>
      </c>
      <c r="E366" s="1119">
        <v>3</v>
      </c>
      <c r="F366" s="1119">
        <v>5</v>
      </c>
      <c r="G366" s="1119">
        <v>0.24</v>
      </c>
      <c r="H366" s="1119">
        <v>0.28999999999999998</v>
      </c>
    </row>
    <row r="367" spans="1:8" s="1108" customFormat="1" ht="13.5" customHeight="1" x14ac:dyDescent="0.25">
      <c r="A367" s="2522" t="s">
        <v>1134</v>
      </c>
      <c r="B367" s="2522"/>
      <c r="C367" s="2522"/>
      <c r="D367" s="2522"/>
      <c r="E367" s="2522"/>
      <c r="F367" s="2522"/>
      <c r="G367" s="2522"/>
      <c r="H367" s="2522"/>
    </row>
    <row r="368" spans="1:8" s="1108" customFormat="1" ht="13.5" customHeight="1" x14ac:dyDescent="0.25">
      <c r="A368" s="1119" t="s">
        <v>1135</v>
      </c>
      <c r="B368" s="1119">
        <v>1800</v>
      </c>
      <c r="C368" s="1119">
        <v>0.84</v>
      </c>
      <c r="D368" s="1119">
        <v>0.35</v>
      </c>
      <c r="E368" s="1119">
        <v>2</v>
      </c>
      <c r="F368" s="1119">
        <v>3</v>
      </c>
      <c r="G368" s="1119">
        <v>0.47</v>
      </c>
      <c r="H368" s="1119">
        <v>0.52</v>
      </c>
    </row>
    <row r="369" spans="1:15" s="1108" customFormat="1" ht="13.5" customHeight="1" x14ac:dyDescent="0.25">
      <c r="A369" s="1119" t="s">
        <v>1006</v>
      </c>
      <c r="B369" s="1119">
        <v>1600</v>
      </c>
      <c r="C369" s="1119">
        <v>0.84</v>
      </c>
      <c r="D369" s="1119">
        <v>0.23</v>
      </c>
      <c r="E369" s="1119">
        <v>2</v>
      </c>
      <c r="F369" s="1119">
        <v>3</v>
      </c>
      <c r="G369" s="1119">
        <v>0.35</v>
      </c>
      <c r="H369" s="1119">
        <v>0.41</v>
      </c>
    </row>
    <row r="370" spans="1:15" ht="24" x14ac:dyDescent="0.25">
      <c r="A370" s="1119" t="s">
        <v>1136</v>
      </c>
      <c r="B370" s="1119">
        <v>1400</v>
      </c>
      <c r="C370" s="1119">
        <v>1.68</v>
      </c>
      <c r="D370" s="1119">
        <v>0.27</v>
      </c>
      <c r="E370" s="1119">
        <v>0</v>
      </c>
      <c r="F370" s="1119">
        <v>0</v>
      </c>
      <c r="G370" s="1119">
        <v>0.27</v>
      </c>
      <c r="H370" s="1119">
        <v>0.27</v>
      </c>
      <c r="I370" s="1108"/>
      <c r="J370" s="1108"/>
      <c r="K370" s="1108"/>
      <c r="L370" s="1108"/>
      <c r="M370" s="1108"/>
      <c r="N370" s="1108"/>
      <c r="O370" s="1108"/>
    </row>
    <row r="371" spans="1:15" x14ac:dyDescent="0.25">
      <c r="A371" s="1119" t="s">
        <v>1006</v>
      </c>
      <c r="B371" s="1119">
        <v>1200</v>
      </c>
      <c r="C371" s="1119">
        <v>1.68</v>
      </c>
      <c r="D371" s="1119">
        <v>0.22</v>
      </c>
      <c r="E371" s="1119">
        <v>0</v>
      </c>
      <c r="F371" s="1119">
        <v>0</v>
      </c>
      <c r="G371" s="1119">
        <v>0.22</v>
      </c>
      <c r="H371" s="1119">
        <v>0.22</v>
      </c>
      <c r="I371" s="1108"/>
      <c r="J371" s="1108"/>
      <c r="K371" s="1108"/>
      <c r="L371" s="1108"/>
      <c r="M371" s="1108"/>
      <c r="N371" s="1108"/>
      <c r="O371" s="1108"/>
    </row>
    <row r="372" spans="1:15" x14ac:dyDescent="0.25">
      <c r="A372" s="1129" t="s">
        <v>1003</v>
      </c>
      <c r="B372" s="1119">
        <v>1000</v>
      </c>
      <c r="C372" s="1119">
        <v>1.68</v>
      </c>
      <c r="D372" s="1119">
        <v>0.17</v>
      </c>
      <c r="E372" s="1119">
        <v>0</v>
      </c>
      <c r="F372" s="1119">
        <v>0</v>
      </c>
      <c r="G372" s="1119">
        <v>0.17</v>
      </c>
      <c r="H372" s="1119">
        <v>0.17</v>
      </c>
      <c r="I372" s="1108"/>
      <c r="J372" s="1108"/>
      <c r="K372" s="1108"/>
      <c r="L372" s="1108"/>
      <c r="M372" s="1108"/>
      <c r="N372" s="1108"/>
      <c r="O372" s="1108"/>
    </row>
    <row r="373" spans="1:15" x14ac:dyDescent="0.25">
      <c r="A373" s="1119" t="s">
        <v>1137</v>
      </c>
      <c r="B373" s="1119">
        <v>2100</v>
      </c>
      <c r="C373" s="1119">
        <v>1.68</v>
      </c>
      <c r="D373" s="1119">
        <v>1.05</v>
      </c>
      <c r="E373" s="1119">
        <v>0</v>
      </c>
      <c r="F373" s="1119">
        <v>0</v>
      </c>
      <c r="G373" s="1119">
        <v>1.05</v>
      </c>
      <c r="H373" s="1119">
        <v>1.05</v>
      </c>
      <c r="I373" s="1108"/>
      <c r="J373" s="1108"/>
      <c r="K373" s="1108"/>
      <c r="L373" s="1108"/>
      <c r="M373" s="1108"/>
      <c r="N373" s="1108"/>
      <c r="O373" s="1108"/>
    </row>
    <row r="374" spans="1:15" ht="24" x14ac:dyDescent="0.25">
      <c r="A374" s="1119" t="s">
        <v>1138</v>
      </c>
      <c r="B374" s="1119">
        <v>600</v>
      </c>
      <c r="C374" s="1119">
        <v>1.68</v>
      </c>
      <c r="D374" s="1119">
        <v>0.17</v>
      </c>
      <c r="E374" s="1119">
        <v>0</v>
      </c>
      <c r="F374" s="1119">
        <v>0</v>
      </c>
      <c r="G374" s="1119">
        <v>0.17</v>
      </c>
      <c r="H374" s="1119">
        <v>0.17</v>
      </c>
      <c r="I374" s="1108"/>
      <c r="J374" s="1108"/>
      <c r="K374" s="1108"/>
      <c r="L374" s="1108"/>
      <c r="M374" s="1108"/>
      <c r="N374" s="1108"/>
      <c r="O374" s="1108"/>
    </row>
    <row r="375" spans="1:15" ht="24" x14ac:dyDescent="0.25">
      <c r="A375" s="1119" t="s">
        <v>1139</v>
      </c>
      <c r="B375" s="1119">
        <v>1800</v>
      </c>
      <c r="C375" s="1119">
        <v>1.47</v>
      </c>
      <c r="D375" s="1119">
        <v>0.38</v>
      </c>
      <c r="E375" s="1119">
        <v>0</v>
      </c>
      <c r="F375" s="1119">
        <v>0</v>
      </c>
      <c r="G375" s="1119">
        <v>0.38</v>
      </c>
      <c r="H375" s="1119">
        <v>0.38</v>
      </c>
      <c r="I375" s="1108"/>
      <c r="J375" s="1108"/>
      <c r="K375" s="1108"/>
      <c r="L375" s="1108"/>
      <c r="M375" s="1108"/>
      <c r="N375" s="1108"/>
      <c r="O375" s="1108"/>
    </row>
    <row r="376" spans="1:15" x14ac:dyDescent="0.25">
      <c r="A376" s="1119" t="s">
        <v>1006</v>
      </c>
      <c r="B376" s="1119">
        <v>1600</v>
      </c>
      <c r="C376" s="1119">
        <v>1.47</v>
      </c>
      <c r="D376" s="1119">
        <v>0.33</v>
      </c>
      <c r="E376" s="1119">
        <v>0</v>
      </c>
      <c r="F376" s="1119">
        <v>0</v>
      </c>
      <c r="G376" s="1119">
        <v>0.33</v>
      </c>
      <c r="H376" s="1119">
        <v>0.33</v>
      </c>
      <c r="I376" s="1108"/>
      <c r="J376" s="1108"/>
      <c r="K376" s="1108"/>
      <c r="L376" s="1108"/>
      <c r="M376" s="1108"/>
      <c r="N376" s="1108"/>
      <c r="O376" s="1108"/>
    </row>
    <row r="377" spans="1:15" ht="24" x14ac:dyDescent="0.25">
      <c r="A377" s="1119" t="s">
        <v>1140</v>
      </c>
      <c r="B377" s="1119">
        <v>1800</v>
      </c>
      <c r="C377" s="1119">
        <v>1.47</v>
      </c>
      <c r="D377" s="1119">
        <v>0.35</v>
      </c>
      <c r="E377" s="1119">
        <v>0</v>
      </c>
      <c r="F377" s="1119">
        <v>0</v>
      </c>
      <c r="G377" s="1119">
        <v>0.35</v>
      </c>
      <c r="H377" s="1119">
        <v>0.35</v>
      </c>
      <c r="I377" s="1108"/>
      <c r="J377" s="1108"/>
      <c r="K377" s="1108"/>
      <c r="L377" s="1108"/>
      <c r="M377" s="1108"/>
      <c r="N377" s="1108"/>
      <c r="O377" s="1108"/>
    </row>
    <row r="378" spans="1:15" x14ac:dyDescent="0.25">
      <c r="A378" s="1119" t="s">
        <v>1006</v>
      </c>
      <c r="B378" s="1119">
        <v>1600</v>
      </c>
      <c r="C378" s="1119">
        <v>1.47</v>
      </c>
      <c r="D378" s="1119">
        <v>0.28999999999999998</v>
      </c>
      <c r="E378" s="1119">
        <v>0</v>
      </c>
      <c r="F378" s="1119">
        <v>0</v>
      </c>
      <c r="G378" s="1119">
        <v>0.28999999999999998</v>
      </c>
      <c r="H378" s="1119">
        <v>0.28999999999999998</v>
      </c>
      <c r="I378" s="1108"/>
      <c r="J378" s="1108"/>
      <c r="K378" s="1108"/>
      <c r="L378" s="1108"/>
      <c r="M378" s="1108"/>
      <c r="N378" s="1108"/>
      <c r="O378" s="1108"/>
    </row>
    <row r="379" spans="1:15" x14ac:dyDescent="0.25">
      <c r="A379" s="1127" t="s">
        <v>1003</v>
      </c>
      <c r="B379" s="1119">
        <v>1400</v>
      </c>
      <c r="C379" s="1119">
        <v>1.47</v>
      </c>
      <c r="D379" s="1119">
        <v>0.23</v>
      </c>
      <c r="E379" s="1119">
        <v>0</v>
      </c>
      <c r="F379" s="1119">
        <v>0</v>
      </c>
      <c r="G379" s="1119">
        <v>0.23</v>
      </c>
      <c r="H379" s="1119">
        <v>0.23</v>
      </c>
      <c r="I379" s="1108"/>
      <c r="J379" s="1108"/>
      <c r="K379" s="1108"/>
      <c r="L379" s="1108"/>
      <c r="M379" s="1108"/>
      <c r="N379" s="1108"/>
      <c r="O379" s="1108"/>
    </row>
    <row r="380" spans="1:15" x14ac:dyDescent="0.25">
      <c r="A380" s="2523" t="s">
        <v>1141</v>
      </c>
      <c r="B380" s="2523"/>
      <c r="C380" s="2523"/>
      <c r="D380" s="2523"/>
      <c r="E380" s="2523"/>
      <c r="F380" s="2523"/>
      <c r="G380" s="2523"/>
      <c r="H380" s="2523"/>
      <c r="I380" s="1108"/>
      <c r="J380" s="1108"/>
      <c r="K380" s="1108"/>
      <c r="L380" s="1108"/>
      <c r="M380" s="1108"/>
      <c r="N380" s="1108"/>
      <c r="O380" s="1108"/>
    </row>
    <row r="381" spans="1:15" ht="24" x14ac:dyDescent="0.25">
      <c r="A381" s="1119" t="s">
        <v>1142</v>
      </c>
      <c r="B381" s="1119">
        <v>7850</v>
      </c>
      <c r="C381" s="1119">
        <v>0.48199999999999998</v>
      </c>
      <c r="D381" s="1119">
        <v>58</v>
      </c>
      <c r="E381" s="1119">
        <v>0</v>
      </c>
      <c r="F381" s="1119">
        <v>0</v>
      </c>
      <c r="G381" s="1119">
        <v>58</v>
      </c>
      <c r="H381" s="1119">
        <v>58</v>
      </c>
      <c r="I381" s="1108"/>
      <c r="J381" s="1108"/>
      <c r="K381" s="1108"/>
      <c r="L381" s="1108"/>
      <c r="M381" s="1108"/>
      <c r="N381" s="1108"/>
      <c r="O381" s="1108"/>
    </row>
    <row r="382" spans="1:15" x14ac:dyDescent="0.25">
      <c r="A382" s="1119" t="s">
        <v>1143</v>
      </c>
      <c r="B382" s="1119">
        <v>7200</v>
      </c>
      <c r="C382" s="1119">
        <v>0.48199999999999998</v>
      </c>
      <c r="D382" s="1119">
        <v>50</v>
      </c>
      <c r="E382" s="1119">
        <v>0</v>
      </c>
      <c r="F382" s="1119">
        <v>0</v>
      </c>
      <c r="G382" s="1119">
        <v>50</v>
      </c>
      <c r="H382" s="1119">
        <v>50</v>
      </c>
      <c r="I382" s="1108"/>
      <c r="J382" s="1108"/>
      <c r="K382" s="1108"/>
      <c r="L382" s="1108"/>
      <c r="M382" s="1108"/>
      <c r="N382" s="1108"/>
      <c r="O382" s="1108"/>
    </row>
    <row r="383" spans="1:15" x14ac:dyDescent="0.25">
      <c r="A383" s="1119" t="s">
        <v>1144</v>
      </c>
      <c r="B383" s="1119">
        <v>2600</v>
      </c>
      <c r="C383" s="1119">
        <v>0.84</v>
      </c>
      <c r="D383" s="1119">
        <v>221</v>
      </c>
      <c r="E383" s="1119">
        <v>0</v>
      </c>
      <c r="F383" s="1119">
        <v>0</v>
      </c>
      <c r="G383" s="1119">
        <v>221</v>
      </c>
      <c r="H383" s="1119">
        <v>221</v>
      </c>
      <c r="I383" s="1108"/>
      <c r="J383" s="1108"/>
      <c r="K383" s="1108"/>
      <c r="L383" s="1108"/>
      <c r="M383" s="1108"/>
      <c r="N383" s="1108"/>
      <c r="O383" s="1108"/>
    </row>
    <row r="384" spans="1:15" x14ac:dyDescent="0.25">
      <c r="A384" s="1119" t="s">
        <v>1145</v>
      </c>
      <c r="B384" s="1119">
        <v>8500</v>
      </c>
      <c r="C384" s="1119">
        <v>0.42</v>
      </c>
      <c r="D384" s="1119">
        <v>407</v>
      </c>
      <c r="E384" s="1119">
        <v>0</v>
      </c>
      <c r="F384" s="1119">
        <v>0</v>
      </c>
      <c r="G384" s="1119">
        <v>407</v>
      </c>
      <c r="H384" s="1119">
        <v>407</v>
      </c>
      <c r="I384" s="1108"/>
      <c r="J384" s="1108"/>
      <c r="K384" s="1108"/>
      <c r="L384" s="1108"/>
      <c r="M384" s="1108"/>
      <c r="N384" s="1108"/>
      <c r="O384" s="1108"/>
    </row>
    <row r="385" spans="1:15" x14ac:dyDescent="0.25">
      <c r="A385" s="1119" t="s">
        <v>1146</v>
      </c>
      <c r="B385" s="1119">
        <v>2500</v>
      </c>
      <c r="C385" s="1119">
        <v>0.84</v>
      </c>
      <c r="D385" s="1119">
        <v>0.76</v>
      </c>
      <c r="E385" s="1119">
        <v>0</v>
      </c>
      <c r="F385" s="1119">
        <v>0</v>
      </c>
      <c r="G385" s="1119">
        <v>0.76</v>
      </c>
      <c r="H385" s="1119">
        <v>0.76</v>
      </c>
      <c r="I385" s="1108"/>
      <c r="J385" s="1108"/>
      <c r="K385" s="1108"/>
      <c r="L385" s="1108"/>
      <c r="M385" s="1108"/>
      <c r="N385" s="1108"/>
      <c r="O385" s="1108"/>
    </row>
    <row r="389" spans="1:15" x14ac:dyDescent="0.25">
      <c r="A389" s="1130"/>
    </row>
    <row r="390" spans="1:15" x14ac:dyDescent="0.25">
      <c r="A390" s="1130" t="s">
        <v>1447</v>
      </c>
    </row>
    <row r="391" spans="1:15" x14ac:dyDescent="0.25">
      <c r="A391" s="1131"/>
      <c r="B391" s="71" t="s">
        <v>1438</v>
      </c>
      <c r="C391" s="71" t="s">
        <v>1439</v>
      </c>
      <c r="D391" s="71" t="s">
        <v>1440</v>
      </c>
      <c r="E391" s="71" t="s">
        <v>1441</v>
      </c>
    </row>
    <row r="392" spans="1:15" x14ac:dyDescent="0.25">
      <c r="A392" s="1131">
        <v>2000</v>
      </c>
      <c r="B392" s="71">
        <v>1.2</v>
      </c>
      <c r="C392" s="71">
        <v>1.8</v>
      </c>
      <c r="D392" s="71">
        <v>1.6</v>
      </c>
      <c r="E392" s="71">
        <v>0.35</v>
      </c>
    </row>
    <row r="393" spans="1:15" x14ac:dyDescent="0.25">
      <c r="A393" s="1131">
        <v>4000</v>
      </c>
      <c r="B393" s="71">
        <v>1.6</v>
      </c>
      <c r="C393" s="71">
        <v>2.5</v>
      </c>
      <c r="D393" s="71">
        <v>2.2000000000000002</v>
      </c>
      <c r="E393" s="71">
        <v>0.4</v>
      </c>
    </row>
    <row r="394" spans="1:15" x14ac:dyDescent="0.25">
      <c r="A394" s="1131">
        <v>6000</v>
      </c>
      <c r="B394" s="71">
        <v>2</v>
      </c>
      <c r="C394" s="71">
        <v>3.2</v>
      </c>
      <c r="D394" s="71">
        <v>2.8</v>
      </c>
      <c r="E394" s="71">
        <v>0.45</v>
      </c>
    </row>
    <row r="395" spans="1:15" x14ac:dyDescent="0.25">
      <c r="A395" s="1131">
        <v>8000</v>
      </c>
      <c r="B395" s="71">
        <v>2.4</v>
      </c>
      <c r="C395" s="71">
        <v>3.9</v>
      </c>
      <c r="D395" s="71">
        <v>3.4</v>
      </c>
      <c r="E395" s="71">
        <v>0.5</v>
      </c>
    </row>
    <row r="396" spans="1:15" x14ac:dyDescent="0.25">
      <c r="A396" s="1131">
        <v>10000</v>
      </c>
      <c r="B396" s="71">
        <v>2.8</v>
      </c>
      <c r="C396" s="71">
        <v>4.5999999999999996</v>
      </c>
      <c r="D396" s="71">
        <v>4</v>
      </c>
      <c r="E396" s="71">
        <v>0.55000000000000004</v>
      </c>
    </row>
    <row r="397" spans="1:15" x14ac:dyDescent="0.25">
      <c r="A397" s="1131">
        <v>12000</v>
      </c>
      <c r="B397" s="71">
        <v>3.2</v>
      </c>
      <c r="C397" s="71">
        <v>5.3</v>
      </c>
      <c r="D397" s="71">
        <v>4.5999999999999996</v>
      </c>
      <c r="E397" s="71">
        <v>0.6</v>
      </c>
    </row>
    <row r="398" spans="1:15" x14ac:dyDescent="0.25">
      <c r="A398" s="1130"/>
      <c r="B398" s="51">
        <f>SLOPE(B392:B397,$A$392:$A$397)</f>
        <v>2.0000000000000001E-4</v>
      </c>
      <c r="C398" s="51">
        <f>SLOPE(C392:C397,$A$392:$A$397)</f>
        <v>3.5E-4</v>
      </c>
      <c r="D398" s="51">
        <f>SLOPE(D392:D397,$A$392:$A$397)</f>
        <v>2.9999999999999997E-4</v>
      </c>
      <c r="E398" s="51">
        <f>SLOPE(E392:E397,$A$392:$A$397)</f>
        <v>2.5000000000000001E-5</v>
      </c>
    </row>
    <row r="399" spans="1:15" x14ac:dyDescent="0.25">
      <c r="A399" s="1130"/>
      <c r="B399" s="51">
        <f>INTERCEPT(B392:B397,$A$392:$A$397)</f>
        <v>0.7999999999999996</v>
      </c>
      <c r="C399" s="51">
        <f>INTERCEPT(C392:C397,$A$392:$A$397)</f>
        <v>1.1000000000000001</v>
      </c>
      <c r="D399" s="51">
        <f>INTERCEPT(D392:D397,$A$392:$A$397)</f>
        <v>1.0000000000000004</v>
      </c>
      <c r="E399" s="51">
        <f>INTERCEPT(E392:E397,$A$392:$A$397)</f>
        <v>0.30000000000000004</v>
      </c>
    </row>
    <row r="400" spans="1:15" x14ac:dyDescent="0.25">
      <c r="A400" s="1130" t="s">
        <v>1448</v>
      </c>
    </row>
    <row r="401" spans="1:5" x14ac:dyDescent="0.25">
      <c r="A401" s="1131"/>
      <c r="B401" s="71" t="s">
        <v>1438</v>
      </c>
      <c r="C401" s="71" t="s">
        <v>1439</v>
      </c>
      <c r="D401" s="71" t="s">
        <v>1440</v>
      </c>
      <c r="E401" s="71" t="s">
        <v>1441</v>
      </c>
    </row>
    <row r="402" spans="1:5" x14ac:dyDescent="0.25">
      <c r="A402" s="1131">
        <v>2000</v>
      </c>
      <c r="B402" s="71">
        <v>2.1</v>
      </c>
      <c r="C402" s="71">
        <v>3.2</v>
      </c>
      <c r="D402" s="71">
        <v>2.8</v>
      </c>
      <c r="E402" s="71">
        <v>0.35</v>
      </c>
    </row>
    <row r="403" spans="1:5" x14ac:dyDescent="0.25">
      <c r="A403" s="1131">
        <v>4000</v>
      </c>
      <c r="B403" s="71">
        <v>2.8</v>
      </c>
      <c r="C403" s="71">
        <v>4.2</v>
      </c>
      <c r="D403" s="71">
        <v>3.7</v>
      </c>
      <c r="E403" s="71">
        <v>0.4</v>
      </c>
    </row>
    <row r="404" spans="1:5" x14ac:dyDescent="0.25">
      <c r="A404" s="1131">
        <v>6000</v>
      </c>
      <c r="B404" s="71">
        <v>3.5</v>
      </c>
      <c r="C404" s="71">
        <v>5.2</v>
      </c>
      <c r="D404" s="71">
        <v>4.5999999999999996</v>
      </c>
      <c r="E404" s="71">
        <v>0.45</v>
      </c>
    </row>
    <row r="405" spans="1:5" x14ac:dyDescent="0.25">
      <c r="A405" s="1131">
        <v>8000</v>
      </c>
      <c r="B405" s="71">
        <v>4.2</v>
      </c>
      <c r="C405" s="71">
        <v>6.2</v>
      </c>
      <c r="D405" s="71">
        <v>5.5</v>
      </c>
      <c r="E405" s="71">
        <v>0.5</v>
      </c>
    </row>
    <row r="406" spans="1:5" x14ac:dyDescent="0.25">
      <c r="A406" s="1131">
        <v>10000</v>
      </c>
      <c r="B406" s="71">
        <v>4.9000000000000004</v>
      </c>
      <c r="C406" s="71">
        <v>7.2</v>
      </c>
      <c r="D406" s="71">
        <v>6.4</v>
      </c>
      <c r="E406" s="71">
        <v>0.55000000000000004</v>
      </c>
    </row>
    <row r="407" spans="1:5" x14ac:dyDescent="0.25">
      <c r="A407" s="1131">
        <v>12000</v>
      </c>
      <c r="B407" s="71">
        <v>5.6</v>
      </c>
      <c r="C407" s="71">
        <v>8.1999999999999993</v>
      </c>
      <c r="D407" s="71">
        <v>7.3</v>
      </c>
      <c r="E407" s="71">
        <v>0.6</v>
      </c>
    </row>
    <row r="408" spans="1:5" x14ac:dyDescent="0.25">
      <c r="B408" s="51">
        <f>SLOPE(B402:B407,$A$402:$A$407)</f>
        <v>3.5E-4</v>
      </c>
      <c r="C408" s="51">
        <f>SLOPE(C402:C407,$A$402:$A$407)</f>
        <v>5.0000000000000001E-4</v>
      </c>
      <c r="D408" s="51">
        <f>SLOPE(D402:D407,$A$402:$A$407)</f>
        <v>4.4999999999999999E-4</v>
      </c>
      <c r="E408" s="51">
        <f>SLOPE(E402:E407,$A$402:$A$407)</f>
        <v>2.5000000000000001E-5</v>
      </c>
    </row>
    <row r="409" spans="1:5" x14ac:dyDescent="0.25">
      <c r="B409" s="51">
        <f>INTERCEPT(B402:B407,$A$402:$A$407)</f>
        <v>1.4</v>
      </c>
      <c r="C409" s="51">
        <f>INTERCEPT(C402:C407,$A$402:$A$407)</f>
        <v>2.2000000000000002</v>
      </c>
      <c r="D409" s="51">
        <f>INTERCEPT(D402:D407,$A$402:$A$407)</f>
        <v>1.9</v>
      </c>
      <c r="E409" s="51">
        <f>INTERCEPT(E402:E407,$A$402:$A$407)</f>
        <v>0.30000000000000004</v>
      </c>
    </row>
    <row r="410" spans="1:5" x14ac:dyDescent="0.25">
      <c r="A410" s="77" t="s">
        <v>1442</v>
      </c>
    </row>
    <row r="411" spans="1:5" x14ac:dyDescent="0.25">
      <c r="A411" s="71"/>
      <c r="B411" s="71" t="s">
        <v>1445</v>
      </c>
      <c r="C411" s="71" t="s">
        <v>1446</v>
      </c>
    </row>
    <row r="412" spans="1:5" x14ac:dyDescent="0.25">
      <c r="A412" s="71" t="s">
        <v>514</v>
      </c>
      <c r="B412" s="260" t="e">
        <f>B399+B398*Климатология!$I$2</f>
        <v>#N/A</v>
      </c>
      <c r="C412" s="260" t="e">
        <f>B409+B408*Климатология!$I$2</f>
        <v>#N/A</v>
      </c>
    </row>
    <row r="413" spans="1:5" x14ac:dyDescent="0.25">
      <c r="A413" s="71" t="s">
        <v>1439</v>
      </c>
      <c r="B413" s="260" t="e">
        <f>C399+C398*Климатология!$I$2</f>
        <v>#N/A</v>
      </c>
      <c r="C413" s="260" t="e">
        <f>C409+C408*Климатология!$I$2</f>
        <v>#N/A</v>
      </c>
    </row>
    <row r="414" spans="1:5" x14ac:dyDescent="0.25">
      <c r="A414" s="71" t="s">
        <v>1440</v>
      </c>
      <c r="B414" s="260" t="e">
        <f>D399+D398*Климатология!$I$2</f>
        <v>#N/A</v>
      </c>
      <c r="C414" s="260" t="e">
        <f>D409+D408*Климатология!$I$2</f>
        <v>#N/A</v>
      </c>
    </row>
    <row r="415" spans="1:5" x14ac:dyDescent="0.25">
      <c r="A415" s="71" t="s">
        <v>1441</v>
      </c>
      <c r="B415" s="260" t="e">
        <f>E399+E398*Климатология!$I$2</f>
        <v>#N/A</v>
      </c>
      <c r="C415" s="260" t="e">
        <f>E409+E408*Климатология!$I$2</f>
        <v>#N/A</v>
      </c>
    </row>
  </sheetData>
  <sheetProtection password="ECB1" sheet="1" objects="1" scenarios="1"/>
  <mergeCells count="53">
    <mergeCell ref="A1:U1"/>
    <mergeCell ref="A93:C93"/>
    <mergeCell ref="A74:C74"/>
    <mergeCell ref="A79:C79"/>
    <mergeCell ref="A90:C90"/>
    <mergeCell ref="A91:C91"/>
    <mergeCell ref="A92:C92"/>
    <mergeCell ref="A3:A4"/>
    <mergeCell ref="B3:B4"/>
    <mergeCell ref="C3:H3"/>
    <mergeCell ref="I3:K3"/>
    <mergeCell ref="A97:A101"/>
    <mergeCell ref="B97:D97"/>
    <mergeCell ref="E97:H97"/>
    <mergeCell ref="C98:C101"/>
    <mergeCell ref="E98:F98"/>
    <mergeCell ref="E99:F99"/>
    <mergeCell ref="E100:F100"/>
    <mergeCell ref="G98:H100"/>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237:H237"/>
    <mergeCell ref="A245:H245"/>
    <mergeCell ref="A246:H246"/>
    <mergeCell ref="A261:H261"/>
    <mergeCell ref="A308:H308"/>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F3" sqref="F3"/>
    </sheetView>
  </sheetViews>
  <sheetFormatPr defaultColWidth="9.140625" defaultRowHeight="15" x14ac:dyDescent="0.25"/>
  <cols>
    <col min="1" max="1" width="95.7109375" style="51" customWidth="1"/>
    <col min="2" max="2" width="35.28515625" style="51" customWidth="1"/>
    <col min="3" max="4" width="10.140625" style="51" customWidth="1"/>
    <col min="5" max="5" width="24.5703125" style="51" customWidth="1"/>
    <col min="6" max="16384" width="9.140625" style="51"/>
  </cols>
  <sheetData>
    <row r="1" spans="1:60" ht="62.25" customHeight="1" x14ac:dyDescent="0.45">
      <c r="A1" s="2446" t="s">
        <v>1398</v>
      </c>
      <c r="B1" s="2446"/>
      <c r="C1" s="2446"/>
      <c r="D1" s="2446"/>
      <c r="E1" s="2446"/>
      <c r="F1" s="2446"/>
      <c r="G1" s="2446"/>
      <c r="H1" s="2446"/>
      <c r="I1" s="2446"/>
      <c r="J1" s="2446"/>
      <c r="K1" s="2446"/>
      <c r="L1" s="2446"/>
      <c r="M1" s="2446"/>
      <c r="N1" s="2446"/>
      <c r="O1" s="2446"/>
      <c r="P1" s="2446"/>
      <c r="Q1" s="2446"/>
      <c r="R1" s="2446"/>
      <c r="S1" s="2446"/>
      <c r="T1" s="2446"/>
      <c r="U1" s="2446"/>
      <c r="V1" s="2446"/>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x14ac:dyDescent="0.25">
      <c r="E2" s="52"/>
      <c r="F2" s="2552" t="s">
        <v>891</v>
      </c>
      <c r="G2" s="2553"/>
      <c r="H2" s="2552" t="s">
        <v>892</v>
      </c>
      <c r="I2" s="2553"/>
    </row>
    <row r="3" spans="1:60" ht="38.25" x14ac:dyDescent="0.25">
      <c r="A3" s="53" t="s">
        <v>762</v>
      </c>
      <c r="B3" s="54" t="s">
        <v>764</v>
      </c>
      <c r="E3" s="52"/>
      <c r="F3" s="55">
        <v>1</v>
      </c>
      <c r="G3" s="55"/>
      <c r="H3" s="55"/>
      <c r="I3" s="56"/>
    </row>
    <row r="4" spans="1:60" ht="25.5" x14ac:dyDescent="0.25">
      <c r="A4" s="57" t="s">
        <v>765</v>
      </c>
      <c r="B4" s="58">
        <f>0.5</f>
        <v>0.5</v>
      </c>
      <c r="C4" s="51">
        <f>IF(AND($F$9=1,$F$11=0,$F$7=1),1,0)</f>
        <v>0</v>
      </c>
      <c r="D4" s="51">
        <f>IF(AND($H$9=1,$H$11=0,$H$7=1),1,0)</f>
        <v>0</v>
      </c>
      <c r="E4" s="52" t="s">
        <v>794</v>
      </c>
      <c r="F4" s="55">
        <f>IF($F$3=1,1,0)</f>
        <v>1</v>
      </c>
      <c r="G4" s="55"/>
      <c r="H4" s="55">
        <f>IF(OR(F4=0,H5=1,H6=1),0,1)</f>
        <v>0</v>
      </c>
      <c r="I4" s="56"/>
    </row>
    <row r="5" spans="1:60" ht="25.5" x14ac:dyDescent="0.25">
      <c r="A5" s="57" t="s">
        <v>766</v>
      </c>
      <c r="B5" s="58">
        <f>0.5</f>
        <v>0.5</v>
      </c>
      <c r="C5" s="51">
        <f>IF(AND($F$10=1,$F$11=0,$F$7=1),1,0)</f>
        <v>0</v>
      </c>
      <c r="D5" s="51">
        <f>IF(AND($H$10=1,$H$11=0,$H$7=1),1,0)</f>
        <v>0</v>
      </c>
      <c r="E5" s="52" t="s">
        <v>795</v>
      </c>
      <c r="F5" s="55">
        <f>IF($F$3=2,1,0)</f>
        <v>0</v>
      </c>
      <c r="G5" s="55"/>
      <c r="H5" s="55">
        <f>IF(OR(F5=1,'Список мероприятий'!D35=списки!N45),1,0)</f>
        <v>1</v>
      </c>
      <c r="I5" s="56"/>
    </row>
    <row r="6" spans="1:60" ht="30" customHeight="1" x14ac:dyDescent="0.25">
      <c r="A6" s="57" t="s">
        <v>767</v>
      </c>
      <c r="B6" s="58">
        <f>0.85</f>
        <v>0.85</v>
      </c>
      <c r="C6" s="51">
        <f>IF(AND($F$9=1,$F$11=1,$F$7=1),1,0)</f>
        <v>0</v>
      </c>
      <c r="D6" s="51">
        <f>IF(AND($H$9=1,$H$11=1,$H$7=1),1,0)</f>
        <v>0</v>
      </c>
      <c r="E6" s="52" t="s">
        <v>796</v>
      </c>
      <c r="F6" s="55">
        <f>IF($F$3=3,1,0)</f>
        <v>0</v>
      </c>
      <c r="G6" s="55"/>
      <c r="H6" s="55">
        <f>IF(OR(F6=1,'Список мероприятий'!D35=списки!N46),1,0)</f>
        <v>0</v>
      </c>
      <c r="I6" s="56"/>
    </row>
    <row r="7" spans="1:60" ht="29.45" customHeight="1" x14ac:dyDescent="0.25">
      <c r="A7" s="57" t="s">
        <v>768</v>
      </c>
      <c r="B7" s="58">
        <f>0.9</f>
        <v>0.9</v>
      </c>
      <c r="C7" s="51">
        <f>IF(AND($F$10=1,$F$11=1,$F$7=1),1,0)</f>
        <v>0</v>
      </c>
      <c r="D7" s="51">
        <f>IF(AND($H$10=1,$H$11=1,$H$7=1),1,0)</f>
        <v>0</v>
      </c>
      <c r="E7" s="52" t="s">
        <v>798</v>
      </c>
      <c r="F7" s="55">
        <f>IF($F$3=4,1,0)</f>
        <v>0</v>
      </c>
      <c r="G7" s="55"/>
      <c r="H7" s="55">
        <f>IF(AND(H5=0,H6=0,H4=0),1,0)</f>
        <v>0</v>
      </c>
      <c r="I7" s="56"/>
    </row>
    <row r="8" spans="1:60" ht="18" customHeight="1" x14ac:dyDescent="0.25">
      <c r="A8" s="57" t="s">
        <v>769</v>
      </c>
      <c r="B8" s="58">
        <f>0.5</f>
        <v>0.5</v>
      </c>
      <c r="C8" s="51">
        <f>IF(AND($F$9=1,$F$11=0,$F$4=1),1,0)</f>
        <v>0</v>
      </c>
      <c r="D8" s="51">
        <f>IF(AND($H$9=1,$H$11=0,$H$4=1),1,0)</f>
        <v>0</v>
      </c>
      <c r="E8" s="59" t="s">
        <v>739</v>
      </c>
      <c r="F8" s="55">
        <v>2</v>
      </c>
      <c r="G8" s="55"/>
      <c r="H8" s="55"/>
      <c r="I8" s="56"/>
    </row>
    <row r="9" spans="1:60" ht="23.45" customHeight="1" x14ac:dyDescent="0.25">
      <c r="A9" s="57" t="s">
        <v>770</v>
      </c>
      <c r="B9" s="58">
        <f>0.5</f>
        <v>0.5</v>
      </c>
      <c r="C9" s="51">
        <f>IF(AND($F$10=1,$F$11=0,$F$4=1),1,0)</f>
        <v>1</v>
      </c>
      <c r="D9" s="51">
        <f>IF(AND($H$10=1,$H$11=0,$H$4=1),1,0)</f>
        <v>0</v>
      </c>
      <c r="E9" s="59" t="s">
        <v>737</v>
      </c>
      <c r="F9" s="55">
        <f>IF(F8=1,1,0)</f>
        <v>0</v>
      </c>
      <c r="G9" s="55"/>
      <c r="H9" s="55">
        <f>F9</f>
        <v>0</v>
      </c>
      <c r="I9" s="56"/>
    </row>
    <row r="10" spans="1:60" ht="21" customHeight="1" x14ac:dyDescent="0.25">
      <c r="A10" s="57" t="s">
        <v>771</v>
      </c>
      <c r="B10" s="58">
        <f>0.85</f>
        <v>0.85</v>
      </c>
      <c r="C10" s="51">
        <f>IF(AND($F$9=1,$F$11=1,$F$4=1),1,0)</f>
        <v>0</v>
      </c>
      <c r="D10" s="51">
        <f>IF(AND($H$9=1,$H$11=1,$H$4=1),1,0)</f>
        <v>0</v>
      </c>
      <c r="E10" s="59" t="s">
        <v>738</v>
      </c>
      <c r="F10" s="55">
        <f>IF(F8=2,1,0)</f>
        <v>1</v>
      </c>
      <c r="G10" s="55"/>
      <c r="H10" s="55">
        <f>F10</f>
        <v>1</v>
      </c>
      <c r="I10" s="56"/>
    </row>
    <row r="11" spans="1:60" ht="26.45" customHeight="1" x14ac:dyDescent="0.25">
      <c r="A11" s="57" t="s">
        <v>772</v>
      </c>
      <c r="B11" s="58">
        <f>0.9</f>
        <v>0.9</v>
      </c>
      <c r="C11" s="51">
        <f>IF(AND($F$10=1,$F$11=1,$F$4=1),1,0)</f>
        <v>0</v>
      </c>
      <c r="D11" s="51">
        <f>IF(AND($H$10=1,$H$11=1,$H$4=1),1,0)</f>
        <v>0</v>
      </c>
      <c r="E11" s="56" t="s">
        <v>797</v>
      </c>
      <c r="F11" s="55">
        <f>IF(G11=TRUE,1,0)</f>
        <v>0</v>
      </c>
      <c r="G11" s="55" t="b">
        <v>0</v>
      </c>
      <c r="H11" s="55">
        <f>F11</f>
        <v>0</v>
      </c>
      <c r="I11" s="56"/>
    </row>
    <row r="12" spans="1:60" ht="29.45" customHeight="1" x14ac:dyDescent="0.25">
      <c r="A12" s="57" t="s">
        <v>773</v>
      </c>
      <c r="B12" s="58">
        <f>0.7</f>
        <v>0.7</v>
      </c>
      <c r="C12" s="51">
        <f>IF(AND($F$9=1,$F$11=0,$F$5=1),1,0)</f>
        <v>0</v>
      </c>
      <c r="D12" s="51">
        <f>IF(AND($H$9=1,$H$11=0,$H$5=1),1,0)</f>
        <v>0</v>
      </c>
      <c r="E12" s="60"/>
    </row>
    <row r="13" spans="1:60" ht="29.45" customHeight="1" x14ac:dyDescent="0.25">
      <c r="A13" s="57" t="s">
        <v>774</v>
      </c>
      <c r="B13" s="58">
        <f>0.7</f>
        <v>0.7</v>
      </c>
      <c r="C13" s="51">
        <f>IF(AND($F$10=1,$F$11=0,$F$5=1),1,0)</f>
        <v>0</v>
      </c>
      <c r="D13" s="51">
        <f>IF(AND($H$10=1,$H$11=0,$H$5=1),1,0)</f>
        <v>1</v>
      </c>
      <c r="E13" s="60"/>
    </row>
    <row r="14" spans="1:60" ht="32.450000000000003" customHeight="1" x14ac:dyDescent="0.25">
      <c r="A14" s="57" t="s">
        <v>775</v>
      </c>
      <c r="B14" s="58">
        <f>0.9</f>
        <v>0.9</v>
      </c>
      <c r="C14" s="51">
        <f>IF(AND($F$9=1,$F$11=1,$F$5=1),1,0)</f>
        <v>0</v>
      </c>
      <c r="D14" s="51">
        <f>IF(AND($H$9=1,$H$11=1,$H$5=1),1,0)</f>
        <v>0</v>
      </c>
      <c r="E14" s="60"/>
    </row>
    <row r="15" spans="1:60" ht="29.45" customHeight="1" x14ac:dyDescent="0.25">
      <c r="A15" s="57" t="s">
        <v>776</v>
      </c>
      <c r="B15" s="58">
        <f>0.95</f>
        <v>0.95</v>
      </c>
      <c r="C15" s="51">
        <f>IF(AND($F$10=1,$F$11=1,$F$5=1),1,0)</f>
        <v>0</v>
      </c>
      <c r="D15" s="51">
        <f>IF(AND($H$10=1,$H$11=1,$H$5=1),1,0)</f>
        <v>0</v>
      </c>
      <c r="E15" s="60"/>
    </row>
    <row r="16" spans="1:60" ht="29.45" customHeight="1" x14ac:dyDescent="0.25">
      <c r="A16" s="57" t="s">
        <v>777</v>
      </c>
      <c r="B16" s="58">
        <f>0.7</f>
        <v>0.7</v>
      </c>
      <c r="C16" s="51">
        <f>IF(AND($F$9=1,$F$11=0,$F$6=1),1,0)</f>
        <v>0</v>
      </c>
      <c r="D16" s="51">
        <f>IF(AND($H$9=1,$H$11=0,$H$6=1),1,0)</f>
        <v>0</v>
      </c>
      <c r="E16" s="60"/>
    </row>
    <row r="17" spans="1:5" ht="29.45" customHeight="1" x14ac:dyDescent="0.25">
      <c r="A17" s="57" t="s">
        <v>778</v>
      </c>
      <c r="B17" s="58">
        <f>0.7</f>
        <v>0.7</v>
      </c>
      <c r="C17" s="51">
        <f>IF(AND($F$10=1,$F$11=0,$F$6=1),1,0)</f>
        <v>0</v>
      </c>
      <c r="D17" s="51">
        <f>IF(AND($H$10=1,$H$11=0,$H$6=1),1,0)</f>
        <v>0</v>
      </c>
      <c r="E17" s="60"/>
    </row>
    <row r="18" spans="1:5" ht="29.45" customHeight="1" x14ac:dyDescent="0.25">
      <c r="A18" s="57" t="s">
        <v>779</v>
      </c>
      <c r="B18" s="58">
        <f>0.9</f>
        <v>0.9</v>
      </c>
      <c r="C18" s="51">
        <f>IF(AND($F$9=1,$F$11=1,$F$6=1),1,0)</f>
        <v>0</v>
      </c>
      <c r="D18" s="51">
        <f>IF(AND($H$9=1,$H$11=1,$H$6=1),1,0)</f>
        <v>0</v>
      </c>
      <c r="E18" s="60"/>
    </row>
    <row r="19" spans="1:5" ht="27.95" customHeight="1" x14ac:dyDescent="0.25">
      <c r="A19" s="57" t="s">
        <v>780</v>
      </c>
      <c r="B19" s="58">
        <f>0.95</f>
        <v>0.95</v>
      </c>
      <c r="C19" s="51">
        <f>IF(AND($F$10=1,$F$11=1,$F$6=1),1,0)</f>
        <v>0</v>
      </c>
      <c r="D19" s="51">
        <f>IF(AND($H$10=1,$H$11=1,$H$6=1),1,0)</f>
        <v>0</v>
      </c>
      <c r="E19" s="60"/>
    </row>
    <row r="20" spans="1:5" ht="27.95" customHeight="1" x14ac:dyDescent="0.25">
      <c r="A20" s="61"/>
      <c r="B20" s="62"/>
      <c r="E20" s="60"/>
    </row>
    <row r="21" spans="1:5" ht="27.95" customHeight="1" x14ac:dyDescent="0.25">
      <c r="A21" s="63"/>
      <c r="B21" s="64"/>
      <c r="E21" s="60"/>
    </row>
    <row r="22" spans="1:5" ht="105" customHeight="1" x14ac:dyDescent="0.25">
      <c r="A22" s="53" t="s">
        <v>1399</v>
      </c>
      <c r="B22" s="65" t="s">
        <v>1400</v>
      </c>
      <c r="C22" s="51" t="s">
        <v>893</v>
      </c>
      <c r="E22" s="60" t="s">
        <v>894</v>
      </c>
    </row>
    <row r="23" spans="1:5" ht="27.95" customHeight="1" x14ac:dyDescent="0.25">
      <c r="A23" s="57" t="s">
        <v>1401</v>
      </c>
      <c r="B23" s="58">
        <f>1.13</f>
        <v>1.1299999999999999</v>
      </c>
      <c r="C23" s="51">
        <f>IF(AND(списки!D34=0,'Ввод исходных данных'!D17&gt;4),1,0)</f>
        <v>0</v>
      </c>
      <c r="E23" s="60">
        <f>IF(AND(списки!D32=0,списки!D34=0,'Ввод исходных данных'!D17&gt;4),1,0)</f>
        <v>0</v>
      </c>
    </row>
    <row r="24" spans="1:5" ht="27.95" customHeight="1" x14ac:dyDescent="0.25">
      <c r="A24" s="57" t="s">
        <v>1402</v>
      </c>
      <c r="B24" s="58">
        <f>1.11</f>
        <v>1.1100000000000001</v>
      </c>
      <c r="C24" s="51">
        <f>IF(AND(списки!D34=0,'Ввод исходных данных'!D19&gt;=9,'Ввод исходных данных'!D17=1),1,0)</f>
        <v>0</v>
      </c>
      <c r="E24" s="60"/>
    </row>
    <row r="25" spans="1:5" ht="27.95" customHeight="1" x14ac:dyDescent="0.25">
      <c r="A25" s="57" t="s">
        <v>1545</v>
      </c>
      <c r="B25" s="58">
        <v>1.0900000000000001</v>
      </c>
      <c r="C25" s="51">
        <f>IF(AND(списки!D34=0,'Ввод исходных данных'!D19&lt;9,'Ввод исходных данных'!D17&lt;=4),1,0)</f>
        <v>1</v>
      </c>
      <c r="E25" s="60"/>
    </row>
    <row r="26" spans="1:5" ht="27.95" customHeight="1" x14ac:dyDescent="0.25">
      <c r="A26" s="57" t="s">
        <v>1546</v>
      </c>
      <c r="B26" s="58">
        <f>1.07</f>
        <v>1.07</v>
      </c>
      <c r="C26" s="51">
        <f>IF(списки!D34=1,1,0)</f>
        <v>0</v>
      </c>
      <c r="E26" s="60"/>
    </row>
    <row r="27" spans="1:5" ht="27.95" customHeight="1" x14ac:dyDescent="0.25">
      <c r="A27" s="57" t="s">
        <v>1547</v>
      </c>
      <c r="B27" s="58">
        <f>1.05</f>
        <v>1.05</v>
      </c>
      <c r="E27" s="60"/>
    </row>
    <row r="28" spans="1:5" x14ac:dyDescent="0.25">
      <c r="B28" s="51">
        <v>1.0900000000000001</v>
      </c>
      <c r="C28" s="51">
        <f>IF(SUM(C23:C27)=0,1,0)</f>
        <v>0</v>
      </c>
      <c r="E28" s="60"/>
    </row>
    <row r="29" spans="1:5" x14ac:dyDescent="0.25">
      <c r="E29" s="60"/>
    </row>
    <row r="30" spans="1:5" x14ac:dyDescent="0.25">
      <c r="B30" s="1141">
        <v>3</v>
      </c>
      <c r="C30" s="51">
        <v>8</v>
      </c>
      <c r="E30" s="60"/>
    </row>
    <row r="31" spans="1:5" x14ac:dyDescent="0.25">
      <c r="A31" s="51" t="s">
        <v>1911</v>
      </c>
      <c r="B31" s="51">
        <f>IF(B30=3,1,0)</f>
        <v>1</v>
      </c>
      <c r="E31" s="60"/>
    </row>
    <row r="32" spans="1:5" x14ac:dyDescent="0.25">
      <c r="A32" s="51" t="s">
        <v>1912</v>
      </c>
      <c r="B32" s="51">
        <f>IF(B30=1,1,0)</f>
        <v>0</v>
      </c>
      <c r="E32" s="60"/>
    </row>
    <row r="33" spans="1:5" x14ac:dyDescent="0.25">
      <c r="A33" s="51" t="s">
        <v>1913</v>
      </c>
      <c r="B33" s="51">
        <f>IF(B30=2,1,0)</f>
        <v>0</v>
      </c>
      <c r="E33" s="60"/>
    </row>
    <row r="34" spans="1:5" x14ac:dyDescent="0.25">
      <c r="E34" s="60"/>
    </row>
    <row r="35" spans="1:5" x14ac:dyDescent="0.25">
      <c r="E35" s="60"/>
    </row>
    <row r="36" spans="1:5" x14ac:dyDescent="0.25">
      <c r="E36" s="60"/>
    </row>
    <row r="37" spans="1:5" x14ac:dyDescent="0.25">
      <c r="E37" s="60"/>
    </row>
    <row r="38" spans="1:5" x14ac:dyDescent="0.25">
      <c r="E38" s="60"/>
    </row>
    <row r="39" spans="1:5" x14ac:dyDescent="0.25">
      <c r="E39" s="60"/>
    </row>
    <row r="40" spans="1:5" x14ac:dyDescent="0.25">
      <c r="E40" s="60"/>
    </row>
    <row r="41" spans="1:5" x14ac:dyDescent="0.25">
      <c r="E41" s="60"/>
    </row>
    <row r="42" spans="1:5" x14ac:dyDescent="0.25">
      <c r="E42" s="60"/>
    </row>
    <row r="43" spans="1:5" x14ac:dyDescent="0.25">
      <c r="E43" s="60"/>
    </row>
    <row r="44" spans="1:5" x14ac:dyDescent="0.25">
      <c r="E44" s="60"/>
    </row>
    <row r="45" spans="1:5" x14ac:dyDescent="0.25">
      <c r="E45" s="60"/>
    </row>
    <row r="46" spans="1:5" x14ac:dyDescent="0.25">
      <c r="E46" s="60"/>
    </row>
    <row r="47" spans="1:5" x14ac:dyDescent="0.25">
      <c r="E47" s="60"/>
    </row>
    <row r="48" spans="1:5" x14ac:dyDescent="0.25">
      <c r="E48" s="60"/>
    </row>
    <row r="49" spans="5:5" x14ac:dyDescent="0.25">
      <c r="E49" s="60"/>
    </row>
    <row r="50" spans="5:5" x14ac:dyDescent="0.25">
      <c r="E50" s="60"/>
    </row>
    <row r="51" spans="5:5" x14ac:dyDescent="0.25">
      <c r="E51" s="60"/>
    </row>
    <row r="52" spans="5:5" x14ac:dyDescent="0.25">
      <c r="E52" s="60"/>
    </row>
    <row r="53" spans="5:5" x14ac:dyDescent="0.25">
      <c r="E53" s="60"/>
    </row>
    <row r="54" spans="5:5" x14ac:dyDescent="0.25">
      <c r="E54" s="60"/>
    </row>
    <row r="55" spans="5:5" x14ac:dyDescent="0.25">
      <c r="E55" s="60"/>
    </row>
    <row r="56" spans="5:5" x14ac:dyDescent="0.25">
      <c r="E56" s="60"/>
    </row>
    <row r="57" spans="5:5" x14ac:dyDescent="0.25">
      <c r="E57" s="60"/>
    </row>
    <row r="58" spans="5:5" x14ac:dyDescent="0.25">
      <c r="E58" s="60"/>
    </row>
    <row r="59" spans="5:5" x14ac:dyDescent="0.25">
      <c r="E59" s="60"/>
    </row>
    <row r="60" spans="5:5" x14ac:dyDescent="0.25">
      <c r="E60" s="60"/>
    </row>
    <row r="61" spans="5:5" x14ac:dyDescent="0.25">
      <c r="E61" s="60"/>
    </row>
    <row r="62" spans="5:5" x14ac:dyDescent="0.25">
      <c r="E62" s="60"/>
    </row>
    <row r="63" spans="5:5" x14ac:dyDescent="0.25">
      <c r="E63" s="60"/>
    </row>
    <row r="64" spans="5:5" x14ac:dyDescent="0.25">
      <c r="E64" s="60"/>
    </row>
    <row r="65" spans="5:5" x14ac:dyDescent="0.25">
      <c r="E65" s="60"/>
    </row>
    <row r="66" spans="5:5" x14ac:dyDescent="0.25">
      <c r="E66" s="60"/>
    </row>
    <row r="67" spans="5:5" x14ac:dyDescent="0.25">
      <c r="E67" s="60"/>
    </row>
    <row r="68" spans="5:5" x14ac:dyDescent="0.25">
      <c r="E68" s="60"/>
    </row>
    <row r="69" spans="5:5" x14ac:dyDescent="0.25">
      <c r="E69" s="60"/>
    </row>
    <row r="70" spans="5:5" x14ac:dyDescent="0.25">
      <c r="E70" s="60"/>
    </row>
    <row r="71" spans="5:5" x14ac:dyDescent="0.25">
      <c r="E71" s="60"/>
    </row>
    <row r="72" spans="5:5" x14ac:dyDescent="0.25">
      <c r="E72" s="60"/>
    </row>
    <row r="73" spans="5:5" x14ac:dyDescent="0.25">
      <c r="E73" s="60"/>
    </row>
    <row r="74" spans="5:5" x14ac:dyDescent="0.25">
      <c r="E74" s="60"/>
    </row>
    <row r="75" spans="5:5" x14ac:dyDescent="0.25">
      <c r="E75" s="60"/>
    </row>
    <row r="76" spans="5:5" x14ac:dyDescent="0.25">
      <c r="E76" s="60"/>
    </row>
    <row r="77" spans="5:5" x14ac:dyDescent="0.25">
      <c r="E77" s="60"/>
    </row>
    <row r="78" spans="5:5" x14ac:dyDescent="0.25">
      <c r="E78" s="60"/>
    </row>
    <row r="79" spans="5:5" x14ac:dyDescent="0.25">
      <c r="E79" s="60"/>
    </row>
    <row r="80" spans="5:5" x14ac:dyDescent="0.25">
      <c r="E80" s="60"/>
    </row>
    <row r="81" spans="5:5" x14ac:dyDescent="0.25">
      <c r="E81" s="60"/>
    </row>
    <row r="82" spans="5:5" x14ac:dyDescent="0.25">
      <c r="E82" s="60"/>
    </row>
    <row r="83" spans="5:5" x14ac:dyDescent="0.25">
      <c r="E83" s="60"/>
    </row>
    <row r="84" spans="5:5" x14ac:dyDescent="0.25">
      <c r="E84" s="60"/>
    </row>
    <row r="85" spans="5:5" x14ac:dyDescent="0.25">
      <c r="E85" s="60"/>
    </row>
    <row r="86" spans="5:5" x14ac:dyDescent="0.25">
      <c r="E86" s="60"/>
    </row>
    <row r="87" spans="5:5" x14ac:dyDescent="0.25">
      <c r="E87" s="60"/>
    </row>
    <row r="88" spans="5:5" x14ac:dyDescent="0.25">
      <c r="E88" s="60"/>
    </row>
    <row r="89" spans="5:5" x14ac:dyDescent="0.25">
      <c r="E89" s="60"/>
    </row>
    <row r="90" spans="5:5" x14ac:dyDescent="0.25">
      <c r="E90" s="60"/>
    </row>
    <row r="91" spans="5:5" x14ac:dyDescent="0.25">
      <c r="E91" s="60"/>
    </row>
    <row r="92" spans="5:5" x14ac:dyDescent="0.25">
      <c r="E92" s="60"/>
    </row>
    <row r="93" spans="5:5" x14ac:dyDescent="0.25">
      <c r="E93" s="60"/>
    </row>
    <row r="94" spans="5:5" x14ac:dyDescent="0.25">
      <c r="E94" s="60"/>
    </row>
    <row r="95" spans="5:5" x14ac:dyDescent="0.25">
      <c r="E95" s="60"/>
    </row>
    <row r="96" spans="5:5" x14ac:dyDescent="0.25">
      <c r="E96" s="60"/>
    </row>
    <row r="97" spans="5:5" x14ac:dyDescent="0.25">
      <c r="E97" s="60"/>
    </row>
    <row r="98" spans="5:5" x14ac:dyDescent="0.25">
      <c r="E98" s="60"/>
    </row>
    <row r="99" spans="5:5" x14ac:dyDescent="0.25">
      <c r="E99" s="60"/>
    </row>
    <row r="100" spans="5:5" x14ac:dyDescent="0.25">
      <c r="E100" s="60"/>
    </row>
    <row r="101" spans="5:5" x14ac:dyDescent="0.25">
      <c r="E101" s="60"/>
    </row>
    <row r="102" spans="5:5" x14ac:dyDescent="0.25">
      <c r="E102" s="60"/>
    </row>
    <row r="103" spans="5:5" x14ac:dyDescent="0.25">
      <c r="E103" s="60"/>
    </row>
    <row r="104" spans="5:5" x14ac:dyDescent="0.25">
      <c r="E104" s="60"/>
    </row>
    <row r="105" spans="5:5" x14ac:dyDescent="0.25">
      <c r="E105" s="60"/>
    </row>
    <row r="106" spans="5:5" x14ac:dyDescent="0.25">
      <c r="E106" s="60"/>
    </row>
    <row r="107" spans="5:5" x14ac:dyDescent="0.25">
      <c r="E107" s="60"/>
    </row>
    <row r="108" spans="5:5" x14ac:dyDescent="0.25">
      <c r="E108" s="60"/>
    </row>
    <row r="109" spans="5:5" x14ac:dyDescent="0.25">
      <c r="E109" s="60"/>
    </row>
    <row r="110" spans="5:5" x14ac:dyDescent="0.25">
      <c r="E110" s="60"/>
    </row>
    <row r="111" spans="5:5" x14ac:dyDescent="0.25">
      <c r="E111" s="60"/>
    </row>
    <row r="112" spans="5:5" x14ac:dyDescent="0.25">
      <c r="E112" s="60"/>
    </row>
    <row r="113" spans="5:5" x14ac:dyDescent="0.25">
      <c r="E113" s="60"/>
    </row>
    <row r="114" spans="5:5" x14ac:dyDescent="0.25">
      <c r="E114" s="60"/>
    </row>
    <row r="115" spans="5:5" x14ac:dyDescent="0.25">
      <c r="E115" s="60"/>
    </row>
    <row r="116" spans="5:5" x14ac:dyDescent="0.25">
      <c r="E116" s="60"/>
    </row>
    <row r="117" spans="5:5" x14ac:dyDescent="0.25">
      <c r="E117" s="60"/>
    </row>
    <row r="118" spans="5:5" x14ac:dyDescent="0.25">
      <c r="E118" s="60"/>
    </row>
    <row r="119" spans="5:5" x14ac:dyDescent="0.25">
      <c r="E119" s="60"/>
    </row>
    <row r="120" spans="5:5" x14ac:dyDescent="0.25">
      <c r="E120" s="60"/>
    </row>
    <row r="121" spans="5:5" x14ac:dyDescent="0.25">
      <c r="E121" s="60"/>
    </row>
    <row r="122" spans="5:5" x14ac:dyDescent="0.25">
      <c r="E122" s="60"/>
    </row>
    <row r="123" spans="5:5" x14ac:dyDescent="0.25">
      <c r="E123" s="60"/>
    </row>
    <row r="124" spans="5:5" x14ac:dyDescent="0.25">
      <c r="E124" s="60"/>
    </row>
    <row r="125" spans="5:5" x14ac:dyDescent="0.25">
      <c r="E125" s="60"/>
    </row>
    <row r="126" spans="5:5" x14ac:dyDescent="0.25">
      <c r="E126" s="60"/>
    </row>
    <row r="127" spans="5:5" x14ac:dyDescent="0.25">
      <c r="E127" s="60"/>
    </row>
    <row r="128" spans="5:5" x14ac:dyDescent="0.25">
      <c r="E128" s="60"/>
    </row>
    <row r="129" spans="5:5" x14ac:dyDescent="0.25">
      <c r="E129" s="60"/>
    </row>
    <row r="130" spans="5:5" x14ac:dyDescent="0.25">
      <c r="E130" s="60"/>
    </row>
    <row r="131" spans="5:5" x14ac:dyDescent="0.25">
      <c r="E131" s="60"/>
    </row>
    <row r="132" spans="5:5" x14ac:dyDescent="0.25">
      <c r="E132" s="60"/>
    </row>
    <row r="133" spans="5:5" x14ac:dyDescent="0.25">
      <c r="E133" s="60"/>
    </row>
    <row r="134" spans="5:5" x14ac:dyDescent="0.25">
      <c r="E134" s="60"/>
    </row>
    <row r="135" spans="5:5" x14ac:dyDescent="0.25">
      <c r="E135" s="60"/>
    </row>
    <row r="136" spans="5:5" x14ac:dyDescent="0.25">
      <c r="E136" s="60"/>
    </row>
    <row r="137" spans="5:5" x14ac:dyDescent="0.25">
      <c r="E137" s="60"/>
    </row>
    <row r="138" spans="5:5" x14ac:dyDescent="0.25">
      <c r="E138" s="60"/>
    </row>
    <row r="139" spans="5:5" x14ac:dyDescent="0.25">
      <c r="E139" s="60"/>
    </row>
    <row r="140" spans="5:5" x14ac:dyDescent="0.25">
      <c r="E140" s="60"/>
    </row>
    <row r="141" spans="5:5" x14ac:dyDescent="0.25">
      <c r="E141" s="60"/>
    </row>
    <row r="142" spans="5:5" x14ac:dyDescent="0.25">
      <c r="E142" s="60"/>
    </row>
    <row r="143" spans="5:5" x14ac:dyDescent="0.25">
      <c r="E143" s="60"/>
    </row>
    <row r="144" spans="5:5" x14ac:dyDescent="0.25">
      <c r="E144" s="60"/>
    </row>
    <row r="145" spans="5:5" x14ac:dyDescent="0.25">
      <c r="E145" s="60"/>
    </row>
    <row r="146" spans="5:5" x14ac:dyDescent="0.25">
      <c r="E146" s="60"/>
    </row>
    <row r="147" spans="5:5" x14ac:dyDescent="0.25">
      <c r="E147" s="60"/>
    </row>
    <row r="148" spans="5:5" x14ac:dyDescent="0.25">
      <c r="E148" s="60"/>
    </row>
    <row r="149" spans="5:5" x14ac:dyDescent="0.25">
      <c r="E149" s="60"/>
    </row>
    <row r="150" spans="5:5" x14ac:dyDescent="0.25">
      <c r="E150" s="60"/>
    </row>
    <row r="151" spans="5:5" x14ac:dyDescent="0.25">
      <c r="E151" s="60"/>
    </row>
    <row r="152" spans="5:5" x14ac:dyDescent="0.25">
      <c r="E152" s="60"/>
    </row>
    <row r="153" spans="5:5" x14ac:dyDescent="0.25">
      <c r="E153" s="60"/>
    </row>
    <row r="154" spans="5:5" x14ac:dyDescent="0.25">
      <c r="E154" s="60"/>
    </row>
    <row r="155" spans="5:5" x14ac:dyDescent="0.25">
      <c r="E155" s="60"/>
    </row>
    <row r="156" spans="5:5" x14ac:dyDescent="0.25">
      <c r="E156" s="60"/>
    </row>
    <row r="157" spans="5:5" x14ac:dyDescent="0.25">
      <c r="E157" s="60"/>
    </row>
    <row r="158" spans="5:5" x14ac:dyDescent="0.25">
      <c r="E158" s="60"/>
    </row>
    <row r="159" spans="5:5" x14ac:dyDescent="0.25">
      <c r="E159" s="60"/>
    </row>
    <row r="160" spans="5:5" x14ac:dyDescent="0.25">
      <c r="E160" s="60"/>
    </row>
    <row r="161" spans="5:5" x14ac:dyDescent="0.25">
      <c r="E161" s="60"/>
    </row>
    <row r="162" spans="5:5" x14ac:dyDescent="0.25">
      <c r="E162" s="60"/>
    </row>
    <row r="163" spans="5:5" x14ac:dyDescent="0.25">
      <c r="E163" s="60"/>
    </row>
    <row r="164" spans="5:5" x14ac:dyDescent="0.25">
      <c r="E164" s="60"/>
    </row>
    <row r="165" spans="5:5" x14ac:dyDescent="0.25">
      <c r="E165" s="60"/>
    </row>
    <row r="166" spans="5:5" x14ac:dyDescent="0.25">
      <c r="E166" s="60"/>
    </row>
    <row r="167" spans="5:5" x14ac:dyDescent="0.25">
      <c r="E167" s="60"/>
    </row>
    <row r="168" spans="5:5" x14ac:dyDescent="0.25">
      <c r="E168" s="60"/>
    </row>
    <row r="169" spans="5:5" x14ac:dyDescent="0.25">
      <c r="E169" s="60"/>
    </row>
    <row r="170" spans="5:5" x14ac:dyDescent="0.25">
      <c r="E170" s="60"/>
    </row>
    <row r="171" spans="5:5" x14ac:dyDescent="0.25">
      <c r="E171" s="60"/>
    </row>
    <row r="172" spans="5:5" x14ac:dyDescent="0.25">
      <c r="E172" s="60"/>
    </row>
    <row r="173" spans="5:5" x14ac:dyDescent="0.25">
      <c r="E173" s="60"/>
    </row>
    <row r="174" spans="5:5" x14ac:dyDescent="0.25">
      <c r="E174" s="60"/>
    </row>
    <row r="175" spans="5:5" x14ac:dyDescent="0.25">
      <c r="E175" s="60"/>
    </row>
    <row r="176" spans="5:5" x14ac:dyDescent="0.25">
      <c r="E176" s="60"/>
    </row>
    <row r="177" spans="5:5" x14ac:dyDescent="0.25">
      <c r="E177" s="60"/>
    </row>
    <row r="178" spans="5:5" x14ac:dyDescent="0.25">
      <c r="E178" s="60"/>
    </row>
    <row r="179" spans="5:5" x14ac:dyDescent="0.25">
      <c r="E179" s="60"/>
    </row>
    <row r="180" spans="5:5" x14ac:dyDescent="0.25">
      <c r="E180" s="60"/>
    </row>
    <row r="181" spans="5:5" x14ac:dyDescent="0.25">
      <c r="E181" s="60"/>
    </row>
    <row r="182" spans="5:5" x14ac:dyDescent="0.25">
      <c r="E182" s="60"/>
    </row>
    <row r="183" spans="5:5" x14ac:dyDescent="0.25">
      <c r="E183" s="60"/>
    </row>
    <row r="184" spans="5:5" x14ac:dyDescent="0.25">
      <c r="E184" s="60"/>
    </row>
    <row r="185" spans="5:5" x14ac:dyDescent="0.25">
      <c r="E185" s="60"/>
    </row>
    <row r="186" spans="5:5" x14ac:dyDescent="0.25">
      <c r="E186" s="60"/>
    </row>
    <row r="187" spans="5:5" x14ac:dyDescent="0.25">
      <c r="E187" s="60"/>
    </row>
    <row r="188" spans="5:5" x14ac:dyDescent="0.25">
      <c r="E188" s="60"/>
    </row>
    <row r="189" spans="5:5" x14ac:dyDescent="0.25">
      <c r="E189" s="60"/>
    </row>
    <row r="190" spans="5:5" x14ac:dyDescent="0.25">
      <c r="E190" s="60"/>
    </row>
    <row r="191" spans="5:5" x14ac:dyDescent="0.25">
      <c r="E191" s="60"/>
    </row>
    <row r="192" spans="5:5" x14ac:dyDescent="0.25">
      <c r="E192" s="60"/>
    </row>
    <row r="193" spans="5:5" x14ac:dyDescent="0.25">
      <c r="E193" s="60"/>
    </row>
    <row r="194" spans="5:5" x14ac:dyDescent="0.25">
      <c r="E194" s="60"/>
    </row>
    <row r="195" spans="5:5" x14ac:dyDescent="0.25">
      <c r="E195" s="60"/>
    </row>
    <row r="196" spans="5:5" x14ac:dyDescent="0.25">
      <c r="E196" s="60"/>
    </row>
    <row r="197" spans="5:5" x14ac:dyDescent="0.25">
      <c r="E197" s="60"/>
    </row>
    <row r="198" spans="5:5" x14ac:dyDescent="0.25">
      <c r="E198" s="60"/>
    </row>
    <row r="199" spans="5:5" x14ac:dyDescent="0.25">
      <c r="E199" s="60"/>
    </row>
    <row r="200" spans="5:5" x14ac:dyDescent="0.25">
      <c r="E200" s="60"/>
    </row>
    <row r="201" spans="5:5" x14ac:dyDescent="0.25">
      <c r="E201" s="60"/>
    </row>
    <row r="202" spans="5:5" x14ac:dyDescent="0.25">
      <c r="E202" s="60"/>
    </row>
    <row r="203" spans="5:5" x14ac:dyDescent="0.25">
      <c r="E203" s="60"/>
    </row>
    <row r="204" spans="5:5" x14ac:dyDescent="0.25">
      <c r="E204" s="60"/>
    </row>
    <row r="205" spans="5:5" x14ac:dyDescent="0.25">
      <c r="E205" s="60"/>
    </row>
    <row r="206" spans="5:5" x14ac:dyDescent="0.25">
      <c r="E206" s="60"/>
    </row>
    <row r="207" spans="5:5" x14ac:dyDescent="0.25">
      <c r="E207" s="60"/>
    </row>
    <row r="208" spans="5:5" x14ac:dyDescent="0.25">
      <c r="E208" s="60"/>
    </row>
    <row r="209" spans="5:5" x14ac:dyDescent="0.25">
      <c r="E209" s="60"/>
    </row>
    <row r="210" spans="5:5" x14ac:dyDescent="0.25">
      <c r="E210" s="60"/>
    </row>
    <row r="211" spans="5:5" x14ac:dyDescent="0.25">
      <c r="E211" s="60"/>
    </row>
    <row r="212" spans="5:5" x14ac:dyDescent="0.25">
      <c r="E212" s="60"/>
    </row>
    <row r="213" spans="5:5" x14ac:dyDescent="0.25">
      <c r="E213" s="60"/>
    </row>
    <row r="214" spans="5:5" x14ac:dyDescent="0.25">
      <c r="E214" s="60"/>
    </row>
    <row r="215" spans="5:5" x14ac:dyDescent="0.25">
      <c r="E215" s="60"/>
    </row>
    <row r="216" spans="5:5" x14ac:dyDescent="0.25">
      <c r="E216" s="60"/>
    </row>
    <row r="217" spans="5:5" x14ac:dyDescent="0.25">
      <c r="E217" s="60"/>
    </row>
    <row r="218" spans="5:5" x14ac:dyDescent="0.25">
      <c r="E218" s="60"/>
    </row>
    <row r="219" spans="5:5" x14ac:dyDescent="0.25">
      <c r="E219" s="60"/>
    </row>
    <row r="220" spans="5:5" x14ac:dyDescent="0.25">
      <c r="E220" s="60"/>
    </row>
    <row r="221" spans="5:5" x14ac:dyDescent="0.25">
      <c r="E221" s="60"/>
    </row>
    <row r="222" spans="5:5" x14ac:dyDescent="0.25">
      <c r="E222" s="60"/>
    </row>
    <row r="223" spans="5:5" x14ac:dyDescent="0.25">
      <c r="E223" s="60"/>
    </row>
    <row r="224" spans="5:5" x14ac:dyDescent="0.25">
      <c r="E224" s="60"/>
    </row>
    <row r="225" spans="5:5" x14ac:dyDescent="0.25">
      <c r="E225" s="60"/>
    </row>
    <row r="226" spans="5:5" x14ac:dyDescent="0.25">
      <c r="E226" s="60"/>
    </row>
    <row r="227" spans="5:5" x14ac:dyDescent="0.25">
      <c r="E227" s="60"/>
    </row>
    <row r="228" spans="5:5" x14ac:dyDescent="0.25">
      <c r="E228" s="60"/>
    </row>
    <row r="229" spans="5:5" x14ac:dyDescent="0.25">
      <c r="E229" s="60"/>
    </row>
    <row r="230" spans="5:5" x14ac:dyDescent="0.25">
      <c r="E230" s="60"/>
    </row>
    <row r="231" spans="5:5" x14ac:dyDescent="0.25">
      <c r="E231" s="60"/>
    </row>
    <row r="232" spans="5:5" x14ac:dyDescent="0.25">
      <c r="E232" s="60"/>
    </row>
    <row r="233" spans="5:5" x14ac:dyDescent="0.25">
      <c r="E233" s="60"/>
    </row>
    <row r="234" spans="5:5" x14ac:dyDescent="0.25">
      <c r="E234" s="60"/>
    </row>
    <row r="235" spans="5:5" x14ac:dyDescent="0.25">
      <c r="E235" s="60"/>
    </row>
    <row r="236" spans="5:5" x14ac:dyDescent="0.25">
      <c r="E236" s="60"/>
    </row>
    <row r="237" spans="5:5" x14ac:dyDescent="0.25">
      <c r="E237" s="60"/>
    </row>
    <row r="238" spans="5:5" x14ac:dyDescent="0.25">
      <c r="E238" s="60"/>
    </row>
    <row r="239" spans="5:5" x14ac:dyDescent="0.25">
      <c r="E239" s="60"/>
    </row>
    <row r="240" spans="5:5" x14ac:dyDescent="0.25">
      <c r="E240" s="60"/>
    </row>
    <row r="241" spans="5:5" x14ac:dyDescent="0.25">
      <c r="E241" s="60"/>
    </row>
    <row r="242" spans="5:5" x14ac:dyDescent="0.25">
      <c r="E242" s="60"/>
    </row>
    <row r="243" spans="5:5" x14ac:dyDescent="0.25">
      <c r="E243" s="60"/>
    </row>
    <row r="244" spans="5:5" x14ac:dyDescent="0.25">
      <c r="E244" s="60"/>
    </row>
    <row r="245" spans="5:5" x14ac:dyDescent="0.25">
      <c r="E245" s="60"/>
    </row>
    <row r="246" spans="5:5" x14ac:dyDescent="0.25">
      <c r="E246" s="60"/>
    </row>
    <row r="247" spans="5:5" x14ac:dyDescent="0.25">
      <c r="E247" s="60"/>
    </row>
    <row r="248" spans="5:5" x14ac:dyDescent="0.25">
      <c r="E248" s="60"/>
    </row>
    <row r="249" spans="5:5" x14ac:dyDescent="0.25">
      <c r="E249" s="60"/>
    </row>
    <row r="250" spans="5:5" x14ac:dyDescent="0.25">
      <c r="E250" s="60"/>
    </row>
    <row r="251" spans="5:5" x14ac:dyDescent="0.25">
      <c r="E251" s="60"/>
    </row>
    <row r="252" spans="5:5" x14ac:dyDescent="0.25">
      <c r="E252" s="60"/>
    </row>
    <row r="253" spans="5:5" x14ac:dyDescent="0.25">
      <c r="E253" s="60"/>
    </row>
    <row r="254" spans="5:5" x14ac:dyDescent="0.25">
      <c r="E254" s="60"/>
    </row>
    <row r="255" spans="5:5" x14ac:dyDescent="0.25">
      <c r="E255" s="60"/>
    </row>
    <row r="256" spans="5:5" x14ac:dyDescent="0.25">
      <c r="E256" s="60"/>
    </row>
    <row r="257" spans="5:5" x14ac:dyDescent="0.25">
      <c r="E257" s="60"/>
    </row>
    <row r="258" spans="5:5" x14ac:dyDescent="0.25">
      <c r="E258" s="60"/>
    </row>
    <row r="259" spans="5:5" x14ac:dyDescent="0.25">
      <c r="E259" s="60"/>
    </row>
    <row r="260" spans="5:5" x14ac:dyDescent="0.25">
      <c r="E260" s="60"/>
    </row>
    <row r="261" spans="5:5" x14ac:dyDescent="0.25">
      <c r="E261" s="60"/>
    </row>
    <row r="262" spans="5:5" x14ac:dyDescent="0.25">
      <c r="E262" s="60"/>
    </row>
    <row r="263" spans="5:5" x14ac:dyDescent="0.25">
      <c r="E263" s="60"/>
    </row>
    <row r="264" spans="5:5" x14ac:dyDescent="0.25">
      <c r="E264" s="60"/>
    </row>
    <row r="265" spans="5:5" x14ac:dyDescent="0.25">
      <c r="E265" s="60"/>
    </row>
    <row r="266" spans="5:5" x14ac:dyDescent="0.25">
      <c r="E266" s="60"/>
    </row>
    <row r="267" spans="5:5" x14ac:dyDescent="0.25">
      <c r="E267" s="60"/>
    </row>
    <row r="268" spans="5:5" x14ac:dyDescent="0.25">
      <c r="E268" s="60"/>
    </row>
    <row r="269" spans="5:5" x14ac:dyDescent="0.25">
      <c r="E269" s="60"/>
    </row>
    <row r="270" spans="5:5" x14ac:dyDescent="0.25">
      <c r="E270" s="60"/>
    </row>
    <row r="271" spans="5:5" x14ac:dyDescent="0.25">
      <c r="E271" s="60"/>
    </row>
    <row r="272" spans="5:5" x14ac:dyDescent="0.25">
      <c r="E272" s="60"/>
    </row>
    <row r="273" spans="5:5" x14ac:dyDescent="0.25">
      <c r="E273" s="60"/>
    </row>
    <row r="274" spans="5:5" x14ac:dyDescent="0.25">
      <c r="E274" s="60"/>
    </row>
    <row r="275" spans="5:5" x14ac:dyDescent="0.25">
      <c r="E275" s="60"/>
    </row>
    <row r="276" spans="5:5" x14ac:dyDescent="0.25">
      <c r="E276" s="60"/>
    </row>
    <row r="277" spans="5:5" x14ac:dyDescent="0.25">
      <c r="E277" s="60"/>
    </row>
    <row r="278" spans="5:5" x14ac:dyDescent="0.25">
      <c r="E278" s="60"/>
    </row>
    <row r="279" spans="5:5" x14ac:dyDescent="0.25">
      <c r="E279" s="60"/>
    </row>
    <row r="280" spans="5:5" x14ac:dyDescent="0.25">
      <c r="E280" s="60"/>
    </row>
    <row r="281" spans="5:5" x14ac:dyDescent="0.25">
      <c r="E281" s="60"/>
    </row>
    <row r="282" spans="5:5" x14ac:dyDescent="0.25">
      <c r="E282" s="60"/>
    </row>
    <row r="283" spans="5:5" x14ac:dyDescent="0.25">
      <c r="E283" s="60"/>
    </row>
    <row r="284" spans="5:5" x14ac:dyDescent="0.25">
      <c r="E284" s="60"/>
    </row>
    <row r="285" spans="5:5" x14ac:dyDescent="0.25">
      <c r="E285" s="60"/>
    </row>
    <row r="286" spans="5:5" x14ac:dyDescent="0.25">
      <c r="E286" s="60"/>
    </row>
    <row r="287" spans="5:5" x14ac:dyDescent="0.25">
      <c r="E287" s="60"/>
    </row>
    <row r="288" spans="5:5" x14ac:dyDescent="0.25">
      <c r="E288" s="60"/>
    </row>
    <row r="289" spans="5:5" x14ac:dyDescent="0.25">
      <c r="E289" s="60"/>
    </row>
    <row r="290" spans="5:5" x14ac:dyDescent="0.25">
      <c r="E290" s="60"/>
    </row>
    <row r="291" spans="5:5" x14ac:dyDescent="0.25">
      <c r="E291" s="60"/>
    </row>
    <row r="292" spans="5:5" x14ac:dyDescent="0.25">
      <c r="E292" s="60"/>
    </row>
    <row r="293" spans="5:5" x14ac:dyDescent="0.25">
      <c r="E293" s="60"/>
    </row>
    <row r="294" spans="5:5" x14ac:dyDescent="0.25">
      <c r="E294" s="60"/>
    </row>
    <row r="295" spans="5:5" x14ac:dyDescent="0.25">
      <c r="E295" s="60"/>
    </row>
    <row r="296" spans="5:5" x14ac:dyDescent="0.25">
      <c r="E296" s="60"/>
    </row>
    <row r="297" spans="5:5" x14ac:dyDescent="0.25">
      <c r="E297" s="60"/>
    </row>
    <row r="298" spans="5:5" x14ac:dyDescent="0.25">
      <c r="E298" s="60"/>
    </row>
    <row r="299" spans="5:5" x14ac:dyDescent="0.25">
      <c r="E299" s="60"/>
    </row>
    <row r="300" spans="5:5" x14ac:dyDescent="0.25">
      <c r="E300" s="60"/>
    </row>
    <row r="301" spans="5:5" x14ac:dyDescent="0.25">
      <c r="E301" s="60"/>
    </row>
    <row r="302" spans="5:5" x14ac:dyDescent="0.25">
      <c r="E302" s="60"/>
    </row>
    <row r="303" spans="5:5" x14ac:dyDescent="0.25">
      <c r="E303" s="60"/>
    </row>
    <row r="304" spans="5:5" x14ac:dyDescent="0.25">
      <c r="E304" s="60"/>
    </row>
    <row r="305" spans="5:5" x14ac:dyDescent="0.25">
      <c r="E305" s="60"/>
    </row>
    <row r="306" spans="5:5" x14ac:dyDescent="0.25">
      <c r="E306" s="60"/>
    </row>
  </sheetData>
  <sheetProtection password="ECB1" sheet="1" objects="1" scenarios="1"/>
  <sortState ref="A25:A38">
    <sortCondition ref="A25"/>
  </sortState>
  <mergeCells count="3">
    <mergeCell ref="F2:G2"/>
    <mergeCell ref="H2:I2"/>
    <mergeCell ref="A1:V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98"/>
  <sheetViews>
    <sheetView zoomScaleNormal="100" workbookViewId="0">
      <selection activeCell="I12" sqref="I12"/>
    </sheetView>
  </sheetViews>
  <sheetFormatPr defaultColWidth="9.140625" defaultRowHeight="15" x14ac:dyDescent="0.25"/>
  <cols>
    <col min="1" max="1" width="50.7109375" style="51" customWidth="1"/>
    <col min="2" max="2" width="27.42578125" style="51" customWidth="1"/>
    <col min="3" max="3" width="17.85546875" style="51" customWidth="1"/>
    <col min="4" max="4" width="20.42578125" style="51" customWidth="1"/>
    <col min="5" max="5" width="8.5703125" style="51" customWidth="1"/>
    <col min="6" max="6" width="10.42578125" style="51" customWidth="1"/>
    <col min="7" max="7" width="9.140625" style="51"/>
    <col min="8" max="8" width="11" style="51" customWidth="1"/>
    <col min="9" max="9" width="11.42578125" style="51" customWidth="1"/>
    <col min="10" max="10" width="10.7109375" style="51" customWidth="1"/>
    <col min="11" max="11" width="9.28515625" style="51" customWidth="1"/>
    <col min="12" max="16384" width="9.140625" style="51"/>
  </cols>
  <sheetData>
    <row r="1" spans="1:61" ht="62.25" customHeight="1" x14ac:dyDescent="0.45">
      <c r="A1" s="2446"/>
      <c r="B1" s="2446"/>
      <c r="C1" s="2446"/>
      <c r="D1" s="2446"/>
      <c r="E1" s="2446"/>
      <c r="F1" s="2446"/>
      <c r="G1" s="2446"/>
      <c r="H1" s="2446"/>
      <c r="I1" s="2446"/>
      <c r="J1" s="2446"/>
      <c r="K1" s="2446"/>
      <c r="L1" s="2446"/>
      <c r="M1" s="2446"/>
      <c r="N1" s="2446"/>
      <c r="O1" s="2446"/>
      <c r="P1" s="2446"/>
      <c r="Q1" s="2446"/>
      <c r="R1" s="2446"/>
      <c r="S1" s="2446"/>
      <c r="T1" s="2446"/>
      <c r="U1" s="2446"/>
      <c r="V1" s="2446"/>
      <c r="W1" s="2446"/>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row>
    <row r="2" spans="1:61" x14ac:dyDescent="0.25">
      <c r="A2" s="66"/>
      <c r="B2" s="66"/>
      <c r="C2" s="67"/>
      <c r="D2" s="68"/>
      <c r="E2" s="69"/>
      <c r="F2" s="70"/>
    </row>
    <row r="3" spans="1:61" x14ac:dyDescent="0.25">
      <c r="A3" s="51" t="s">
        <v>817</v>
      </c>
    </row>
    <row r="4" spans="1:61" ht="42.95" customHeight="1" x14ac:dyDescent="0.25">
      <c r="A4" s="71"/>
      <c r="B4" s="71"/>
      <c r="C4" s="71"/>
      <c r="D4" s="51" t="s">
        <v>1305</v>
      </c>
      <c r="F4" s="51" t="s">
        <v>1834</v>
      </c>
      <c r="J4" s="51" t="s">
        <v>1305</v>
      </c>
    </row>
    <row r="5" spans="1:61" x14ac:dyDescent="0.25">
      <c r="A5" s="71"/>
      <c r="B5" s="72" t="s">
        <v>971</v>
      </c>
      <c r="C5" s="71">
        <v>0.15</v>
      </c>
      <c r="D5" s="51">
        <v>11</v>
      </c>
      <c r="I5" s="51" t="s">
        <v>1836</v>
      </c>
      <c r="J5" s="51">
        <v>45</v>
      </c>
    </row>
    <row r="6" spans="1:61" x14ac:dyDescent="0.25">
      <c r="A6" s="71"/>
      <c r="B6" s="72" t="s">
        <v>1781</v>
      </c>
      <c r="C6" s="71">
        <v>0.22</v>
      </c>
      <c r="D6" s="51">
        <v>50</v>
      </c>
      <c r="F6" s="73">
        <f>$D$5/D6</f>
        <v>0.22</v>
      </c>
      <c r="I6" s="51" t="s">
        <v>1837</v>
      </c>
      <c r="J6" s="51">
        <f>5900/125</f>
        <v>47.2</v>
      </c>
    </row>
    <row r="7" spans="1:61" x14ac:dyDescent="0.25">
      <c r="A7" s="71"/>
      <c r="B7" s="72" t="s">
        <v>972</v>
      </c>
      <c r="C7" s="71">
        <v>0.22</v>
      </c>
      <c r="D7" s="51">
        <v>53.3</v>
      </c>
      <c r="F7" s="73">
        <f>$D$5/D7</f>
        <v>0.20637898686679176</v>
      </c>
      <c r="I7" s="51" t="s">
        <v>1835</v>
      </c>
      <c r="J7" s="51">
        <v>52</v>
      </c>
    </row>
    <row r="8" spans="1:61" x14ac:dyDescent="0.25">
      <c r="A8" s="71"/>
      <c r="B8" s="72" t="s">
        <v>973</v>
      </c>
      <c r="C8" s="74">
        <v>0.57999999999999996</v>
      </c>
      <c r="D8" s="51">
        <v>78</v>
      </c>
      <c r="F8" s="73">
        <f>$D$5/D8</f>
        <v>0.14102564102564102</v>
      </c>
      <c r="I8" s="51" t="s">
        <v>1838</v>
      </c>
      <c r="J8" s="51">
        <f>23500/400</f>
        <v>58.75</v>
      </c>
    </row>
    <row r="9" spans="1:61" ht="32.25" customHeight="1" x14ac:dyDescent="0.25">
      <c r="A9" s="71"/>
      <c r="B9" s="72" t="s">
        <v>461</v>
      </c>
      <c r="C9" s="71">
        <v>0.15</v>
      </c>
      <c r="D9" s="51">
        <v>11</v>
      </c>
      <c r="F9" s="73">
        <v>1</v>
      </c>
      <c r="I9" s="51" t="s">
        <v>1839</v>
      </c>
      <c r="J9" s="51">
        <v>58</v>
      </c>
    </row>
    <row r="10" spans="1:61" ht="24.75" customHeight="1" x14ac:dyDescent="0.25">
      <c r="A10" s="71"/>
      <c r="B10" s="72" t="s">
        <v>974</v>
      </c>
      <c r="C10" s="71"/>
      <c r="D10" s="51">
        <v>16</v>
      </c>
      <c r="E10" s="51" t="s">
        <v>1306</v>
      </c>
      <c r="F10" s="73">
        <f>$D$5/D10</f>
        <v>0.6875</v>
      </c>
      <c r="I10" s="51" t="s">
        <v>1840</v>
      </c>
      <c r="J10" s="51">
        <f>40600/700</f>
        <v>58</v>
      </c>
    </row>
    <row r="11" spans="1:61" x14ac:dyDescent="0.25">
      <c r="A11" s="71"/>
      <c r="B11" s="71" t="s">
        <v>2457</v>
      </c>
      <c r="C11" s="71"/>
      <c r="I11" s="51" t="s">
        <v>1841</v>
      </c>
      <c r="J11" s="51">
        <v>58</v>
      </c>
    </row>
    <row r="12" spans="1:61" x14ac:dyDescent="0.25">
      <c r="A12" s="75"/>
      <c r="B12" s="71" t="s">
        <v>2456</v>
      </c>
      <c r="C12" s="71"/>
      <c r="I12" s="51" t="s">
        <v>2456</v>
      </c>
      <c r="J12" s="51">
        <v>100</v>
      </c>
      <c r="K12" s="51">
        <f>52/J12</f>
        <v>0.52</v>
      </c>
    </row>
    <row r="13" spans="1:61" ht="28.5" customHeight="1" x14ac:dyDescent="0.25">
      <c r="I13" s="72" t="s">
        <v>973</v>
      </c>
      <c r="J13" s="51">
        <v>78</v>
      </c>
      <c r="K13" s="51">
        <f>52/J13</f>
        <v>0.66666666666666663</v>
      </c>
    </row>
    <row r="14" spans="1:61" ht="43.5" customHeight="1" x14ac:dyDescent="0.25">
      <c r="B14" s="75"/>
    </row>
    <row r="15" spans="1:61" ht="13.5" customHeight="1" x14ac:dyDescent="0.25">
      <c r="A15" s="76"/>
    </row>
    <row r="16" spans="1:61" ht="13.5" customHeight="1" x14ac:dyDescent="0.25">
      <c r="A16" s="76"/>
      <c r="B16" s="76"/>
      <c r="C16" s="76"/>
      <c r="D16" s="76"/>
      <c r="E16" s="76"/>
    </row>
    <row r="17" spans="1:6" ht="13.5" customHeight="1" x14ac:dyDescent="0.25">
      <c r="B17" s="76" t="s">
        <v>1435</v>
      </c>
      <c r="D17" s="76"/>
      <c r="E17" s="76"/>
    </row>
    <row r="18" spans="1:6" ht="13.5" customHeight="1" x14ac:dyDescent="0.25">
      <c r="A18" s="77" t="s">
        <v>969</v>
      </c>
      <c r="B18" s="78">
        <f>'Ввод исходных данных'!D151*'Ввод исходных данных'!F151*списки!C65/1000</f>
        <v>0</v>
      </c>
      <c r="C18" s="76"/>
      <c r="D18" s="76"/>
      <c r="E18" s="76"/>
    </row>
    <row r="19" spans="1:6" ht="13.5" customHeight="1" x14ac:dyDescent="0.25">
      <c r="A19" s="77" t="s">
        <v>976</v>
      </c>
      <c r="B19" s="78">
        <f>'Ввод исходных данных'!D152*'Ввод исходных данных'!F152*списки!C66/1000</f>
        <v>0</v>
      </c>
      <c r="C19" s="76"/>
      <c r="D19" s="76"/>
      <c r="E19" s="76"/>
    </row>
    <row r="20" spans="1:6" ht="13.5" customHeight="1" x14ac:dyDescent="0.25">
      <c r="A20" s="77" t="s">
        <v>977</v>
      </c>
      <c r="B20" s="78">
        <f>'Ввод исходных данных'!D153*'Ввод исходных данных'!F153*списки!C67/1000</f>
        <v>0</v>
      </c>
      <c r="C20" s="76"/>
      <c r="D20" s="76"/>
      <c r="E20" s="76"/>
      <c r="F20" s="76"/>
    </row>
    <row r="21" spans="1:6" ht="13.5" customHeight="1" x14ac:dyDescent="0.25">
      <c r="A21" s="77" t="s">
        <v>1409</v>
      </c>
      <c r="B21" s="79">
        <f>'Ввод исходных данных'!D154*'Ввод исходных данных'!F154*списки!C68/1000</f>
        <v>0</v>
      </c>
      <c r="C21" s="76"/>
      <c r="D21" s="76"/>
      <c r="E21" s="76"/>
      <c r="F21" s="76"/>
    </row>
    <row r="22" spans="1:6" ht="13.5" customHeight="1" x14ac:dyDescent="0.25">
      <c r="A22" s="77" t="s">
        <v>1410</v>
      </c>
      <c r="B22" s="79">
        <f>'Ввод исходных данных'!D155*'Ввод исходных данных'!F155*списки!C69/1000</f>
        <v>0</v>
      </c>
      <c r="C22" s="76"/>
      <c r="D22" s="76"/>
      <c r="E22" s="76"/>
      <c r="F22" s="76"/>
    </row>
    <row r="23" spans="1:6" ht="16.5" customHeight="1" x14ac:dyDescent="0.25">
      <c r="A23" s="77" t="s">
        <v>2074</v>
      </c>
      <c r="B23" s="79">
        <f>'Ввод исходных данных'!D156*'Ввод исходных данных'!F156*списки!C70/1000</f>
        <v>0</v>
      </c>
      <c r="C23" s="76"/>
      <c r="D23" s="76"/>
      <c r="E23" s="76"/>
      <c r="F23" s="76"/>
    </row>
    <row r="24" spans="1:6" ht="15" customHeight="1" x14ac:dyDescent="0.25">
      <c r="A24" s="80" t="s">
        <v>819</v>
      </c>
      <c r="B24" s="76"/>
      <c r="C24" s="76"/>
      <c r="D24" s="76"/>
      <c r="E24" s="76"/>
      <c r="F24" s="76"/>
    </row>
    <row r="25" spans="1:6" ht="27.95" customHeight="1" x14ac:dyDescent="0.25">
      <c r="A25" s="53" t="s">
        <v>820</v>
      </c>
      <c r="B25" s="83" t="s">
        <v>821</v>
      </c>
      <c r="C25" s="84" t="s">
        <v>822</v>
      </c>
      <c r="D25" s="84" t="s">
        <v>823</v>
      </c>
      <c r="E25" s="81"/>
    </row>
    <row r="26" spans="1:6" ht="16.5" customHeight="1" x14ac:dyDescent="0.25">
      <c r="A26" s="82" t="s">
        <v>824</v>
      </c>
      <c r="B26" s="86">
        <f>7.5</f>
        <v>7.5</v>
      </c>
      <c r="C26" s="87">
        <f>2200</f>
        <v>2200</v>
      </c>
      <c r="D26" s="87">
        <f>1460</f>
        <v>1460</v>
      </c>
      <c r="E26" s="81"/>
    </row>
    <row r="27" spans="1:6" x14ac:dyDescent="0.25">
      <c r="A27" s="85" t="s">
        <v>824</v>
      </c>
      <c r="B27" s="89"/>
      <c r="C27" s="90"/>
      <c r="D27" s="91"/>
      <c r="E27" s="2557" t="s">
        <v>818</v>
      </c>
    </row>
    <row r="28" spans="1:6" x14ac:dyDescent="0.25">
      <c r="A28" s="88" t="s">
        <v>825</v>
      </c>
      <c r="B28" s="92">
        <f>6.5</f>
        <v>6.5</v>
      </c>
      <c r="C28" s="2558" t="s">
        <v>826</v>
      </c>
      <c r="D28" s="93"/>
      <c r="E28" s="2557"/>
    </row>
    <row r="29" spans="1:6" x14ac:dyDescent="0.25">
      <c r="A29" s="88" t="s">
        <v>827</v>
      </c>
      <c r="B29" s="92">
        <f>25.2</f>
        <v>25.2</v>
      </c>
      <c r="C29" s="2558"/>
      <c r="D29" s="93"/>
      <c r="E29" s="2557"/>
    </row>
    <row r="30" spans="1:6" ht="25.5" customHeight="1" x14ac:dyDescent="0.25">
      <c r="A30" s="94" t="s">
        <v>828</v>
      </c>
      <c r="B30" s="96">
        <f>11</f>
        <v>11</v>
      </c>
      <c r="C30" s="2559"/>
      <c r="D30" s="97"/>
      <c r="E30" s="2557"/>
    </row>
    <row r="31" spans="1:6" ht="48" x14ac:dyDescent="0.25">
      <c r="A31" s="95" t="s">
        <v>967</v>
      </c>
      <c r="B31" s="95"/>
      <c r="C31" s="95"/>
      <c r="D31" s="95"/>
      <c r="E31" s="70"/>
    </row>
    <row r="32" spans="1:6" x14ac:dyDescent="0.25">
      <c r="A32" s="66" t="s">
        <v>860</v>
      </c>
      <c r="B32" s="67"/>
      <c r="C32" s="68" t="s">
        <v>893</v>
      </c>
      <c r="D32" s="69" t="s">
        <v>894</v>
      </c>
      <c r="E32" s="70"/>
    </row>
    <row r="33" spans="1:23" x14ac:dyDescent="0.25">
      <c r="A33" s="66"/>
      <c r="B33" s="67" t="s">
        <v>1521</v>
      </c>
      <c r="C33" s="98" t="e">
        <f>('Расчет базового уровня'!F146+'Расчет базового уровня'!F153-'Расчет базового уровня'!F150)*'Расчет базового уровня'!D160</f>
        <v>#N/A</v>
      </c>
      <c r="D33" s="99" t="e">
        <f>('Расчет после реализации'!F146+'Расчет после реализации'!F153-'Расчет после реализации'!F150)*'Расчет после реализации'!D160</f>
        <v>#N/A</v>
      </c>
      <c r="E33" s="51" t="s">
        <v>1525</v>
      </c>
    </row>
    <row r="34" spans="1:23" x14ac:dyDescent="0.25">
      <c r="A34" s="66"/>
      <c r="B34" s="67" t="s">
        <v>1523</v>
      </c>
      <c r="C34" s="100" t="e">
        <f>3.6*C33/('Ввод исходных данных'!$D$197-'Ввод исходных данных'!$D$198)/4.2</f>
        <v>#N/A</v>
      </c>
      <c r="D34" s="100" t="e">
        <f>3.6*D33/('Ввод исходных данных'!$D$197-'Ввод исходных данных'!$D$198)/4.2</f>
        <v>#N/A</v>
      </c>
      <c r="E34" s="69" t="s">
        <v>879</v>
      </c>
    </row>
    <row r="35" spans="1:23" x14ac:dyDescent="0.25">
      <c r="A35" s="53" t="s">
        <v>861</v>
      </c>
      <c r="B35" s="67" t="s">
        <v>1524</v>
      </c>
      <c r="C35" s="101" t="e">
        <f ca="1">C34*$C$42*0.00272/$C$43*(24*'Ввод исходных данных'!D209)</f>
        <v>#N/A</v>
      </c>
      <c r="D35" s="101" t="e">
        <f ca="1">D34*$C$42*0.00272/$C$43*(24*'Ввод исходных данных'!D209)</f>
        <v>#N/A</v>
      </c>
      <c r="E35" s="69" t="s">
        <v>496</v>
      </c>
    </row>
    <row r="36" spans="1:23" x14ac:dyDescent="0.25">
      <c r="A36" s="102" t="s">
        <v>864</v>
      </c>
      <c r="B36" s="103" t="s">
        <v>915</v>
      </c>
      <c r="C36" s="104" t="s">
        <v>862</v>
      </c>
      <c r="D36" s="105" t="s">
        <v>863</v>
      </c>
      <c r="E36" s="70" t="s">
        <v>488</v>
      </c>
      <c r="F36" s="51" t="s">
        <v>489</v>
      </c>
      <c r="G36" s="70" t="s">
        <v>490</v>
      </c>
      <c r="H36" s="51" t="s">
        <v>491</v>
      </c>
      <c r="I36" s="70" t="s">
        <v>800</v>
      </c>
      <c r="J36" s="51" t="s">
        <v>801</v>
      </c>
      <c r="K36" s="70" t="s">
        <v>802</v>
      </c>
      <c r="L36" s="51" t="s">
        <v>803</v>
      </c>
      <c r="M36" s="70" t="s">
        <v>804</v>
      </c>
      <c r="N36" s="51" t="s">
        <v>482</v>
      </c>
      <c r="O36" s="70" t="s">
        <v>486</v>
      </c>
      <c r="P36" s="51" t="s">
        <v>487</v>
      </c>
    </row>
    <row r="37" spans="1:23" ht="28.5" x14ac:dyDescent="0.25">
      <c r="A37" s="106" t="s">
        <v>865</v>
      </c>
      <c r="B37" s="107"/>
      <c r="C37" s="107"/>
      <c r="D37" s="108"/>
      <c r="K37" s="70"/>
    </row>
    <row r="38" spans="1:23" ht="37.5" x14ac:dyDescent="0.25">
      <c r="A38" s="109" t="s">
        <v>868</v>
      </c>
      <c r="B38" s="110" t="s">
        <v>866</v>
      </c>
      <c r="C38" s="111">
        <f>40</f>
        <v>40</v>
      </c>
      <c r="D38" s="112" t="s">
        <v>867</v>
      </c>
      <c r="K38" s="70"/>
    </row>
    <row r="39" spans="1:23" ht="46.5" customHeight="1" x14ac:dyDescent="0.25">
      <c r="A39" s="113" t="s">
        <v>870</v>
      </c>
      <c r="B39" s="114" t="s">
        <v>869</v>
      </c>
      <c r="C39" s="115">
        <f>C38/(1163*1)</f>
        <v>3.4393809114359415E-2</v>
      </c>
      <c r="D39" s="116"/>
    </row>
    <row r="40" spans="1:23" ht="22.5" customHeight="1" x14ac:dyDescent="0.25">
      <c r="A40" s="118" t="s">
        <v>1345</v>
      </c>
      <c r="B40" s="110" t="s">
        <v>494</v>
      </c>
      <c r="C40" s="119" t="e">
        <f>'Расчет базового уровня'!C35/('Ввод исходных данных'!D197-'Ввод исходных данных'!D198)/4.2*3.6</f>
        <v>#N/A</v>
      </c>
      <c r="D40" s="112" t="s">
        <v>871</v>
      </c>
      <c r="E40" s="117" t="e">
        <f ca="1">'Расчет базового уровня'!I35/('Ввод исходных данных'!$D$197-'Ввод исходных данных'!$D$198)/4.2*3.6</f>
        <v>#N/A</v>
      </c>
      <c r="F40" s="117" t="e">
        <f ca="1">'Расчет базового уровня'!L35/('Ввод исходных данных'!$D$197-'Ввод исходных данных'!$D$198)/4.2*3.6</f>
        <v>#N/A</v>
      </c>
      <c r="G40" s="117" t="e">
        <f ca="1">'Расчет базового уровня'!O35/('Ввод исходных данных'!$D$197-'Ввод исходных данных'!$D$198)/4.2*3.6</f>
        <v>#N/A</v>
      </c>
      <c r="H40" s="117" t="e">
        <f ca="1">'Расчет базового уровня'!R35/('Ввод исходных данных'!$D$197-'Ввод исходных данных'!$D$198)/4.2*3.6</f>
        <v>#N/A</v>
      </c>
      <c r="I40" s="117" t="e">
        <f>'Расчет базового уровня'!U35/('Ввод исходных данных'!$D$197-'Ввод исходных данных'!$D$198)/4.2*3.6</f>
        <v>#N/A</v>
      </c>
      <c r="J40" s="117" t="e">
        <f>'Расчет базового уровня'!X35/('Ввод исходных данных'!$D$197-'Ввод исходных данных'!$D$198)/4.2*3.6</f>
        <v>#N/A</v>
      </c>
      <c r="K40" s="117" t="e">
        <f>'Расчет базового уровня'!AA35/('Ввод исходных данных'!$D$197-'Ввод исходных данных'!$D$198)/4.2*3.6</f>
        <v>#N/A</v>
      </c>
      <c r="L40" s="117" t="e">
        <f>'Расчет базового уровня'!AD35/('Ввод исходных данных'!$D$197-'Ввод исходных данных'!$D$198)/4.2*3.6</f>
        <v>#N/A</v>
      </c>
      <c r="M40" s="117" t="e">
        <f>'Расчет базового уровня'!AG35/('Ввод исходных данных'!$D$197-'Ввод исходных данных'!$D$198)/4.2*3.6</f>
        <v>#N/A</v>
      </c>
      <c r="N40" s="117" t="e">
        <f ca="1">'Расчет базового уровня'!AJ35/('Ввод исходных данных'!$D$197-'Ввод исходных данных'!$D$198)/4.2*3.6</f>
        <v>#N/A</v>
      </c>
      <c r="O40" s="117" t="e">
        <f ca="1">'Расчет базового уровня'!AM35/('Ввод исходных данных'!$D$197-'Ввод исходных данных'!$D$198)/4.2*3.6</f>
        <v>#N/A</v>
      </c>
      <c r="P40" s="117" t="e">
        <f ca="1">'Расчет базового уровня'!AP35/('Ввод исходных данных'!$D$197-'Ввод исходных данных'!$D$198)/4.2*3.6</f>
        <v>#N/A</v>
      </c>
      <c r="Q40" s="120"/>
      <c r="R40" s="120"/>
      <c r="S40" s="120"/>
      <c r="T40" s="120"/>
      <c r="U40" s="120"/>
      <c r="V40" s="120"/>
      <c r="W40" s="120"/>
    </row>
    <row r="41" spans="1:23" ht="24" customHeight="1" x14ac:dyDescent="0.25">
      <c r="A41" s="121" t="s">
        <v>872</v>
      </c>
      <c r="B41" s="122"/>
      <c r="C41" s="120" t="e">
        <f ca="1">'Расчет после реализации'!D35/('Ввод исходных данных'!$D$197-'Ввод исходных данных'!$D$198)/4.2*3.6</f>
        <v>#N/A</v>
      </c>
      <c r="D41" s="123"/>
      <c r="E41" s="120" t="e">
        <f ca="1">'Расчет после реализации'!J35/('Ввод исходных данных'!$D$197-'Ввод исходных данных'!$D$198)/4.2*3.6</f>
        <v>#N/A</v>
      </c>
      <c r="F41" s="120" t="e">
        <f ca="1">'Расчет после реализации'!L35/('Ввод исходных данных'!$D$197-'Ввод исходных данных'!$D$198)/4.2*3.6</f>
        <v>#N/A</v>
      </c>
      <c r="G41" s="120" t="e">
        <f ca="1">'Расчет после реализации'!N35/('Ввод исходных данных'!$D$197-'Ввод исходных данных'!$D$198)/4.2*3.6</f>
        <v>#N/A</v>
      </c>
      <c r="H41" s="120" t="e">
        <f ca="1">'Расчет после реализации'!P35/('Ввод исходных данных'!$D$197-'Ввод исходных данных'!$D$198)/4.2*3.6</f>
        <v>#N/A</v>
      </c>
      <c r="I41" s="120" t="e">
        <f ca="1">'Расчет после реализации'!R35/('Ввод исходных данных'!$D$197-'Ввод исходных данных'!$D$198)/4.2*3.6</f>
        <v>#N/A</v>
      </c>
      <c r="J41" s="120" t="e">
        <f ca="1">'Расчет после реализации'!T35/('Ввод исходных данных'!$D$197-'Ввод исходных данных'!$D$198)/4.2*3.6</f>
        <v>#N/A</v>
      </c>
      <c r="K41" s="120" t="e">
        <f ca="1">'Расчет после реализации'!V35/('Ввод исходных данных'!$D$197-'Ввод исходных данных'!$D$198)/4.2*3.6</f>
        <v>#N/A</v>
      </c>
      <c r="L41" s="120" t="e">
        <f ca="1">'Расчет после реализации'!X35/('Ввод исходных данных'!$D$197-'Ввод исходных данных'!$D$198)/4.2*3.6</f>
        <v>#N/A</v>
      </c>
      <c r="M41" s="120" t="e">
        <f ca="1">'Расчет после реализации'!Z35/('Ввод исходных данных'!$D$197-'Ввод исходных данных'!$D$198)/4.2*3.6</f>
        <v>#N/A</v>
      </c>
      <c r="N41" s="120" t="e">
        <f ca="1">'Расчет после реализации'!AB35/('Ввод исходных данных'!$D$197-'Ввод исходных данных'!$D$198)/4.2*3.6</f>
        <v>#N/A</v>
      </c>
      <c r="O41" s="120" t="e">
        <f ca="1">'Расчет после реализации'!AD35/('Ввод исходных данных'!$D$197-'Ввод исходных данных'!$D$198)/4.2*3.6</f>
        <v>#N/A</v>
      </c>
      <c r="P41" s="120" t="e">
        <f ca="1">'Расчет после реализации'!AF35/('Ввод исходных данных'!$D$197-'Ввод исходных данных'!$D$198)/4.2*3.6</f>
        <v>#N/A</v>
      </c>
    </row>
    <row r="42" spans="1:23" ht="38.25" customHeight="1" x14ac:dyDescent="0.25">
      <c r="A42" s="124" t="s">
        <v>873</v>
      </c>
      <c r="B42" s="110" t="s">
        <v>916</v>
      </c>
      <c r="C42" s="111">
        <v>6</v>
      </c>
      <c r="D42" s="112" t="s">
        <v>917</v>
      </c>
      <c r="J42" s="75"/>
      <c r="K42" s="70"/>
    </row>
    <row r="43" spans="1:23" ht="12" customHeight="1" x14ac:dyDescent="0.25">
      <c r="A43" s="125" t="s">
        <v>597</v>
      </c>
      <c r="B43" s="86"/>
      <c r="C43" s="126">
        <v>0.7</v>
      </c>
      <c r="D43" s="127" t="s">
        <v>874</v>
      </c>
      <c r="K43" s="70"/>
    </row>
    <row r="44" spans="1:23" ht="36" x14ac:dyDescent="0.25">
      <c r="A44" s="128" t="s">
        <v>876</v>
      </c>
      <c r="B44" s="129"/>
      <c r="C44" s="130">
        <f>1</f>
        <v>1</v>
      </c>
      <c r="D44" s="131" t="s">
        <v>875</v>
      </c>
      <c r="G44" s="75"/>
      <c r="H44" s="75"/>
      <c r="I44" s="75"/>
      <c r="J44" s="75"/>
      <c r="K44" s="75"/>
      <c r="L44" s="75"/>
      <c r="M44" s="75"/>
      <c r="N44" s="75"/>
      <c r="O44" s="75"/>
      <c r="P44" s="75"/>
    </row>
    <row r="45" spans="1:23" ht="25.5" x14ac:dyDescent="0.25">
      <c r="A45" s="132" t="s">
        <v>1527</v>
      </c>
      <c r="B45" s="110" t="s">
        <v>877</v>
      </c>
      <c r="C45" s="115">
        <f>$C$42*0.00272/$C$43</f>
        <v>2.3314285714285718E-2</v>
      </c>
      <c r="D45" s="127"/>
      <c r="E45" s="75"/>
      <c r="F45" s="75"/>
    </row>
    <row r="46" spans="1:23" x14ac:dyDescent="0.25">
      <c r="A46" s="134" t="s">
        <v>1345</v>
      </c>
      <c r="B46" s="110" t="s">
        <v>837</v>
      </c>
      <c r="C46" s="133" t="e">
        <f>0.00272*C40*10/$C$43</f>
        <v>#N/A</v>
      </c>
      <c r="D46" s="135"/>
      <c r="E46" s="133" t="e">
        <f t="shared" ref="E46:P46" ca="1" si="0">0.00272*E40*10/$C$43</f>
        <v>#N/A</v>
      </c>
      <c r="F46" s="133" t="e">
        <f t="shared" ca="1" si="0"/>
        <v>#N/A</v>
      </c>
      <c r="G46" s="133" t="e">
        <f t="shared" ca="1" si="0"/>
        <v>#N/A</v>
      </c>
      <c r="H46" s="133" t="e">
        <f t="shared" ca="1" si="0"/>
        <v>#N/A</v>
      </c>
      <c r="I46" s="133" t="e">
        <f t="shared" si="0"/>
        <v>#N/A</v>
      </c>
      <c r="J46" s="133" t="e">
        <f t="shared" si="0"/>
        <v>#N/A</v>
      </c>
      <c r="K46" s="133" t="e">
        <f t="shared" si="0"/>
        <v>#N/A</v>
      </c>
      <c r="L46" s="133" t="e">
        <f t="shared" si="0"/>
        <v>#N/A</v>
      </c>
      <c r="M46" s="133" t="e">
        <f t="shared" si="0"/>
        <v>#N/A</v>
      </c>
      <c r="N46" s="133" t="e">
        <f t="shared" ca="1" si="0"/>
        <v>#N/A</v>
      </c>
      <c r="O46" s="133" t="e">
        <f t="shared" ca="1" si="0"/>
        <v>#N/A</v>
      </c>
      <c r="P46" s="133" t="e">
        <f t="shared" ca="1" si="0"/>
        <v>#N/A</v>
      </c>
    </row>
    <row r="47" spans="1:23" ht="25.5" x14ac:dyDescent="0.25">
      <c r="A47" s="132" t="s">
        <v>1528</v>
      </c>
      <c r="B47" s="110"/>
      <c r="C47" s="133" t="e">
        <f ca="1">0.00272*C41*10/$C$43</f>
        <v>#N/A</v>
      </c>
      <c r="D47" s="135"/>
      <c r="E47" s="133" t="e">
        <f t="shared" ref="E47:P47" ca="1" si="1">0.00272*E41*10/$C$43</f>
        <v>#N/A</v>
      </c>
      <c r="F47" s="133" t="e">
        <f t="shared" ca="1" si="1"/>
        <v>#N/A</v>
      </c>
      <c r="G47" s="133" t="e">
        <f t="shared" ca="1" si="1"/>
        <v>#N/A</v>
      </c>
      <c r="H47" s="133" t="e">
        <f t="shared" ca="1" si="1"/>
        <v>#N/A</v>
      </c>
      <c r="I47" s="133" t="e">
        <f t="shared" ca="1" si="1"/>
        <v>#N/A</v>
      </c>
      <c r="J47" s="133" t="e">
        <f t="shared" ca="1" si="1"/>
        <v>#N/A</v>
      </c>
      <c r="K47" s="133" t="e">
        <f t="shared" ca="1" si="1"/>
        <v>#N/A</v>
      </c>
      <c r="L47" s="133" t="e">
        <f t="shared" ca="1" si="1"/>
        <v>#N/A</v>
      </c>
      <c r="M47" s="133" t="e">
        <f t="shared" ca="1" si="1"/>
        <v>#N/A</v>
      </c>
      <c r="N47" s="133" t="e">
        <f t="shared" ca="1" si="1"/>
        <v>#N/A</v>
      </c>
      <c r="O47" s="133" t="e">
        <f t="shared" ca="1" si="1"/>
        <v>#N/A</v>
      </c>
      <c r="P47" s="133" t="e">
        <f t="shared" ca="1" si="1"/>
        <v>#N/A</v>
      </c>
      <c r="Q47" s="75"/>
    </row>
    <row r="48" spans="1:23" x14ac:dyDescent="0.25">
      <c r="A48" s="134" t="s">
        <v>1345</v>
      </c>
      <c r="B48" s="110" t="s">
        <v>837</v>
      </c>
      <c r="C48" s="136" t="e">
        <f ca="1">C34*6*0.00272/$C$43*(24*'Ввод исходных данных'!D209)</f>
        <v>#N/A</v>
      </c>
      <c r="D48" s="137"/>
      <c r="E48" s="136" t="e">
        <f ca="1">$C$34*$C$42*0.00272/$C$43*(24*'Расчет после реализации'!G148)</f>
        <v>#N/A</v>
      </c>
      <c r="F48" s="136" t="e">
        <f ca="1">$C$34*$C$42*0.00272/$C$43*(24*'Расчет после реализации'!H148)</f>
        <v>#N/A</v>
      </c>
      <c r="G48" s="136" t="e">
        <f ca="1">$C$34*$C$42*0.00272/$C$43*(24*'Расчет после реализации'!I148)</f>
        <v>#N/A</v>
      </c>
      <c r="H48" s="136" t="e">
        <f ca="1">$C$34*$C$42*0.00272/$C$43*(24*'Расчет после реализации'!J148)</f>
        <v>#N/A</v>
      </c>
      <c r="I48" s="136" t="e">
        <f ca="1">$C$34*$C$42*0.00272/$C$43*(24*'Расчет после реализации'!K148)</f>
        <v>#N/A</v>
      </c>
      <c r="J48" s="136" t="e">
        <f ca="1">$C$34*$C$42*0.00272/$C$43*(24*'Расчет после реализации'!L148)</f>
        <v>#N/A</v>
      </c>
      <c r="K48" s="136" t="e">
        <f ca="1">$C$34*$C$42*0.00272/$C$43*(24*'Расчет после реализации'!M148)</f>
        <v>#N/A</v>
      </c>
      <c r="L48" s="136" t="e">
        <f ca="1">$C$34*$C$42*0.00272/$C$43*(24*'Расчет после реализации'!N148)</f>
        <v>#N/A</v>
      </c>
      <c r="M48" s="136" t="e">
        <f ca="1">$C$34*$C$42*0.00272/$C$43*(24*'Расчет после реализации'!O148)</f>
        <v>#N/A</v>
      </c>
      <c r="N48" s="136" t="e">
        <f ca="1">$C$34*$C$42*0.00272/$C$43*(24*'Расчет после реализации'!P148)</f>
        <v>#N/A</v>
      </c>
      <c r="O48" s="136" t="e">
        <f ca="1">$C$34*$C$42*0.00272/$C$43*(24*'Расчет после реализации'!Q148)</f>
        <v>#N/A</v>
      </c>
      <c r="P48" s="136" t="e">
        <f ca="1">$C$34*$C$42*0.00272/$C$43*(24*'Расчет после реализации'!R148)</f>
        <v>#N/A</v>
      </c>
      <c r="Q48" s="75"/>
    </row>
    <row r="49" spans="1:17" x14ac:dyDescent="0.25">
      <c r="A49" s="134" t="s">
        <v>1529</v>
      </c>
      <c r="B49" s="139"/>
      <c r="C49" s="140" t="e">
        <f ca="1">D34*$C$42*0.00272/$C$43*(24*'Ввод исходных данных'!D209)</f>
        <v>#N/A</v>
      </c>
      <c r="D49" s="141"/>
      <c r="E49" s="138" t="e">
        <f ca="1">$D$34*$C$42*0.00272/$C$43*(24*'Расчет после реализации'!G148)</f>
        <v>#N/A</v>
      </c>
      <c r="F49" s="138" t="e">
        <f ca="1">$D$34*$C$42*0.00272/$C$43*(24*'Расчет после реализации'!H148)</f>
        <v>#N/A</v>
      </c>
      <c r="G49" s="138" t="e">
        <f ca="1">$D$34*$C$42*0.00272/$C$43*(24*'Расчет после реализации'!I148)</f>
        <v>#N/A</v>
      </c>
      <c r="H49" s="138" t="e">
        <f ca="1">$D$34*$C$42*0.00272/$C$43*(24*'Расчет после реализации'!J148)</f>
        <v>#N/A</v>
      </c>
      <c r="I49" s="138" t="e">
        <f ca="1">$D$34*$C$42*0.00272/$C$43*(24*'Расчет после реализации'!K148)</f>
        <v>#N/A</v>
      </c>
      <c r="J49" s="138" t="e">
        <f ca="1">$D$34*$C$42*0.00272/$C$43*(24*'Расчет после реализации'!L148)</f>
        <v>#N/A</v>
      </c>
      <c r="K49" s="138" t="e">
        <f ca="1">$D$34*$C$42*0.00272/$C$43*(24*'Расчет после реализации'!M148)</f>
        <v>#N/A</v>
      </c>
      <c r="L49" s="138" t="e">
        <f ca="1">$D$34*$C$42*0.00272/$C$43*(24*'Расчет после реализации'!N148)</f>
        <v>#N/A</v>
      </c>
      <c r="M49" s="138" t="e">
        <f ca="1">$D$34*$C$42*0.00272/$C$43*(24*'Расчет после реализации'!O148)</f>
        <v>#N/A</v>
      </c>
      <c r="N49" s="138" t="e">
        <f ca="1">$D$34*$C$42*0.00272/$C$43*(24*'Расчет после реализации'!P148)</f>
        <v>#N/A</v>
      </c>
      <c r="O49" s="138" t="e">
        <f ca="1">$D$34*$C$42*0.00272/$C$43*(24*'Расчет после реализации'!Q148)</f>
        <v>#N/A</v>
      </c>
      <c r="P49" s="138" t="e">
        <f ca="1">$D$34*$C$42*0.00272/$C$43*(24*'Расчет после реализации'!R148)</f>
        <v>#N/A</v>
      </c>
      <c r="Q49" s="75"/>
    </row>
    <row r="50" spans="1:17" ht="21.6" customHeight="1" x14ac:dyDescent="0.25">
      <c r="A50" s="102" t="s">
        <v>878</v>
      </c>
      <c r="B50" s="139"/>
      <c r="C50" s="142" t="e">
        <f ca="1">IF('Список мероприятий'!$D$35=списки!$N$46,'Система электроснабжения'!C49,'Система электроснабжения'!C47)*IF('Список мероприятий'!AB46=1,0.9,1)*IF('Список мероприятий'!$AB$54=1,0.9572,1)</f>
        <v>#N/A</v>
      </c>
      <c r="D50" s="141"/>
      <c r="E50" s="142" t="e">
        <f ca="1">IF('Список мероприятий'!$D$35=списки!$N$46,'Система электроснабжения'!E49,'Система электроснабжения'!E47)*IF('Список мероприятий'!AD46=1,0.9,1)*IF('Список мероприятий'!$AB$54=1,0.9572,1)</f>
        <v>#N/A</v>
      </c>
      <c r="F50" s="142" t="e">
        <f ca="1">IF('Список мероприятий'!$D$35=списки!$N$46,'Система электроснабжения'!F49,'Система электроснабжения'!F47)*IF('Список мероприятий'!AE46=1,0.9,1)*IF('Список мероприятий'!$AB$54=1,0.9572,1)</f>
        <v>#N/A</v>
      </c>
      <c r="G50" s="142" t="e">
        <f ca="1">IF('Список мероприятий'!$D$35=списки!$N$46,'Система электроснабжения'!G49,'Система электроснабжения'!G47)*IF('Список мероприятий'!AF46=1,0.9,1)*IF('Список мероприятий'!$AB$54=1,0.9572,1)</f>
        <v>#N/A</v>
      </c>
      <c r="H50" s="142" t="e">
        <f ca="1">IF('Список мероприятий'!$D$35=списки!$N$46,'Система электроснабжения'!H49,'Система электроснабжения'!H47)*IF('Список мероприятий'!AG46=1,0.9,1)*IF('Список мероприятий'!$AB$54=1,0.9572,1)</f>
        <v>#N/A</v>
      </c>
      <c r="I50" s="142" t="e">
        <f ca="1">IF('Список мероприятий'!$D$35=списки!$N$46,'Система электроснабжения'!I49,'Система электроснабжения'!I47)*IF('Список мероприятий'!AH46=1,0.9,1)*IF('Список мероприятий'!$AB$54=1,0.9572,1)</f>
        <v>#N/A</v>
      </c>
      <c r="J50" s="142" t="e">
        <f ca="1">IF('Список мероприятий'!$D$35=списки!$N$46,'Система электроснабжения'!J49,'Система электроснабжения'!J47)*IF('Список мероприятий'!AI46=1,0.9,1)*IF('Список мероприятий'!$AB$54=1,0.9572,1)</f>
        <v>#N/A</v>
      </c>
      <c r="K50" s="142" t="e">
        <f ca="1">IF('Список мероприятий'!$D$35=списки!$N$46,'Система электроснабжения'!K49,'Система электроснабжения'!K47)*IF('Список мероприятий'!AJ46=1,0.9,1)*IF('Список мероприятий'!$AB$54=1,0.9572,1)</f>
        <v>#N/A</v>
      </c>
      <c r="L50" s="142" t="e">
        <f ca="1">IF('Список мероприятий'!$D$35=списки!$N$46,'Система электроснабжения'!L49,'Система электроснабжения'!L47)*IF('Список мероприятий'!AK46=1,0.9,1)*IF('Список мероприятий'!$AB$54=1,0.9572,1)</f>
        <v>#N/A</v>
      </c>
      <c r="M50" s="142" t="e">
        <f ca="1">IF('Список мероприятий'!$D$35=списки!$N$46,'Система электроснабжения'!M49,'Система электроснабжения'!M47)*IF('Список мероприятий'!AL46=1,0.9,1)*IF('Список мероприятий'!$AB$54=1,0.9572,1)</f>
        <v>#N/A</v>
      </c>
      <c r="N50" s="142" t="e">
        <f ca="1">IF('Список мероприятий'!$D$35=списки!$N$46,'Система электроснабжения'!N49,'Система электроснабжения'!N47)*IF('Список мероприятий'!AM46=1,0.9,1)*IF('Список мероприятий'!$AB$54=1,0.9572,1)</f>
        <v>#N/A</v>
      </c>
      <c r="O50" s="142" t="e">
        <f ca="1">IF('Список мероприятий'!$D$35=списки!$N$46,'Система электроснабжения'!O49,'Система электроснабжения'!O47)*IF('Список мероприятий'!AN46=1,0.9,1)*IF('Список мероприятий'!$AB$54=1,0.9572,1)</f>
        <v>#N/A</v>
      </c>
      <c r="P50" s="142" t="e">
        <f ca="1">IF('Список мероприятий'!$D$35=списки!$N$46,'Система электроснабжения'!P49,'Система электроснабжения'!P47)*IF('Список мероприятий'!AO46=1,0.9,1)*IF('Список мероприятий'!$AB$54=1,0.9572,1)</f>
        <v>#N/A</v>
      </c>
    </row>
    <row r="51" spans="1:17" ht="34.5" customHeight="1" x14ac:dyDescent="0.25">
      <c r="A51" s="128" t="s">
        <v>1392</v>
      </c>
      <c r="B51" s="107"/>
      <c r="C51" s="107"/>
      <c r="D51" s="108"/>
      <c r="K51" s="70"/>
    </row>
    <row r="52" spans="1:17" s="147" customFormat="1" ht="19.5" customHeight="1" x14ac:dyDescent="0.25">
      <c r="A52" s="144" t="s">
        <v>1310</v>
      </c>
      <c r="B52" s="145" t="s">
        <v>879</v>
      </c>
      <c r="C52" s="143" t="e">
        <f>'Расчет базового уровня'!D173*'Система электроснабжения'!$C$54</f>
        <v>#N/A</v>
      </c>
      <c r="D52" s="71"/>
      <c r="E52" s="143" t="e">
        <f>E55*'Система электроснабжения'!$C$54</f>
        <v>#N/A</v>
      </c>
      <c r="F52" s="143" t="e">
        <f>F55*'Система электроснабжения'!$C$54</f>
        <v>#N/A</v>
      </c>
      <c r="G52" s="143" t="e">
        <f>G55*'Система электроснабжения'!$C$54</f>
        <v>#N/A</v>
      </c>
      <c r="H52" s="143" t="e">
        <f>H55*'Система электроснабжения'!$C$54</f>
        <v>#N/A</v>
      </c>
      <c r="I52" s="143" t="e">
        <f>I55*'Система электроснабжения'!$C$54</f>
        <v>#N/A</v>
      </c>
      <c r="J52" s="143" t="e">
        <f>J55*'Система электроснабжения'!$C$54</f>
        <v>#N/A</v>
      </c>
      <c r="K52" s="143" t="e">
        <f>K55*'Система электроснабжения'!$C$54</f>
        <v>#N/A</v>
      </c>
      <c r="L52" s="143" t="e">
        <f>L55*'Система электроснабжения'!$C$54</f>
        <v>#N/A</v>
      </c>
      <c r="M52" s="143" t="e">
        <f>M55*'Система электроснабжения'!$C$54</f>
        <v>#N/A</v>
      </c>
      <c r="N52" s="143" t="e">
        <f>N55*'Система электроснабжения'!$C$54</f>
        <v>#N/A</v>
      </c>
      <c r="O52" s="143" t="e">
        <f>O55*'Система электроснабжения'!$C$54</f>
        <v>#N/A</v>
      </c>
      <c r="P52" s="143" t="e">
        <f>P55*'Система электроснабжения'!$C$54</f>
        <v>#N/A</v>
      </c>
    </row>
    <row r="53" spans="1:17" ht="30.75" customHeight="1" x14ac:dyDescent="0.25">
      <c r="A53" s="148" t="s">
        <v>887</v>
      </c>
      <c r="B53" s="149"/>
      <c r="C53" s="150" t="e">
        <f ca="1">C56*'Система электроснабжения'!C54</f>
        <v>#DIV/0!</v>
      </c>
      <c r="D53" s="151"/>
      <c r="E53" s="146" t="e">
        <f>E56*'Система электроснабжения'!$C$54</f>
        <v>#N/A</v>
      </c>
      <c r="F53" s="146" t="e">
        <f>F56*'Система электроснабжения'!$C$54</f>
        <v>#N/A</v>
      </c>
      <c r="G53" s="146" t="e">
        <f>G56*'Система электроснабжения'!$C$54</f>
        <v>#N/A</v>
      </c>
      <c r="H53" s="146" t="e">
        <f>H56*'Система электроснабжения'!$C$54</f>
        <v>#N/A</v>
      </c>
      <c r="I53" s="146" t="e">
        <f>I56*'Система электроснабжения'!$C$54</f>
        <v>#N/A</v>
      </c>
      <c r="J53" s="146" t="e">
        <f>J56*'Система электроснабжения'!$C$54</f>
        <v>#N/A</v>
      </c>
      <c r="K53" s="146" t="e">
        <f>K56*'Система электроснабжения'!$C$54</f>
        <v>#N/A</v>
      </c>
      <c r="L53" s="146" t="e">
        <f>L56*'Система электроснабжения'!$C$54</f>
        <v>#N/A</v>
      </c>
      <c r="M53" s="146" t="e">
        <f>M56*'Система электроснабжения'!$C$54</f>
        <v>#N/A</v>
      </c>
      <c r="N53" s="146" t="e">
        <f>N56*'Система электроснабжения'!$C$54</f>
        <v>#N/A</v>
      </c>
      <c r="O53" s="146" t="e">
        <f>O56*'Система электроснабжения'!$C$54</f>
        <v>#N/A</v>
      </c>
      <c r="P53" s="146" t="e">
        <f>P56*'Система электроснабжения'!$C$54</f>
        <v>#N/A</v>
      </c>
    </row>
    <row r="54" spans="1:17" ht="30.75" customHeight="1" x14ac:dyDescent="0.25">
      <c r="A54" s="148"/>
      <c r="B54" s="145"/>
      <c r="C54" s="154" t="e">
        <f>11.96*('Ввод исходных данных'!$D$22^(-0.181))</f>
        <v>#DIV/0!</v>
      </c>
      <c r="D54" s="71"/>
      <c r="E54" s="153"/>
      <c r="F54" s="153"/>
      <c r="K54" s="152"/>
      <c r="L54" s="153"/>
      <c r="M54" s="153"/>
      <c r="N54" s="153"/>
      <c r="O54" s="153"/>
      <c r="P54" s="153"/>
    </row>
    <row r="55" spans="1:17" s="147" customFormat="1" ht="16.5" customHeight="1" x14ac:dyDescent="0.25">
      <c r="A55" s="156" t="s">
        <v>1393</v>
      </c>
      <c r="B55" s="145"/>
      <c r="C55" s="154"/>
      <c r="D55" s="71"/>
      <c r="E55" s="155" t="e">
        <f>'Расчет базового уровня'!G173</f>
        <v>#N/A</v>
      </c>
      <c r="F55" s="155" t="e">
        <f>'Расчет базового уровня'!H173</f>
        <v>#N/A</v>
      </c>
      <c r="G55" s="155" t="e">
        <f>'Расчет базового уровня'!I173</f>
        <v>#N/A</v>
      </c>
      <c r="H55" s="155" t="e">
        <f>'Расчет базового уровня'!J173</f>
        <v>#N/A</v>
      </c>
      <c r="I55" s="155" t="e">
        <f>'Расчет базового уровня'!K173</f>
        <v>#N/A</v>
      </c>
      <c r="J55" s="155" t="e">
        <f>'Расчет базового уровня'!L173</f>
        <v>#N/A</v>
      </c>
      <c r="K55" s="155" t="e">
        <f>'Расчет базового уровня'!M173</f>
        <v>#N/A</v>
      </c>
      <c r="L55" s="155" t="e">
        <f>'Расчет базового уровня'!N173</f>
        <v>#N/A</v>
      </c>
      <c r="M55" s="155" t="e">
        <f>'Расчет базового уровня'!O173</f>
        <v>#N/A</v>
      </c>
      <c r="N55" s="155" t="e">
        <f>'Расчет базового уровня'!P173</f>
        <v>#N/A</v>
      </c>
      <c r="O55" s="155" t="e">
        <f>'Расчет базового уровня'!Q173</f>
        <v>#N/A</v>
      </c>
      <c r="P55" s="155" t="e">
        <f>'Расчет базового уровня'!R173</f>
        <v>#N/A</v>
      </c>
    </row>
    <row r="56" spans="1:17" ht="24" customHeight="1" x14ac:dyDescent="0.25">
      <c r="A56" s="124" t="s">
        <v>880</v>
      </c>
      <c r="B56" s="149"/>
      <c r="C56" s="158">
        <f ca="1">'Расчет после реализации'!D171</f>
        <v>0</v>
      </c>
      <c r="D56" s="151"/>
      <c r="E56" s="157" t="e">
        <f>'Расчет после реализации'!G171</f>
        <v>#N/A</v>
      </c>
      <c r="F56" s="157" t="e">
        <f>'Расчет после реализации'!H171</f>
        <v>#N/A</v>
      </c>
      <c r="G56" s="157" t="e">
        <f>'Расчет после реализации'!I171</f>
        <v>#N/A</v>
      </c>
      <c r="H56" s="157" t="e">
        <f>'Расчет после реализации'!J171</f>
        <v>#N/A</v>
      </c>
      <c r="I56" s="157" t="e">
        <f>'Расчет после реализации'!K171</f>
        <v>#N/A</v>
      </c>
      <c r="J56" s="157" t="e">
        <f>'Расчет после реализации'!L171</f>
        <v>#N/A</v>
      </c>
      <c r="K56" s="157" t="e">
        <f>'Расчет после реализации'!M171</f>
        <v>#N/A</v>
      </c>
      <c r="L56" s="157" t="e">
        <f>'Расчет после реализации'!N171</f>
        <v>#N/A</v>
      </c>
      <c r="M56" s="157" t="e">
        <f>'Расчет после реализации'!O171</f>
        <v>#N/A</v>
      </c>
      <c r="N56" s="157" t="e">
        <f>'Расчет после реализации'!P171</f>
        <v>#N/A</v>
      </c>
      <c r="O56" s="157" t="e">
        <f>'Расчет после реализации'!Q171</f>
        <v>#N/A</v>
      </c>
      <c r="P56" s="157" t="e">
        <f>'Расчет после реализации'!R171</f>
        <v>#N/A</v>
      </c>
    </row>
    <row r="57" spans="1:17" ht="36" x14ac:dyDescent="0.25">
      <c r="A57" s="148" t="s">
        <v>882</v>
      </c>
      <c r="B57" s="86"/>
      <c r="C57" s="159">
        <v>0.1</v>
      </c>
      <c r="D57" s="160" t="s">
        <v>881</v>
      </c>
    </row>
    <row r="58" spans="1:17" s="147" customFormat="1" x14ac:dyDescent="0.25">
      <c r="A58" s="144" t="s">
        <v>1310</v>
      </c>
      <c r="B58" s="145" t="s">
        <v>879</v>
      </c>
      <c r="C58" s="119" t="e">
        <f>C52*(1+C$57)</f>
        <v>#N/A</v>
      </c>
      <c r="D58" s="71"/>
      <c r="E58" s="119" t="e">
        <f>E52*(1+$C$57)</f>
        <v>#N/A</v>
      </c>
      <c r="F58" s="119" t="e">
        <f>F52*(1+$C$57)</f>
        <v>#N/A</v>
      </c>
      <c r="G58" s="119" t="e">
        <f t="shared" ref="G58:P58" si="2">G52*(1+$C$57)</f>
        <v>#N/A</v>
      </c>
      <c r="H58" s="119" t="e">
        <f t="shared" si="2"/>
        <v>#N/A</v>
      </c>
      <c r="I58" s="119" t="e">
        <f t="shared" si="2"/>
        <v>#N/A</v>
      </c>
      <c r="J58" s="119" t="e">
        <f t="shared" si="2"/>
        <v>#N/A</v>
      </c>
      <c r="K58" s="119" t="e">
        <f t="shared" si="2"/>
        <v>#N/A</v>
      </c>
      <c r="L58" s="119" t="e">
        <f t="shared" si="2"/>
        <v>#N/A</v>
      </c>
      <c r="M58" s="119" t="e">
        <f t="shared" si="2"/>
        <v>#N/A</v>
      </c>
      <c r="N58" s="119" t="e">
        <f t="shared" si="2"/>
        <v>#N/A</v>
      </c>
      <c r="O58" s="119" t="e">
        <f t="shared" si="2"/>
        <v>#N/A</v>
      </c>
      <c r="P58" s="119" t="e">
        <f t="shared" si="2"/>
        <v>#N/A</v>
      </c>
    </row>
    <row r="59" spans="1:17" x14ac:dyDescent="0.25">
      <c r="A59" s="121" t="s">
        <v>872</v>
      </c>
      <c r="B59" s="149"/>
      <c r="C59" s="120" t="e">
        <f ca="1">C53*(1+C$57)</f>
        <v>#DIV/0!</v>
      </c>
      <c r="D59" s="151"/>
      <c r="E59" s="120" t="e">
        <f>E53*(1+$C$57)</f>
        <v>#N/A</v>
      </c>
      <c r="F59" s="120" t="e">
        <f>F53*(1+$C$57)</f>
        <v>#N/A</v>
      </c>
      <c r="G59" s="120" t="e">
        <f t="shared" ref="G59:P59" si="3">G53*(1+$C$57)</f>
        <v>#N/A</v>
      </c>
      <c r="H59" s="120" t="e">
        <f t="shared" si="3"/>
        <v>#N/A</v>
      </c>
      <c r="I59" s="120" t="e">
        <f t="shared" si="3"/>
        <v>#N/A</v>
      </c>
      <c r="J59" s="120" t="e">
        <f t="shared" si="3"/>
        <v>#N/A</v>
      </c>
      <c r="K59" s="120" t="e">
        <f t="shared" si="3"/>
        <v>#N/A</v>
      </c>
      <c r="L59" s="120" t="e">
        <f t="shared" si="3"/>
        <v>#N/A</v>
      </c>
      <c r="M59" s="120" t="e">
        <f t="shared" si="3"/>
        <v>#N/A</v>
      </c>
      <c r="N59" s="120" t="e">
        <f t="shared" si="3"/>
        <v>#N/A</v>
      </c>
      <c r="O59" s="120" t="e">
        <f t="shared" si="3"/>
        <v>#N/A</v>
      </c>
      <c r="P59" s="120" t="e">
        <f t="shared" si="3"/>
        <v>#N/A</v>
      </c>
    </row>
    <row r="60" spans="1:17" ht="48" x14ac:dyDescent="0.25">
      <c r="A60" s="124" t="s">
        <v>883</v>
      </c>
      <c r="B60" s="110" t="s">
        <v>916</v>
      </c>
      <c r="C60" s="111">
        <f>10</f>
        <v>10</v>
      </c>
      <c r="D60" s="112" t="s">
        <v>918</v>
      </c>
      <c r="K60" s="70"/>
    </row>
    <row r="61" spans="1:17" ht="36" x14ac:dyDescent="0.25">
      <c r="A61" s="124" t="s">
        <v>873</v>
      </c>
      <c r="B61" s="110" t="s">
        <v>564</v>
      </c>
      <c r="C61" s="111">
        <f>(SUM('Ввод исходных данных'!J273:J284) -SUM('Ввод исходных данных'!D127:D132))*24</f>
        <v>8424</v>
      </c>
      <c r="D61" s="112" t="s">
        <v>884</v>
      </c>
      <c r="E61" s="70">
        <f>'Расчет базового уровня'!G172*24</f>
        <v>744</v>
      </c>
      <c r="F61" s="70">
        <f>'Расчет базового уровня'!H172*24</f>
        <v>672</v>
      </c>
      <c r="G61" s="70">
        <f>'Расчет базового уровня'!I172*24</f>
        <v>744</v>
      </c>
      <c r="H61" s="70">
        <f>'Расчет базового уровня'!J172*24</f>
        <v>720</v>
      </c>
      <c r="I61" s="70">
        <f>'Расчет базового уровня'!K172*24</f>
        <v>744</v>
      </c>
      <c r="J61" s="70">
        <f>'Расчет базового уровня'!L172*24</f>
        <v>384</v>
      </c>
      <c r="K61" s="70">
        <f>'Расчет базового уровня'!M172*24</f>
        <v>744</v>
      </c>
      <c r="L61" s="70">
        <f>'Расчет базового уровня'!N172*24</f>
        <v>744</v>
      </c>
      <c r="M61" s="70">
        <f>'Расчет базового уровня'!O172*24</f>
        <v>720</v>
      </c>
      <c r="N61" s="70">
        <f>'Расчет базового уровня'!P172*24</f>
        <v>744</v>
      </c>
      <c r="O61" s="70">
        <f>'Расчет базового уровня'!Q172*24</f>
        <v>720</v>
      </c>
      <c r="P61" s="70">
        <f>'Расчет базового уровня'!R172*24</f>
        <v>744</v>
      </c>
    </row>
    <row r="62" spans="1:17" ht="48" x14ac:dyDescent="0.25">
      <c r="A62" s="124" t="s">
        <v>597</v>
      </c>
      <c r="B62" s="86"/>
      <c r="C62" s="126">
        <v>0.7</v>
      </c>
      <c r="D62" s="127" t="s">
        <v>874</v>
      </c>
      <c r="K62" s="70"/>
    </row>
    <row r="63" spans="1:17" ht="27.95" customHeight="1" x14ac:dyDescent="0.25">
      <c r="A63" s="132" t="s">
        <v>885</v>
      </c>
      <c r="B63" s="86"/>
      <c r="C63" s="126">
        <f>1</f>
        <v>1</v>
      </c>
      <c r="D63" s="127" t="s">
        <v>875</v>
      </c>
      <c r="K63" s="70"/>
    </row>
    <row r="64" spans="1:17" s="147" customFormat="1" ht="27.95" customHeight="1" x14ac:dyDescent="0.25">
      <c r="A64" s="162" t="s">
        <v>1311</v>
      </c>
      <c r="B64" s="110" t="s">
        <v>837</v>
      </c>
      <c r="C64" s="161" t="e">
        <f>0.00272*C58*C60*C61/(C62*C63)</f>
        <v>#N/A</v>
      </c>
      <c r="D64" s="71"/>
      <c r="E64" s="161" t="e">
        <f t="shared" ref="E64:K64" si="4">0.00272*E58*$C$60*E61/($C$62*$C$63)</f>
        <v>#N/A</v>
      </c>
      <c r="F64" s="161" t="e">
        <f t="shared" si="4"/>
        <v>#N/A</v>
      </c>
      <c r="G64" s="161" t="e">
        <f t="shared" si="4"/>
        <v>#N/A</v>
      </c>
      <c r="H64" s="161" t="e">
        <f t="shared" si="4"/>
        <v>#N/A</v>
      </c>
      <c r="I64" s="161" t="e">
        <f t="shared" si="4"/>
        <v>#N/A</v>
      </c>
      <c r="J64" s="161" t="e">
        <f t="shared" si="4"/>
        <v>#N/A</v>
      </c>
      <c r="K64" s="161" t="e">
        <f t="shared" si="4"/>
        <v>#N/A</v>
      </c>
      <c r="L64" s="161" t="e">
        <f>0.00272*L58*$C$60*L61/($C$62*$C$63)</f>
        <v>#N/A</v>
      </c>
      <c r="M64" s="161" t="e">
        <f>0.00272*M58*$C$60*M61/($C$62*$C$63)</f>
        <v>#N/A</v>
      </c>
      <c r="N64" s="161" t="e">
        <f>0.00272*N58*$C$60*N61/($C$62*$C$63)</f>
        <v>#N/A</v>
      </c>
      <c r="O64" s="161" t="e">
        <f>0.00272*O58*$C$60*O61/($C$62*$C$63)</f>
        <v>#N/A</v>
      </c>
      <c r="P64" s="161" t="e">
        <f>0.00272*P58*$C$60*P61/($C$62*$C$63)</f>
        <v>#N/A</v>
      </c>
    </row>
    <row r="65" spans="1:16" ht="27.95" customHeight="1" x14ac:dyDescent="0.25">
      <c r="A65" s="76" t="s">
        <v>968</v>
      </c>
      <c r="B65" s="164"/>
      <c r="C65" s="165" t="e">
        <f ca="1">0.00272*C59*C60*C61/(C62*C63)*IF('Список мероприятий'!AB46=1,0.9,1)*IF('Список мероприятий'!AB54=1,0.9572,1)</f>
        <v>#DIV/0!</v>
      </c>
      <c r="D65" s="166"/>
      <c r="E65" s="163" t="e">
        <f>0.00272*E59*$C$60*E61/(C62*C63)*IF('Список мероприятий'!AB46=1,0.9,1)*IF('Список мероприятий'!AB54=1,0.9572,1)</f>
        <v>#N/A</v>
      </c>
      <c r="F65" s="163" t="e">
        <f>0.00272*F59*$C$60*F61/(C62*C63)*IF('Список мероприятий'!AB46=1,0.9,1)*IF('Список мероприятий'!AB54=1,0.9572,1)</f>
        <v>#N/A</v>
      </c>
      <c r="G65" s="163" t="e">
        <f>0.00272*G59*$C$60*G61/(C62*C63)*IF('Список мероприятий'!AB46=1,0.9,1)*IF('Список мероприятий'!AB54=1,0.9572,1)</f>
        <v>#N/A</v>
      </c>
      <c r="H65" s="163" t="e">
        <f>0.00272*H59*$C$60*H61/(C62*C63)*IF('Список мероприятий'!AB46=1,0.9,1)*IF('Список мероприятий'!AB54=1,0.9572,1)</f>
        <v>#N/A</v>
      </c>
      <c r="I65" s="163" t="e">
        <f>0.00272*I59*$C$60*I61/(C62*C63)*IF('Список мероприятий'!AB46=1,0.9,1)*IF('Список мероприятий'!AB54=1,0.9572,1)</f>
        <v>#N/A</v>
      </c>
      <c r="J65" s="163" t="e">
        <f>0.00272*J59*$C$60*J61/(C62*C63)*IF('Список мероприятий'!AB46=1,0.9,1)*IF('Список мероприятий'!AB54=1,0.9572,1)</f>
        <v>#N/A</v>
      </c>
      <c r="K65" s="163" t="e">
        <f>0.00272*K59*$C$60*K61/(C62*C63)*IF('Список мероприятий'!AB46=1,0.9,1)*IF('Список мероприятий'!AB54=1,0.9572,1)</f>
        <v>#N/A</v>
      </c>
      <c r="L65" s="163" t="e">
        <f>0.00272*L59*$C$60*L61/(C62*C63)*IF('Список мероприятий'!AB46=1,0.9,1)*IF('Список мероприятий'!AB54=1,0.9572,1)</f>
        <v>#N/A</v>
      </c>
      <c r="M65" s="163" t="e">
        <f>0.00272*M59*$C$60*M61/(C62*C63)*IF('Список мероприятий'!AB46=1,0.9,1)*IF('Список мероприятий'!AB54=1,0.9572,1)</f>
        <v>#N/A</v>
      </c>
      <c r="N65" s="163" t="e">
        <f>0.00272*N59*$C$60*N61/(C62*C63)*IF('Список мероприятий'!AB46=1,0.9,1)*IF('Список мероприятий'!AB54=1,0.9572,1)</f>
        <v>#N/A</v>
      </c>
      <c r="O65" s="163" t="e">
        <f>0.00272*O59*$C$60*O61/(C62*C63)*IF('Список мероприятий'!AB46=1,0.9,1)*IF('Список мероприятий'!AB54=1,0.9572,1)</f>
        <v>#N/A</v>
      </c>
      <c r="P65" s="163" t="e">
        <f>0.00272*P59*$C$60*P61/(C62*C63)*IF('Список мероприятий'!AB46=1,0.9,1)*IF('Список мероприятий'!AB54=1,0.9572,1)</f>
        <v>#N/A</v>
      </c>
    </row>
    <row r="66" spans="1:16" x14ac:dyDescent="0.25">
      <c r="A66" s="66" t="s">
        <v>886</v>
      </c>
      <c r="B66" s="76"/>
      <c r="C66" s="76"/>
      <c r="D66" s="76"/>
      <c r="E66" s="76"/>
      <c r="F66" s="76"/>
    </row>
    <row r="67" spans="1:16" x14ac:dyDescent="0.25">
      <c r="A67" s="2560" t="s">
        <v>829</v>
      </c>
      <c r="B67" s="1412" t="s">
        <v>830</v>
      </c>
      <c r="C67" s="2561" t="s">
        <v>754</v>
      </c>
      <c r="D67" s="2562"/>
      <c r="E67" s="2562"/>
      <c r="F67" s="2562"/>
      <c r="G67" s="2563"/>
    </row>
    <row r="68" spans="1:16" ht="51" x14ac:dyDescent="0.25">
      <c r="A68" s="2560"/>
      <c r="B68" s="1412"/>
      <c r="C68" s="168" t="s">
        <v>831</v>
      </c>
      <c r="D68" s="169" t="s">
        <v>832</v>
      </c>
      <c r="E68" s="169" t="s">
        <v>833</v>
      </c>
      <c r="F68" s="169" t="s">
        <v>834</v>
      </c>
      <c r="G68" s="1413" t="s">
        <v>835</v>
      </c>
    </row>
    <row r="69" spans="1:16" ht="45" x14ac:dyDescent="0.25">
      <c r="A69" s="167" t="s">
        <v>836</v>
      </c>
      <c r="B69" s="171" t="s">
        <v>837</v>
      </c>
      <c r="C69" s="172">
        <f>8</f>
        <v>8</v>
      </c>
      <c r="D69" s="159">
        <f>8.5</f>
        <v>8.5</v>
      </c>
      <c r="E69" s="58">
        <f>9.3</f>
        <v>9.3000000000000007</v>
      </c>
      <c r="F69" s="58">
        <f>10</f>
        <v>10</v>
      </c>
      <c r="G69" s="58">
        <f>10.9</f>
        <v>10.9</v>
      </c>
    </row>
    <row r="70" spans="1:16" ht="15" customHeight="1" x14ac:dyDescent="0.25">
      <c r="A70" s="170" t="s">
        <v>838</v>
      </c>
    </row>
    <row r="71" spans="1:16" x14ac:dyDescent="0.25">
      <c r="A71" s="66"/>
      <c r="B71" s="170"/>
      <c r="C71" s="170"/>
      <c r="D71" s="170"/>
      <c r="E71" s="170"/>
      <c r="F71" s="170"/>
    </row>
    <row r="72" spans="1:16" x14ac:dyDescent="0.25">
      <c r="B72" s="67"/>
      <c r="C72" s="68"/>
      <c r="D72" s="69"/>
      <c r="E72" s="70"/>
    </row>
    <row r="74" spans="1:16" ht="15.75" thickBot="1" x14ac:dyDescent="0.3"/>
    <row r="75" spans="1:16" ht="108.75" customHeight="1" thickBot="1" x14ac:dyDescent="0.3">
      <c r="A75" s="173" t="s">
        <v>565</v>
      </c>
      <c r="B75" s="173" t="s">
        <v>566</v>
      </c>
      <c r="C75" s="175" t="s">
        <v>567</v>
      </c>
    </row>
    <row r="76" spans="1:16" ht="16.5" thickBot="1" x14ac:dyDescent="0.3">
      <c r="A76" s="174" t="s">
        <v>568</v>
      </c>
      <c r="B76" s="176">
        <v>50</v>
      </c>
      <c r="C76" s="177">
        <v>6</v>
      </c>
    </row>
    <row r="77" spans="1:16" ht="16.5" thickBot="1" x14ac:dyDescent="0.3">
      <c r="A77" s="174" t="s">
        <v>569</v>
      </c>
      <c r="B77" s="176">
        <v>20</v>
      </c>
      <c r="C77" s="177">
        <v>4</v>
      </c>
    </row>
    <row r="78" spans="1:16" ht="16.5" thickBot="1" x14ac:dyDescent="0.3">
      <c r="A78" s="174" t="s">
        <v>570</v>
      </c>
      <c r="B78" s="176">
        <v>20</v>
      </c>
      <c r="C78" s="177">
        <v>4</v>
      </c>
    </row>
    <row r="81" spans="1:5" ht="31.5" x14ac:dyDescent="0.25">
      <c r="A81" s="178" t="s">
        <v>571</v>
      </c>
      <c r="B81" s="178" t="s">
        <v>572</v>
      </c>
      <c r="C81" s="178" t="s">
        <v>573</v>
      </c>
      <c r="D81" s="178" t="s">
        <v>574</v>
      </c>
    </row>
    <row r="82" spans="1:5" ht="15.75" x14ac:dyDescent="0.25">
      <c r="A82" s="179" t="s">
        <v>575</v>
      </c>
      <c r="B82" s="178"/>
      <c r="C82" s="178"/>
    </row>
    <row r="83" spans="1:5" ht="15.75" x14ac:dyDescent="0.25">
      <c r="A83" s="179" t="s">
        <v>576</v>
      </c>
      <c r="B83" s="179" t="s">
        <v>577</v>
      </c>
      <c r="C83" s="178" t="s">
        <v>579</v>
      </c>
      <c r="D83" s="51">
        <v>2920</v>
      </c>
      <c r="E83" s="51">
        <v>120</v>
      </c>
    </row>
    <row r="84" spans="1:5" ht="31.5" x14ac:dyDescent="0.25">
      <c r="A84" s="180"/>
      <c r="B84" s="179" t="s">
        <v>578</v>
      </c>
      <c r="C84" s="178" t="s">
        <v>579</v>
      </c>
      <c r="D84" s="51">
        <v>4380</v>
      </c>
      <c r="E84" s="51">
        <v>360</v>
      </c>
    </row>
    <row r="85" spans="1:5" ht="15.75" x14ac:dyDescent="0.25">
      <c r="A85" s="180"/>
      <c r="B85" s="180"/>
      <c r="C85" s="178" t="s">
        <v>579</v>
      </c>
      <c r="D85" s="51">
        <v>2920</v>
      </c>
      <c r="E85" s="51">
        <v>120</v>
      </c>
    </row>
    <row r="86" spans="1:5" ht="31.5" x14ac:dyDescent="0.25">
      <c r="A86" s="2554" t="s">
        <v>580</v>
      </c>
      <c r="B86" s="179" t="s">
        <v>581</v>
      </c>
      <c r="C86" s="178" t="s">
        <v>579</v>
      </c>
      <c r="D86" s="51">
        <v>8760</v>
      </c>
      <c r="E86" s="51">
        <v>240</v>
      </c>
    </row>
    <row r="87" spans="1:5" ht="15.75" x14ac:dyDescent="0.25">
      <c r="A87" s="2555"/>
      <c r="B87" s="179" t="s">
        <v>582</v>
      </c>
      <c r="C87" s="178"/>
    </row>
    <row r="88" spans="1:5" ht="15.75" x14ac:dyDescent="0.25">
      <c r="A88" s="2555"/>
      <c r="B88" s="179" t="s">
        <v>583</v>
      </c>
      <c r="C88" s="178" t="s">
        <v>579</v>
      </c>
      <c r="D88" s="51">
        <v>300</v>
      </c>
    </row>
    <row r="89" spans="1:5" ht="31.5" x14ac:dyDescent="0.25">
      <c r="A89" s="2555"/>
      <c r="B89" s="181" t="s">
        <v>584</v>
      </c>
      <c r="C89" s="178" t="s">
        <v>579</v>
      </c>
      <c r="D89" s="51">
        <v>100</v>
      </c>
    </row>
    <row r="90" spans="1:5" ht="15.75" x14ac:dyDescent="0.25">
      <c r="A90" s="2556"/>
      <c r="B90" s="180"/>
      <c r="C90" s="178" t="s">
        <v>579</v>
      </c>
      <c r="D90" s="51">
        <v>40</v>
      </c>
    </row>
    <row r="91" spans="1:5" ht="15.75" x14ac:dyDescent="0.25">
      <c r="A91" s="179" t="s">
        <v>585</v>
      </c>
      <c r="B91" s="178" t="s">
        <v>586</v>
      </c>
      <c r="C91" s="178" t="s">
        <v>586</v>
      </c>
      <c r="D91" s="51">
        <v>2200</v>
      </c>
      <c r="E91" s="51">
        <v>1460</v>
      </c>
    </row>
    <row r="93" spans="1:5" ht="19.5" thickBot="1" x14ac:dyDescent="0.3">
      <c r="A93" s="182" t="s">
        <v>587</v>
      </c>
    </row>
    <row r="94" spans="1:5" ht="19.5" thickBot="1" x14ac:dyDescent="0.3">
      <c r="A94" s="175" t="s">
        <v>588</v>
      </c>
      <c r="B94" s="184" t="s">
        <v>589</v>
      </c>
    </row>
    <row r="95" spans="1:5" ht="16.5" thickBot="1" x14ac:dyDescent="0.3">
      <c r="A95" s="183" t="s">
        <v>590</v>
      </c>
      <c r="B95" s="185">
        <v>1</v>
      </c>
    </row>
    <row r="96" spans="1:5" ht="16.5" thickBot="1" x14ac:dyDescent="0.3">
      <c r="A96" s="183" t="s">
        <v>591</v>
      </c>
      <c r="B96" s="185" t="s">
        <v>592</v>
      </c>
    </row>
    <row r="97" spans="1:2" ht="16.5" thickBot="1" x14ac:dyDescent="0.3">
      <c r="A97" s="183" t="s">
        <v>593</v>
      </c>
      <c r="B97" s="185" t="s">
        <v>594</v>
      </c>
    </row>
    <row r="98" spans="1:2" ht="16.5" thickBot="1" x14ac:dyDescent="0.3">
      <c r="A98" s="183" t="s">
        <v>595</v>
      </c>
      <c r="B98" s="185" t="s">
        <v>596</v>
      </c>
    </row>
  </sheetData>
  <sheetProtection password="ECB1" sheet="1" objects="1" scenarios="1"/>
  <mergeCells count="6">
    <mergeCell ref="A1:W1"/>
    <mergeCell ref="A86:A90"/>
    <mergeCell ref="E27:E30"/>
    <mergeCell ref="C28:C30"/>
    <mergeCell ref="A67:A68"/>
    <mergeCell ref="C67:G6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zoomScale="85" zoomScaleNormal="85" workbookViewId="0">
      <selection activeCell="E4" sqref="E4"/>
    </sheetView>
  </sheetViews>
  <sheetFormatPr defaultColWidth="9.140625" defaultRowHeight="15" x14ac:dyDescent="0.25"/>
  <cols>
    <col min="1" max="1" width="44" style="51" customWidth="1"/>
    <col min="2" max="2" width="21.7109375" style="51" customWidth="1"/>
    <col min="3" max="3" width="23.5703125" style="51" customWidth="1"/>
    <col min="4" max="4" width="9.140625" style="51" customWidth="1"/>
    <col min="5" max="5" width="11.42578125" style="51" customWidth="1"/>
    <col min="6" max="7" width="9.140625" style="51" customWidth="1"/>
    <col min="8" max="8" width="9.140625" style="200" customWidth="1"/>
    <col min="9" max="9" width="46" style="51" customWidth="1"/>
    <col min="10" max="10" width="9.140625" style="51" customWidth="1"/>
    <col min="11" max="15" width="9.140625" style="51"/>
    <col min="16" max="16" width="9.140625" style="200"/>
    <col min="17" max="16384" width="9.140625" style="51"/>
  </cols>
  <sheetData>
    <row r="1" spans="1:59" ht="62.25" customHeight="1" x14ac:dyDescent="0.45">
      <c r="A1" s="2446" t="s">
        <v>1403</v>
      </c>
      <c r="B1" s="2446"/>
      <c r="C1" s="2446"/>
      <c r="D1" s="2446"/>
      <c r="E1" s="2446"/>
      <c r="F1" s="2446"/>
      <c r="G1" s="2446"/>
      <c r="H1" s="2446"/>
      <c r="I1" s="2446"/>
      <c r="J1" s="2446"/>
      <c r="K1" s="2446"/>
      <c r="L1" s="2446"/>
      <c r="M1" s="2446"/>
      <c r="N1" s="2446"/>
      <c r="O1" s="2446"/>
      <c r="P1" s="2446"/>
      <c r="Q1" s="2446"/>
      <c r="R1" s="2446"/>
      <c r="S1" s="2446"/>
      <c r="T1" s="2446"/>
      <c r="U1" s="2446"/>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row>
    <row r="2" spans="1:59" x14ac:dyDescent="0.25">
      <c r="H2" s="60"/>
      <c r="I2" s="60"/>
      <c r="J2" s="60"/>
      <c r="K2" s="60"/>
      <c r="L2" s="60"/>
      <c r="M2" s="60"/>
      <c r="N2" s="60"/>
      <c r="O2" s="60"/>
      <c r="P2" s="60"/>
      <c r="Q2" s="60"/>
    </row>
    <row r="3" spans="1:59" x14ac:dyDescent="0.25">
      <c r="A3" s="2569" t="s">
        <v>1404</v>
      </c>
      <c r="B3" s="2570" t="s">
        <v>913</v>
      </c>
      <c r="C3" s="2571" t="s">
        <v>988</v>
      </c>
      <c r="D3" s="2571" t="s">
        <v>785</v>
      </c>
      <c r="F3" s="186">
        <v>1</v>
      </c>
      <c r="H3" s="60"/>
      <c r="I3" s="60"/>
      <c r="J3" s="60"/>
      <c r="K3" s="60"/>
      <c r="L3" s="60"/>
      <c r="M3" s="60"/>
      <c r="N3" s="60"/>
      <c r="O3" s="60"/>
      <c r="P3" s="60"/>
      <c r="Q3" s="60"/>
    </row>
    <row r="4" spans="1:59" x14ac:dyDescent="0.25">
      <c r="A4" s="2569"/>
      <c r="B4" s="2570"/>
      <c r="C4" s="2571"/>
      <c r="D4" s="2571"/>
      <c r="E4" s="187">
        <v>2</v>
      </c>
      <c r="F4" s="77" t="s">
        <v>732</v>
      </c>
      <c r="H4" s="187">
        <f>IF(F3=2,0,1)</f>
        <v>1</v>
      </c>
      <c r="J4" s="60"/>
      <c r="K4" s="60"/>
      <c r="L4" s="60"/>
      <c r="M4" s="60"/>
      <c r="N4" s="60"/>
      <c r="O4" s="60"/>
      <c r="P4" s="60"/>
      <c r="Q4" s="60"/>
    </row>
    <row r="5" spans="1:59" x14ac:dyDescent="0.25">
      <c r="A5" s="188" t="s">
        <v>815</v>
      </c>
      <c r="B5" s="189" t="s">
        <v>784</v>
      </c>
      <c r="C5" s="189">
        <f>195-D5</f>
        <v>110</v>
      </c>
      <c r="D5" s="58">
        <f>85</f>
        <v>85</v>
      </c>
      <c r="E5" s="186">
        <v>0</v>
      </c>
      <c r="F5" s="190" t="s">
        <v>809</v>
      </c>
      <c r="H5" s="60"/>
      <c r="I5" s="60"/>
      <c r="J5" s="60"/>
      <c r="K5" s="60"/>
      <c r="L5" s="60"/>
      <c r="M5" s="60"/>
      <c r="N5" s="60"/>
      <c r="O5" s="60"/>
      <c r="P5" s="60"/>
      <c r="Q5" s="60"/>
    </row>
    <row r="6" spans="1:59" ht="25.5" x14ac:dyDescent="0.25">
      <c r="A6" s="188" t="s">
        <v>814</v>
      </c>
      <c r="B6" s="189" t="s">
        <v>784</v>
      </c>
      <c r="C6" s="189">
        <f>230-D6</f>
        <v>140</v>
      </c>
      <c r="D6" s="58">
        <f>90</f>
        <v>90</v>
      </c>
      <c r="E6" s="186">
        <f>IF($E$4=1,1,0)</f>
        <v>0</v>
      </c>
      <c r="F6" s="190" t="s">
        <v>810</v>
      </c>
      <c r="H6" s="60"/>
      <c r="I6" s="60"/>
      <c r="J6" s="60"/>
      <c r="K6" s="60"/>
      <c r="L6" s="60"/>
      <c r="M6" s="60"/>
      <c r="N6" s="60"/>
      <c r="O6" s="60"/>
      <c r="P6" s="60"/>
      <c r="Q6" s="60"/>
    </row>
    <row r="7" spans="1:59" ht="25.5" x14ac:dyDescent="0.25">
      <c r="A7" s="188" t="s">
        <v>813</v>
      </c>
      <c r="B7" s="189" t="s">
        <v>784</v>
      </c>
      <c r="C7" s="189">
        <f>250-D7</f>
        <v>145</v>
      </c>
      <c r="D7" s="58">
        <f>105</f>
        <v>105</v>
      </c>
      <c r="E7" s="186">
        <f>IF($E$4=2,1,0)</f>
        <v>1</v>
      </c>
      <c r="F7" s="190" t="s">
        <v>808</v>
      </c>
      <c r="H7" s="60"/>
      <c r="I7" s="60"/>
      <c r="J7" s="60"/>
      <c r="K7" s="60"/>
      <c r="L7" s="60"/>
      <c r="M7" s="60"/>
      <c r="N7" s="60"/>
      <c r="O7" s="60"/>
      <c r="P7" s="60"/>
      <c r="Q7" s="60"/>
    </row>
    <row r="8" spans="1:59" ht="25.5" x14ac:dyDescent="0.25">
      <c r="A8" s="191" t="s">
        <v>811</v>
      </c>
      <c r="B8" s="189" t="s">
        <v>784</v>
      </c>
      <c r="C8" s="189">
        <f>250-D8</f>
        <v>150</v>
      </c>
      <c r="D8" s="58">
        <f>100</f>
        <v>100</v>
      </c>
      <c r="E8" s="186">
        <f>IF($E$4=3,1,0)</f>
        <v>0</v>
      </c>
      <c r="F8" s="192" t="s">
        <v>807</v>
      </c>
      <c r="H8" s="60"/>
      <c r="I8" s="60"/>
      <c r="J8" s="60"/>
      <c r="K8" s="60"/>
      <c r="L8" s="60"/>
      <c r="M8" s="60"/>
      <c r="N8" s="60"/>
      <c r="O8" s="60"/>
      <c r="P8" s="60"/>
      <c r="Q8" s="60"/>
    </row>
    <row r="9" spans="1:59" ht="25.5" x14ac:dyDescent="0.25">
      <c r="A9" s="188" t="s">
        <v>812</v>
      </c>
      <c r="B9" s="189" t="s">
        <v>784</v>
      </c>
      <c r="C9" s="189">
        <f>360-D9</f>
        <v>245</v>
      </c>
      <c r="D9" s="58">
        <f>115</f>
        <v>115</v>
      </c>
      <c r="E9" s="186">
        <f>IF($E$4=4,1,0)</f>
        <v>0</v>
      </c>
      <c r="F9" s="190" t="s">
        <v>806</v>
      </c>
      <c r="H9" s="60"/>
      <c r="I9" s="60"/>
      <c r="J9" s="60"/>
      <c r="K9" s="60"/>
      <c r="L9" s="60"/>
      <c r="M9" s="60"/>
      <c r="N9" s="60"/>
      <c r="O9" s="60"/>
      <c r="P9" s="60"/>
      <c r="Q9" s="60"/>
    </row>
    <row r="10" spans="1:59" x14ac:dyDescent="0.25">
      <c r="H10" s="60"/>
      <c r="I10" s="60"/>
      <c r="J10" s="193"/>
      <c r="K10" s="194"/>
      <c r="L10" s="195"/>
      <c r="M10" s="60"/>
      <c r="N10" s="60"/>
      <c r="O10" s="60"/>
      <c r="P10" s="60"/>
      <c r="Q10" s="60"/>
    </row>
    <row r="11" spans="1:59" x14ac:dyDescent="0.25">
      <c r="B11" s="196">
        <f>IF(F14=1,1,0)</f>
        <v>0</v>
      </c>
      <c r="C11" s="196">
        <f>IF(F14=0,1,0)</f>
        <v>1</v>
      </c>
      <c r="H11" s="60"/>
      <c r="I11" s="60"/>
      <c r="J11" s="60"/>
      <c r="K11" s="60"/>
      <c r="L11" s="60"/>
      <c r="M11" s="60"/>
      <c r="N11" s="60"/>
      <c r="O11" s="60"/>
      <c r="P11" s="60"/>
      <c r="Q11" s="60"/>
    </row>
    <row r="12" spans="1:59" ht="18" x14ac:dyDescent="0.35">
      <c r="A12" s="2571" t="s">
        <v>786</v>
      </c>
      <c r="B12" s="2572" t="s">
        <v>792</v>
      </c>
      <c r="C12" s="2572"/>
      <c r="E12" s="51">
        <f>SUMPRODUCT(D14:D17,B14:B17)*B11+SUMPRODUCT(D14:D17,C14:C17)*C11</f>
        <v>0.2</v>
      </c>
      <c r="H12" s="60"/>
      <c r="I12" s="60"/>
      <c r="J12" s="60"/>
      <c r="K12" s="60"/>
      <c r="L12" s="60"/>
      <c r="M12" s="60"/>
      <c r="N12" s="60"/>
      <c r="O12" s="60"/>
      <c r="P12" s="60"/>
      <c r="Q12" s="60"/>
    </row>
    <row r="13" spans="1:59" ht="87.6" customHeight="1" x14ac:dyDescent="0.25">
      <c r="A13" s="2571"/>
      <c r="B13" s="197" t="s">
        <v>791</v>
      </c>
      <c r="C13" s="197" t="s">
        <v>1405</v>
      </c>
      <c r="F13" s="186"/>
      <c r="G13" s="186">
        <f>IF(F20=1,1,IF(F21=1,2,0))</f>
        <v>0</v>
      </c>
      <c r="H13" s="60"/>
      <c r="I13" s="60"/>
      <c r="J13" s="60"/>
      <c r="K13" s="60"/>
      <c r="L13" s="60"/>
      <c r="M13" s="60"/>
      <c r="N13" s="60"/>
      <c r="O13" s="60"/>
      <c r="P13" s="60"/>
      <c r="Q13" s="60"/>
    </row>
    <row r="14" spans="1:59" ht="25.5" x14ac:dyDescent="0.25">
      <c r="A14" s="198" t="s">
        <v>787</v>
      </c>
      <c r="B14" s="199">
        <f>0.25</f>
        <v>0.25</v>
      </c>
      <c r="C14" s="199">
        <f>0.2</f>
        <v>0.2</v>
      </c>
      <c r="D14" s="51">
        <f>IF(AND($F$15=1,$F$16=1),1,0)</f>
        <v>0</v>
      </c>
      <c r="E14" s="51" t="s">
        <v>731</v>
      </c>
      <c r="F14" s="186">
        <f>IF(OR(G13=1),1,0)</f>
        <v>0</v>
      </c>
      <c r="G14" s="186" t="b">
        <v>1</v>
      </c>
    </row>
    <row r="15" spans="1:59" ht="25.5" x14ac:dyDescent="0.25">
      <c r="A15" s="198" t="s">
        <v>788</v>
      </c>
      <c r="B15" s="199">
        <f>0.15</f>
        <v>0.15</v>
      </c>
      <c r="C15" s="199">
        <f>0.1</f>
        <v>0.1</v>
      </c>
      <c r="D15" s="51">
        <f>IF(AND($F$15=1,$F$16=0),1,0)</f>
        <v>0</v>
      </c>
      <c r="E15" s="51" t="s">
        <v>729</v>
      </c>
      <c r="F15" s="186">
        <f>IF(G15=TRUE,1,0)</f>
        <v>0</v>
      </c>
      <c r="G15" s="186" t="b">
        <v>0</v>
      </c>
    </row>
    <row r="16" spans="1:59" ht="25.5" x14ac:dyDescent="0.25">
      <c r="A16" s="198" t="s">
        <v>789</v>
      </c>
      <c r="B16" s="199">
        <v>0.35</v>
      </c>
      <c r="C16" s="199">
        <v>0.3</v>
      </c>
      <c r="D16" s="51">
        <f>IF(AND($F$15=0,$F$16=1),1,0)</f>
        <v>0</v>
      </c>
      <c r="E16" s="51" t="s">
        <v>730</v>
      </c>
      <c r="F16" s="186">
        <f>IF(G16=TRUE,1,0)</f>
        <v>0</v>
      </c>
      <c r="G16" s="186" t="b">
        <v>0</v>
      </c>
    </row>
    <row r="17" spans="1:11" ht="25.5" x14ac:dyDescent="0.25">
      <c r="A17" s="198" t="s">
        <v>790</v>
      </c>
      <c r="B17" s="199">
        <f>0.25</f>
        <v>0.25</v>
      </c>
      <c r="C17" s="199">
        <f>0.2</f>
        <v>0.2</v>
      </c>
      <c r="D17" s="51">
        <f>IF(AND($F$15=0,$F$16=0),1,0)</f>
        <v>1</v>
      </c>
      <c r="E17" s="51" t="s">
        <v>1341</v>
      </c>
      <c r="F17" s="186">
        <f>IF(G17=TRUE,1,0)</f>
        <v>0</v>
      </c>
      <c r="G17" s="186" t="b">
        <v>0</v>
      </c>
    </row>
    <row r="18" spans="1:11" x14ac:dyDescent="0.25">
      <c r="F18" s="186"/>
      <c r="G18" s="186">
        <v>1</v>
      </c>
    </row>
    <row r="19" spans="1:11" x14ac:dyDescent="0.25">
      <c r="E19" s="51" t="s">
        <v>1342</v>
      </c>
      <c r="F19" s="186">
        <f>IF($G$18=1,1,0)</f>
        <v>1</v>
      </c>
      <c r="G19" s="186"/>
    </row>
    <row r="20" spans="1:11" x14ac:dyDescent="0.25">
      <c r="E20" s="51" t="s">
        <v>1484</v>
      </c>
      <c r="F20" s="186">
        <f>IF($G$18=2,1,0)</f>
        <v>0</v>
      </c>
      <c r="G20" s="186"/>
    </row>
    <row r="21" spans="1:11" x14ac:dyDescent="0.25">
      <c r="E21" s="51" t="s">
        <v>1485</v>
      </c>
      <c r="F21" s="186">
        <f>IF($G$18=3,1,0)</f>
        <v>0</v>
      </c>
      <c r="G21" s="186"/>
    </row>
    <row r="30" spans="1:11" ht="15.75" thickBot="1" x14ac:dyDescent="0.3"/>
    <row r="31" spans="1:11" ht="16.5" thickBot="1" x14ac:dyDescent="0.3">
      <c r="A31" s="201" t="s">
        <v>728</v>
      </c>
      <c r="B31" s="2567" t="s">
        <v>554</v>
      </c>
      <c r="C31" s="2568"/>
      <c r="I31" s="202" t="s">
        <v>914</v>
      </c>
    </row>
    <row r="32" spans="1:11" ht="63.75" thickBot="1" x14ac:dyDescent="0.3">
      <c r="A32" s="203"/>
      <c r="B32" s="204" t="s">
        <v>555</v>
      </c>
      <c r="C32" s="205" t="s">
        <v>556</v>
      </c>
      <c r="I32" s="2564" t="s">
        <v>1406</v>
      </c>
      <c r="J32" s="2564"/>
      <c r="K32" s="2564"/>
    </row>
    <row r="33" spans="1:15" ht="32.25" thickBot="1" x14ac:dyDescent="0.3">
      <c r="A33" s="206" t="s">
        <v>557</v>
      </c>
      <c r="B33" s="204">
        <v>0.15</v>
      </c>
      <c r="C33" s="204">
        <v>0.1</v>
      </c>
      <c r="D33" s="204">
        <f>IF((G15=TRUE)*AND(G16=FALSE)*AND(G14=TRUE),1,0)</f>
        <v>0</v>
      </c>
      <c r="E33" s="204">
        <f>IF((G15=TRUE)*AND(G16=FALSE)*AND(G14=FALSE),1,0)</f>
        <v>0</v>
      </c>
      <c r="I33" s="207"/>
      <c r="J33" s="207" t="e">
        <f>IF(VLOOKUP(CONCATENATE('Ввод исходных данных'!$D$10,'Ввод исходных данных'!$D$11),Климатология!$D$8:$BF$530,Климатология!#REF!,FALSE)&lt;=2,1,0)</f>
        <v>#REF!</v>
      </c>
      <c r="K33" s="207" t="e">
        <f>IF(VLOOKUP(CONCATENATE('Ввод исходных данных'!$D$10,'Ввод исходных данных'!$D$11),Климатология!$D$8:$BF$530,Климатология!#REF!,FALSE)&gt;=3,1,0)</f>
        <v>#REF!</v>
      </c>
    </row>
    <row r="34" spans="1:15" ht="16.5" thickBot="1" x14ac:dyDescent="0.3">
      <c r="A34" s="208" t="s">
        <v>495</v>
      </c>
      <c r="B34" s="208">
        <v>0.25</v>
      </c>
      <c r="C34" s="208">
        <v>0.2</v>
      </c>
      <c r="D34" s="208">
        <f>IF((G15=TRUE)*AND(G16=TRUE)*AND(G14=TRUE),1,0)</f>
        <v>0</v>
      </c>
      <c r="E34" s="208">
        <f>IF((G15=TRUE)*AND(G16=TRUE)*AND(G14=FALSE),1,0)</f>
        <v>0</v>
      </c>
      <c r="I34" s="209" t="s">
        <v>1407</v>
      </c>
      <c r="J34" s="2565"/>
      <c r="K34" s="2566"/>
    </row>
    <row r="35" spans="1:15" ht="32.25" thickBot="1" x14ac:dyDescent="0.3">
      <c r="A35" s="206" t="s">
        <v>558</v>
      </c>
      <c r="B35" s="204">
        <v>0.35</v>
      </c>
      <c r="C35" s="204">
        <v>0.3</v>
      </c>
      <c r="D35" s="204">
        <f>IF((G15=FALSE)*AND(G16=TRUE)*AND(G14=TRUE),1,0)</f>
        <v>0</v>
      </c>
      <c r="E35" s="204">
        <f>IF((G15=FALSE)*AND(G16=TRUE)*AND(G14=FALSE),1,0)</f>
        <v>0</v>
      </c>
      <c r="I35" s="210"/>
      <c r="J35" s="211" t="s">
        <v>598</v>
      </c>
      <c r="K35" s="211" t="s">
        <v>599</v>
      </c>
    </row>
    <row r="36" spans="1:15" ht="15.75" thickBot="1" x14ac:dyDescent="0.3">
      <c r="I36" s="212" t="s">
        <v>600</v>
      </c>
      <c r="J36" s="213">
        <v>40</v>
      </c>
      <c r="K36" s="213">
        <v>45</v>
      </c>
      <c r="N36" s="186"/>
    </row>
    <row r="37" spans="1:15" ht="15.75" thickBot="1" x14ac:dyDescent="0.3">
      <c r="I37" s="212" t="s">
        <v>601</v>
      </c>
      <c r="J37" s="213">
        <v>48</v>
      </c>
      <c r="K37" s="213">
        <v>55</v>
      </c>
      <c r="M37" s="71"/>
      <c r="N37" s="214">
        <v>1</v>
      </c>
      <c r="O37" s="214"/>
    </row>
    <row r="38" spans="1:15" ht="43.5" thickBot="1" x14ac:dyDescent="0.3">
      <c r="I38" s="212" t="s">
        <v>602</v>
      </c>
      <c r="J38" s="213">
        <v>60</v>
      </c>
      <c r="K38" s="213">
        <v>70</v>
      </c>
      <c r="L38" s="51">
        <f>IF((N38=0)*AND(N39=1),1,0)</f>
        <v>0</v>
      </c>
      <c r="M38" s="71" t="s">
        <v>732</v>
      </c>
      <c r="N38" s="214">
        <f>IF(N37=1,1,0)</f>
        <v>1</v>
      </c>
      <c r="O38" s="214"/>
    </row>
    <row r="39" spans="1:15" ht="15.75" thickBot="1" x14ac:dyDescent="0.3">
      <c r="I39" s="212" t="s">
        <v>603</v>
      </c>
      <c r="J39" s="213">
        <v>85</v>
      </c>
      <c r="K39" s="213">
        <v>95</v>
      </c>
      <c r="L39" s="51">
        <f>IF((N38=0)*AND(N41=0)*AND(N40=1),1,0)</f>
        <v>0</v>
      </c>
      <c r="M39" s="71" t="s">
        <v>733</v>
      </c>
      <c r="N39" s="214">
        <f>IF(N37=2,1,0)</f>
        <v>0</v>
      </c>
      <c r="O39" s="214"/>
    </row>
    <row r="40" spans="1:15" ht="29.25" thickBot="1" x14ac:dyDescent="0.3">
      <c r="I40" s="212" t="s">
        <v>604</v>
      </c>
      <c r="J40" s="213">
        <v>95</v>
      </c>
      <c r="K40" s="213">
        <v>105</v>
      </c>
      <c r="L40" s="51">
        <f>IF((N38=1)*AND(N41=0),1,0)</f>
        <v>0</v>
      </c>
      <c r="M40" s="71" t="s">
        <v>734</v>
      </c>
      <c r="N40" s="214">
        <f>IF(N37=3,1,0)</f>
        <v>0</v>
      </c>
      <c r="O40" s="214"/>
    </row>
    <row r="41" spans="1:15" ht="29.25" thickBot="1" x14ac:dyDescent="0.3">
      <c r="I41" s="212" t="s">
        <v>605</v>
      </c>
      <c r="J41" s="213">
        <v>100</v>
      </c>
      <c r="K41" s="213">
        <v>115</v>
      </c>
      <c r="L41" s="51">
        <f>IF((N38=1)*AND(N41=1),1,0)</f>
        <v>1</v>
      </c>
      <c r="M41" s="71" t="s">
        <v>735</v>
      </c>
      <c r="N41" s="214">
        <f>IF(O41=TRUE,1,0)</f>
        <v>1</v>
      </c>
      <c r="O41" s="214" t="b">
        <v>1</v>
      </c>
    </row>
    <row r="43" spans="1:15" ht="15.75" thickBot="1" x14ac:dyDescent="0.3">
      <c r="A43" s="215" t="s">
        <v>736</v>
      </c>
      <c r="B43" s="215"/>
    </row>
    <row r="44" spans="1:15" ht="35.25" thickBot="1" x14ac:dyDescent="0.3">
      <c r="A44" s="175" t="s">
        <v>549</v>
      </c>
      <c r="B44" s="184" t="s">
        <v>550</v>
      </c>
    </row>
    <row r="45" spans="1:15" ht="16.5" thickBot="1" x14ac:dyDescent="0.3">
      <c r="A45" s="216">
        <v>150</v>
      </c>
      <c r="B45" s="185">
        <v>5.15</v>
      </c>
    </row>
    <row r="46" spans="1:15" ht="16.5" thickBot="1" x14ac:dyDescent="0.3">
      <c r="A46" s="216">
        <v>250</v>
      </c>
      <c r="B46" s="185">
        <v>4.5</v>
      </c>
    </row>
    <row r="47" spans="1:15" ht="16.5" thickBot="1" x14ac:dyDescent="0.3">
      <c r="A47" s="216">
        <v>350</v>
      </c>
      <c r="B47" s="185">
        <v>4.0999999999999996</v>
      </c>
    </row>
    <row r="48" spans="1:15" ht="16.5" thickBot="1" x14ac:dyDescent="0.3">
      <c r="A48" s="216">
        <v>500</v>
      </c>
      <c r="B48" s="185">
        <v>3.75</v>
      </c>
    </row>
    <row r="49" spans="1:2" ht="16.5" thickBot="1" x14ac:dyDescent="0.3">
      <c r="A49" s="216">
        <v>700</v>
      </c>
      <c r="B49" s="185">
        <v>3.5</v>
      </c>
    </row>
    <row r="50" spans="1:2" ht="16.5" thickBot="1" x14ac:dyDescent="0.3">
      <c r="A50" s="217">
        <v>1000</v>
      </c>
      <c r="B50" s="185">
        <v>3.27</v>
      </c>
    </row>
    <row r="51" spans="1:2" ht="16.5" thickBot="1" x14ac:dyDescent="0.3">
      <c r="A51" s="217">
        <v>1500</v>
      </c>
      <c r="B51" s="185">
        <v>3.09</v>
      </c>
    </row>
    <row r="52" spans="1:2" ht="16.5" thickBot="1" x14ac:dyDescent="0.3">
      <c r="A52" s="217">
        <v>2000</v>
      </c>
      <c r="B52" s="185">
        <v>2.97</v>
      </c>
    </row>
    <row r="53" spans="1:2" ht="16.5" thickBot="1" x14ac:dyDescent="0.3">
      <c r="A53" s="217">
        <v>3000</v>
      </c>
      <c r="B53" s="185">
        <v>2.85</v>
      </c>
    </row>
    <row r="54" spans="1:2" ht="16.5" thickBot="1" x14ac:dyDescent="0.3">
      <c r="A54" s="217">
        <v>5000</v>
      </c>
      <c r="B54" s="185">
        <v>2.74</v>
      </c>
    </row>
    <row r="59" spans="1:2" x14ac:dyDescent="0.25">
      <c r="A59" s="218">
        <v>150</v>
      </c>
      <c r="B59" s="73">
        <v>5.15</v>
      </c>
    </row>
    <row r="60" spans="1:2" x14ac:dyDescent="0.25">
      <c r="A60" s="218">
        <v>250</v>
      </c>
      <c r="B60" s="218">
        <v>4.5</v>
      </c>
    </row>
    <row r="61" spans="1:2" x14ac:dyDescent="0.25">
      <c r="A61" s="218">
        <v>350</v>
      </c>
      <c r="B61" s="218">
        <v>4.0999999999999996</v>
      </c>
    </row>
    <row r="62" spans="1:2" x14ac:dyDescent="0.25">
      <c r="A62" s="218">
        <v>500</v>
      </c>
      <c r="B62" s="218">
        <v>3.75</v>
      </c>
    </row>
    <row r="63" spans="1:2" x14ac:dyDescent="0.25">
      <c r="A63" s="218">
        <v>700</v>
      </c>
      <c r="B63" s="218">
        <v>3.5</v>
      </c>
    </row>
    <row r="64" spans="1:2" x14ac:dyDescent="0.25">
      <c r="A64" s="218">
        <v>1000</v>
      </c>
      <c r="B64" s="218">
        <v>3.27</v>
      </c>
    </row>
    <row r="65" spans="1:2" x14ac:dyDescent="0.25">
      <c r="A65" s="218">
        <v>1500</v>
      </c>
      <c r="B65" s="218">
        <v>3.09</v>
      </c>
    </row>
    <row r="66" spans="1:2" x14ac:dyDescent="0.25">
      <c r="A66" s="218">
        <v>2000</v>
      </c>
      <c r="B66" s="218">
        <v>2.97</v>
      </c>
    </row>
    <row r="67" spans="1:2" x14ac:dyDescent="0.25">
      <c r="A67" s="218">
        <v>2500</v>
      </c>
      <c r="B67" s="218">
        <v>2.9</v>
      </c>
    </row>
    <row r="68" spans="1:2" x14ac:dyDescent="0.25">
      <c r="A68" s="218">
        <v>3000</v>
      </c>
      <c r="B68" s="218">
        <v>2.85</v>
      </c>
    </row>
    <row r="69" spans="1:2" x14ac:dyDescent="0.25">
      <c r="A69" s="218">
        <v>4000</v>
      </c>
      <c r="B69" s="218">
        <v>2.78</v>
      </c>
    </row>
    <row r="70" spans="1:2" x14ac:dyDescent="0.25">
      <c r="A70" s="218">
        <v>5000</v>
      </c>
      <c r="B70" s="218">
        <v>2.74</v>
      </c>
    </row>
    <row r="71" spans="1:2" x14ac:dyDescent="0.25">
      <c r="A71" s="218">
        <v>6000</v>
      </c>
      <c r="B71" s="218">
        <v>2.7</v>
      </c>
    </row>
    <row r="72" spans="1:2" x14ac:dyDescent="0.25">
      <c r="A72" s="218">
        <v>7500</v>
      </c>
      <c r="B72" s="218">
        <v>2.65</v>
      </c>
    </row>
    <row r="73" spans="1:2" x14ac:dyDescent="0.25">
      <c r="A73" s="218">
        <v>10000</v>
      </c>
      <c r="B73" s="218">
        <v>2.6</v>
      </c>
    </row>
    <row r="74" spans="1:2" x14ac:dyDescent="0.25">
      <c r="A74" s="218">
        <v>20000</v>
      </c>
      <c r="B74" s="218">
        <v>2.4</v>
      </c>
    </row>
  </sheetData>
  <sheetProtection password="ECB1"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R543"/>
  <sheetViews>
    <sheetView workbookViewId="0">
      <selection activeCell="M19" sqref="M19"/>
    </sheetView>
  </sheetViews>
  <sheetFormatPr defaultColWidth="3.28515625" defaultRowHeight="15" x14ac:dyDescent="0.25"/>
  <cols>
    <col min="1" max="1" width="3.28515625" style="51" customWidth="1"/>
    <col min="2" max="3" width="15" style="51" customWidth="1"/>
    <col min="4" max="4" width="23.85546875" style="51" customWidth="1"/>
    <col min="5" max="5" width="9.140625" style="51" customWidth="1"/>
    <col min="6" max="34" width="3.28515625" style="51" customWidth="1"/>
    <col min="35" max="35" width="7.7109375" style="51" customWidth="1"/>
    <col min="36" max="66" width="3.28515625" style="51" customWidth="1"/>
    <col min="67" max="16384" width="3.28515625" style="51"/>
  </cols>
  <sheetData>
    <row r="1" spans="2:44" x14ac:dyDescent="0.25">
      <c r="B1" s="51" t="s">
        <v>447</v>
      </c>
      <c r="D1" s="51" t="s">
        <v>442</v>
      </c>
      <c r="F1" s="51" t="s">
        <v>459</v>
      </c>
      <c r="N1" s="51" t="s">
        <v>465</v>
      </c>
    </row>
    <row r="2" spans="2:44" x14ac:dyDescent="0.25">
      <c r="B2" s="219" t="s">
        <v>2415</v>
      </c>
      <c r="D2" s="219" t="s">
        <v>2415</v>
      </c>
      <c r="F2" s="219" t="s">
        <v>2415</v>
      </c>
      <c r="G2" s="220" t="s">
        <v>2415</v>
      </c>
      <c r="J2" s="221" t="s">
        <v>460</v>
      </c>
      <c r="K2" s="222" t="s">
        <v>457</v>
      </c>
      <c r="N2" s="219" t="s">
        <v>2415</v>
      </c>
      <c r="P2" s="223" t="s">
        <v>468</v>
      </c>
      <c r="R2" s="223" t="s">
        <v>469</v>
      </c>
      <c r="T2" s="223" t="s">
        <v>470</v>
      </c>
      <c r="W2" s="51" t="s">
        <v>606</v>
      </c>
      <c r="Y2" s="51" t="s">
        <v>607</v>
      </c>
      <c r="AA2" s="51" t="s">
        <v>608</v>
      </c>
      <c r="AC2" s="51" t="s">
        <v>1224</v>
      </c>
      <c r="AE2" s="51" t="s">
        <v>1225</v>
      </c>
      <c r="AG2" s="51" t="s">
        <v>1260</v>
      </c>
      <c r="AI2" s="224" t="s">
        <v>758</v>
      </c>
      <c r="AK2" s="224" t="s">
        <v>799</v>
      </c>
      <c r="AN2" s="51" t="s">
        <v>1153</v>
      </c>
      <c r="AR2" s="51" t="s">
        <v>1155</v>
      </c>
    </row>
    <row r="3" spans="2:44" ht="15.75" x14ac:dyDescent="0.25">
      <c r="B3" s="71" t="s">
        <v>446</v>
      </c>
      <c r="D3" s="51" t="s">
        <v>448</v>
      </c>
      <c r="F3" s="225" t="s">
        <v>0</v>
      </c>
      <c r="G3" s="226">
        <v>3</v>
      </c>
      <c r="J3" s="227" t="s">
        <v>2415</v>
      </c>
      <c r="K3" s="227" t="s">
        <v>2415</v>
      </c>
      <c r="N3" s="51" t="s">
        <v>466</v>
      </c>
      <c r="P3" s="228" t="s">
        <v>461</v>
      </c>
      <c r="R3" s="228" t="s">
        <v>461</v>
      </c>
      <c r="T3" s="228" t="s">
        <v>461</v>
      </c>
      <c r="W3" s="219" t="s">
        <v>461</v>
      </c>
      <c r="Y3" s="219" t="s">
        <v>461</v>
      </c>
      <c r="AA3" s="219" t="s">
        <v>461</v>
      </c>
      <c r="AC3" s="219" t="s">
        <v>461</v>
      </c>
      <c r="AD3" s="219"/>
      <c r="AE3" s="219" t="s">
        <v>461</v>
      </c>
      <c r="AG3" s="219" t="s">
        <v>1254</v>
      </c>
      <c r="AI3" s="229" t="s">
        <v>461</v>
      </c>
      <c r="AK3" s="51" t="s">
        <v>491</v>
      </c>
      <c r="AN3" s="229" t="s">
        <v>2415</v>
      </c>
      <c r="AR3" s="229" t="s">
        <v>2415</v>
      </c>
    </row>
    <row r="4" spans="2:44" ht="15.75" x14ac:dyDescent="0.25">
      <c r="B4" s="71" t="s">
        <v>1376</v>
      </c>
      <c r="D4" s="51" t="s">
        <v>449</v>
      </c>
      <c r="F4" s="230" t="s">
        <v>13</v>
      </c>
      <c r="G4" s="231">
        <v>4</v>
      </c>
      <c r="J4" s="232" t="s">
        <v>0</v>
      </c>
      <c r="K4" s="233" t="s">
        <v>1</v>
      </c>
      <c r="N4" s="51" t="s">
        <v>467</v>
      </c>
      <c r="P4" s="234" t="s">
        <v>471</v>
      </c>
      <c r="R4" s="235" t="s">
        <v>472</v>
      </c>
      <c r="T4" s="234" t="s">
        <v>473</v>
      </c>
      <c r="W4" s="51" t="s">
        <v>927</v>
      </c>
      <c r="AC4" s="51" t="s">
        <v>924</v>
      </c>
      <c r="AE4" s="219" t="s">
        <v>1226</v>
      </c>
      <c r="AF4" s="51">
        <v>0.7</v>
      </c>
      <c r="AG4" s="51" t="str">
        <f>CONCATENATE($AC$4,", ",AE5)</f>
        <v>дерево, двойной раздельный</v>
      </c>
      <c r="AI4" s="236" t="s">
        <v>759</v>
      </c>
      <c r="AK4" s="229" t="s">
        <v>800</v>
      </c>
      <c r="AN4" s="237" t="s">
        <v>971</v>
      </c>
      <c r="AR4" s="51" t="s">
        <v>1154</v>
      </c>
    </row>
    <row r="5" spans="2:44" ht="15.75" x14ac:dyDescent="0.25">
      <c r="B5" s="71" t="s">
        <v>1550</v>
      </c>
      <c r="D5" s="51" t="s">
        <v>450</v>
      </c>
      <c r="F5" s="226" t="s">
        <v>36</v>
      </c>
      <c r="G5" s="226">
        <v>5</v>
      </c>
      <c r="J5" s="232" t="s">
        <v>0</v>
      </c>
      <c r="K5" s="238" t="s">
        <v>3</v>
      </c>
      <c r="P5" s="235" t="s">
        <v>474</v>
      </c>
      <c r="R5" s="235" t="s">
        <v>475</v>
      </c>
      <c r="T5" s="234" t="s">
        <v>476</v>
      </c>
      <c r="W5" s="51" t="s">
        <v>928</v>
      </c>
      <c r="AC5" s="51" t="s">
        <v>925</v>
      </c>
      <c r="AE5" s="51" t="s">
        <v>1227</v>
      </c>
      <c r="AF5" s="51">
        <v>0.8</v>
      </c>
      <c r="AG5" s="51" t="str">
        <f>CONCATENATE($AC$4,", ",AE6)</f>
        <v>дерево, спаренный</v>
      </c>
      <c r="AI5" s="239" t="str">
        <f>IF(списки!C40,"&lt; не доступно для разноэтажных МКД &gt;","Ориентировочный")</f>
        <v>Ориентировочный</v>
      </c>
      <c r="AK5" s="51" t="s">
        <v>801</v>
      </c>
      <c r="AN5" s="237" t="s">
        <v>1290</v>
      </c>
      <c r="AR5" s="51" t="s">
        <v>467</v>
      </c>
    </row>
    <row r="6" spans="2:44" ht="15.75" x14ac:dyDescent="0.25">
      <c r="B6" s="51" t="s">
        <v>1385</v>
      </c>
      <c r="D6" s="51" t="s">
        <v>451</v>
      </c>
      <c r="F6" s="230" t="s">
        <v>44</v>
      </c>
      <c r="G6" s="231">
        <v>6</v>
      </c>
      <c r="J6" s="232" t="s">
        <v>0</v>
      </c>
      <c r="K6" s="233" t="s">
        <v>632</v>
      </c>
      <c r="R6" s="234" t="s">
        <v>477</v>
      </c>
      <c r="T6" s="235" t="s">
        <v>478</v>
      </c>
      <c r="W6" s="51" t="s">
        <v>929</v>
      </c>
      <c r="AC6" s="51" t="s">
        <v>926</v>
      </c>
      <c r="AE6" s="51" t="s">
        <v>1228</v>
      </c>
      <c r="AF6" s="51">
        <v>0.9</v>
      </c>
      <c r="AG6" s="51" t="str">
        <f>CONCATENATE($AC$4,", ",AE7)</f>
        <v>дерево, одинарный</v>
      </c>
      <c r="AK6" s="229" t="s">
        <v>802</v>
      </c>
      <c r="AN6" s="237" t="s">
        <v>972</v>
      </c>
    </row>
    <row r="7" spans="2:44" ht="15.75" x14ac:dyDescent="0.25">
      <c r="B7" s="71" t="s">
        <v>1767</v>
      </c>
      <c r="D7" s="51" t="s">
        <v>452</v>
      </c>
      <c r="F7" s="225" t="s">
        <v>47</v>
      </c>
      <c r="G7" s="226">
        <v>7</v>
      </c>
      <c r="J7" s="232" t="s">
        <v>0</v>
      </c>
      <c r="K7" s="233" t="s">
        <v>8</v>
      </c>
      <c r="P7" s="223"/>
      <c r="R7" s="235" t="s">
        <v>479</v>
      </c>
      <c r="W7" s="51" t="s">
        <v>930</v>
      </c>
      <c r="AE7" s="51" t="s">
        <v>1229</v>
      </c>
      <c r="AF7" s="51">
        <v>1</v>
      </c>
      <c r="AG7" s="51" t="str">
        <f>CONCATENATE($AC$6,", ",AE5)</f>
        <v>алюминий, двойной раздельный</v>
      </c>
      <c r="AK7" s="51" t="s">
        <v>803</v>
      </c>
      <c r="AN7" s="237" t="s">
        <v>973</v>
      </c>
    </row>
    <row r="8" spans="2:44" ht="15.75" x14ac:dyDescent="0.25">
      <c r="B8" s="51" t="s">
        <v>1768</v>
      </c>
      <c r="D8" s="51" t="s">
        <v>453</v>
      </c>
      <c r="F8" s="230" t="s">
        <v>50</v>
      </c>
      <c r="G8" s="231">
        <v>8</v>
      </c>
      <c r="J8" s="232" t="s">
        <v>0</v>
      </c>
      <c r="K8" s="233" t="s">
        <v>4</v>
      </c>
      <c r="P8" s="235"/>
      <c r="R8" s="234" t="s">
        <v>480</v>
      </c>
      <c r="W8" s="240" t="s">
        <v>920</v>
      </c>
      <c r="AG8" s="51" t="str">
        <f>CONCATENATE($AC$6,", ",AE6)</f>
        <v>алюминий, спаренный</v>
      </c>
      <c r="AK8" s="229" t="s">
        <v>804</v>
      </c>
      <c r="AN8" s="237" t="s">
        <v>974</v>
      </c>
    </row>
    <row r="9" spans="2:44" ht="15.75" x14ac:dyDescent="0.25">
      <c r="B9" s="71" t="s">
        <v>1431</v>
      </c>
      <c r="D9" s="51" t="s">
        <v>454</v>
      </c>
      <c r="F9" s="225" t="s">
        <v>409</v>
      </c>
      <c r="G9" s="226">
        <v>9</v>
      </c>
      <c r="J9" s="232" t="s">
        <v>0</v>
      </c>
      <c r="K9" s="233" t="s">
        <v>5</v>
      </c>
      <c r="R9" s="235" t="s">
        <v>481</v>
      </c>
      <c r="W9" s="240" t="s">
        <v>923</v>
      </c>
      <c r="AG9" s="51" t="str">
        <f>CONCATENATE($AC$6,", ",AE7)</f>
        <v>алюминий, одинарный</v>
      </c>
    </row>
    <row r="10" spans="2:44" ht="15.75" x14ac:dyDescent="0.25">
      <c r="B10" s="71" t="s">
        <v>1377</v>
      </c>
      <c r="D10" s="51" t="s">
        <v>455</v>
      </c>
      <c r="F10" s="230" t="s">
        <v>293</v>
      </c>
      <c r="G10" s="231">
        <v>10</v>
      </c>
      <c r="J10" s="232" t="s">
        <v>0</v>
      </c>
      <c r="K10" s="233" t="s">
        <v>6</v>
      </c>
      <c r="AI10" s="224" t="s">
        <v>1713</v>
      </c>
      <c r="AK10" s="224" t="s">
        <v>799</v>
      </c>
      <c r="AN10" s="51" t="s">
        <v>1276</v>
      </c>
    </row>
    <row r="11" spans="2:44" ht="15.75" x14ac:dyDescent="0.25">
      <c r="B11" s="71" t="s">
        <v>1378</v>
      </c>
      <c r="D11" s="51" t="s">
        <v>456</v>
      </c>
      <c r="F11" s="225" t="s">
        <v>419</v>
      </c>
      <c r="G11" s="226">
        <v>11</v>
      </c>
      <c r="J11" s="232" t="s">
        <v>0</v>
      </c>
      <c r="K11" s="233" t="s">
        <v>7</v>
      </c>
      <c r="R11" s="223"/>
      <c r="AI11" s="75">
        <f ca="1">AI12-1</f>
        <v>2017</v>
      </c>
      <c r="AK11" s="229" t="s">
        <v>2415</v>
      </c>
      <c r="AN11" s="229" t="s">
        <v>461</v>
      </c>
    </row>
    <row r="12" spans="2:44" ht="15.75" x14ac:dyDescent="0.25">
      <c r="B12" s="241" t="s">
        <v>1379</v>
      </c>
      <c r="F12" s="230" t="s">
        <v>422</v>
      </c>
      <c r="G12" s="231">
        <v>12</v>
      </c>
      <c r="J12" s="232" t="s">
        <v>13</v>
      </c>
      <c r="K12" s="233" t="s">
        <v>633</v>
      </c>
      <c r="R12" s="228"/>
      <c r="AI12" s="75">
        <f ca="1">AI13-1</f>
        <v>2018</v>
      </c>
      <c r="AK12" s="51" t="str">
        <f>LOWER(TEXT(DATEVALUE("01.01.2000"),"ММММ"))</f>
        <v>январь</v>
      </c>
      <c r="AL12" s="51">
        <v>1</v>
      </c>
      <c r="AM12" s="51">
        <v>31</v>
      </c>
      <c r="AN12" s="237" t="s">
        <v>1781</v>
      </c>
    </row>
    <row r="13" spans="2:44" ht="15.75" x14ac:dyDescent="0.25">
      <c r="B13" s="71" t="s">
        <v>1380</v>
      </c>
      <c r="F13" s="225" t="s">
        <v>95</v>
      </c>
      <c r="G13" s="226">
        <v>13</v>
      </c>
      <c r="J13" s="232" t="s">
        <v>13</v>
      </c>
      <c r="K13" s="233" t="s">
        <v>14</v>
      </c>
      <c r="R13" s="235"/>
      <c r="AI13" s="75">
        <f ca="1">YEAR(TODAY())</f>
        <v>2019</v>
      </c>
      <c r="AK13" s="51" t="str">
        <f>LOWER(TEXT(DATEVALUE("01.02.2000"),"ММММ"))</f>
        <v>февраль</v>
      </c>
      <c r="AL13" s="51">
        <v>2</v>
      </c>
      <c r="AM13" s="51">
        <v>28</v>
      </c>
      <c r="AN13" s="237" t="s">
        <v>972</v>
      </c>
    </row>
    <row r="14" spans="2:44" ht="15.75" x14ac:dyDescent="0.25">
      <c r="B14" s="71" t="s">
        <v>445</v>
      </c>
      <c r="F14" s="230" t="s">
        <v>255</v>
      </c>
      <c r="G14" s="231">
        <v>14</v>
      </c>
      <c r="J14" s="232" t="s">
        <v>13</v>
      </c>
      <c r="K14" s="233" t="s">
        <v>15</v>
      </c>
      <c r="R14" s="235"/>
      <c r="AK14" s="51" t="str">
        <f>LOWER(TEXT(DATEVALUE("01.03.2000"),"ММММ"))</f>
        <v>март</v>
      </c>
      <c r="AL14" s="51">
        <v>3</v>
      </c>
      <c r="AM14" s="51">
        <v>31</v>
      </c>
      <c r="AN14" s="237" t="s">
        <v>973</v>
      </c>
    </row>
    <row r="15" spans="2:44" ht="15.75" x14ac:dyDescent="0.25">
      <c r="B15" s="71" t="s">
        <v>1548</v>
      </c>
      <c r="F15" s="225" t="s">
        <v>91</v>
      </c>
      <c r="G15" s="226">
        <v>15</v>
      </c>
      <c r="J15" s="232" t="s">
        <v>13</v>
      </c>
      <c r="K15" s="233" t="s">
        <v>16</v>
      </c>
      <c r="M15" s="224" t="s">
        <v>613</v>
      </c>
      <c r="O15" s="224" t="s">
        <v>1230</v>
      </c>
      <c r="R15" s="234"/>
      <c r="AK15" s="51" t="str">
        <f>LOWER(TEXT(DATEVALUE("01.04.2000"),"ММММ"))</f>
        <v>апрель</v>
      </c>
      <c r="AL15" s="51">
        <v>4</v>
      </c>
      <c r="AM15" s="51">
        <v>30</v>
      </c>
      <c r="AN15" s="237"/>
    </row>
    <row r="16" spans="2:44" ht="15.75" x14ac:dyDescent="0.25">
      <c r="B16" s="51" t="s">
        <v>1549</v>
      </c>
      <c r="F16" s="230" t="s">
        <v>71</v>
      </c>
      <c r="G16" s="231">
        <v>16</v>
      </c>
      <c r="J16" s="232" t="s">
        <v>13</v>
      </c>
      <c r="K16" s="233" t="s">
        <v>17</v>
      </c>
      <c r="M16" s="229" t="s">
        <v>1252</v>
      </c>
      <c r="O16" s="229" t="s">
        <v>1251</v>
      </c>
      <c r="R16" s="235"/>
      <c r="AK16" s="51" t="str">
        <f>LOWER(TEXT(DATEVALUE("01.05.2000"),"ММММ"))</f>
        <v>май</v>
      </c>
      <c r="AL16" s="51">
        <v>5</v>
      </c>
      <c r="AM16" s="51">
        <v>31</v>
      </c>
    </row>
    <row r="17" spans="2:40" ht="15.75" x14ac:dyDescent="0.25">
      <c r="B17" s="71" t="s">
        <v>1381</v>
      </c>
      <c r="F17" s="225" t="s">
        <v>614</v>
      </c>
      <c r="G17" s="226">
        <v>17</v>
      </c>
      <c r="J17" s="232" t="s">
        <v>13</v>
      </c>
      <c r="K17" s="233" t="s">
        <v>18</v>
      </c>
      <c r="M17" s="51" t="s">
        <v>1231</v>
      </c>
      <c r="O17" s="71">
        <v>5</v>
      </c>
      <c r="R17" s="234"/>
      <c r="AK17" s="51" t="str">
        <f>LOWER(TEXT(DATEVALUE("01.06.2000"),"ММММ"))</f>
        <v>июнь</v>
      </c>
      <c r="AL17" s="51">
        <v>6</v>
      </c>
      <c r="AM17" s="51">
        <v>30</v>
      </c>
      <c r="AN17" s="229" t="s">
        <v>461</v>
      </c>
    </row>
    <row r="18" spans="2:40" ht="15.75" x14ac:dyDescent="0.25">
      <c r="B18" s="71" t="s">
        <v>1382</v>
      </c>
      <c r="F18" s="230" t="s">
        <v>100</v>
      </c>
      <c r="G18" s="231">
        <v>18</v>
      </c>
      <c r="J18" s="232" t="s">
        <v>13</v>
      </c>
      <c r="K18" s="242" t="s">
        <v>23</v>
      </c>
      <c r="M18" s="51" t="s">
        <v>1232</v>
      </c>
      <c r="O18" s="71">
        <v>10</v>
      </c>
      <c r="R18" s="235"/>
      <c r="AK18" s="51" t="str">
        <f>LOWER(TEXT(DATEVALUE("01.07.2000"),"ММММ"))</f>
        <v>июль</v>
      </c>
      <c r="AL18" s="51">
        <v>7</v>
      </c>
      <c r="AM18" s="51">
        <v>31</v>
      </c>
      <c r="AN18" s="51" t="s">
        <v>2456</v>
      </c>
    </row>
    <row r="19" spans="2:40" ht="15.75" x14ac:dyDescent="0.25">
      <c r="B19" s="71" t="s">
        <v>1383</v>
      </c>
      <c r="F19" s="225" t="s">
        <v>102</v>
      </c>
      <c r="G19" s="226">
        <v>19</v>
      </c>
      <c r="J19" s="232" t="s">
        <v>13</v>
      </c>
      <c r="K19" s="233" t="s">
        <v>20</v>
      </c>
      <c r="M19" s="51" t="s">
        <v>1233</v>
      </c>
      <c r="O19" s="71">
        <v>15</v>
      </c>
      <c r="AK19" s="51" t="str">
        <f>LOWER(TEXT(DATEVALUE("01.08.2000"),"ММММ"))</f>
        <v>август</v>
      </c>
      <c r="AL19" s="51">
        <v>8</v>
      </c>
      <c r="AM19" s="51">
        <v>31</v>
      </c>
      <c r="AN19" s="237" t="s">
        <v>973</v>
      </c>
    </row>
    <row r="20" spans="2:40" ht="15.75" x14ac:dyDescent="0.25">
      <c r="B20" s="243" t="s">
        <v>1384</v>
      </c>
      <c r="F20" s="230" t="s">
        <v>615</v>
      </c>
      <c r="G20" s="231">
        <v>20</v>
      </c>
      <c r="J20" s="232" t="s">
        <v>13</v>
      </c>
      <c r="K20" s="233" t="s">
        <v>22</v>
      </c>
      <c r="M20" s="51" t="s">
        <v>1780</v>
      </c>
      <c r="O20" s="71">
        <v>20</v>
      </c>
      <c r="R20" s="223"/>
      <c r="AK20" s="51" t="str">
        <f>LOWER(TEXT(DATEVALUE("01.09.2000"),"ММММ"))</f>
        <v>сентябрь</v>
      </c>
      <c r="AL20" s="51">
        <v>9</v>
      </c>
      <c r="AM20" s="51">
        <v>30</v>
      </c>
      <c r="AN20" s="237"/>
    </row>
    <row r="21" spans="2:40" ht="15.75" x14ac:dyDescent="0.25">
      <c r="B21" s="244" t="s">
        <v>1430</v>
      </c>
      <c r="F21" s="225" t="s">
        <v>616</v>
      </c>
      <c r="G21" s="226">
        <v>21</v>
      </c>
      <c r="J21" s="232" t="s">
        <v>13</v>
      </c>
      <c r="K21" s="233" t="s">
        <v>34</v>
      </c>
      <c r="O21" s="71">
        <v>25</v>
      </c>
      <c r="R21" s="228"/>
      <c r="AK21" s="51" t="str">
        <f>LOWER(TEXT(DATEVALUE("01.10.2000"),"ММММ"))</f>
        <v>октябрь</v>
      </c>
      <c r="AL21" s="51">
        <v>10</v>
      </c>
      <c r="AM21" s="51">
        <v>31</v>
      </c>
      <c r="AN21" s="229" t="s">
        <v>2415</v>
      </c>
    </row>
    <row r="22" spans="2:40" ht="36" customHeight="1" x14ac:dyDescent="0.25">
      <c r="B22" s="243" t="s">
        <v>609</v>
      </c>
      <c r="F22" s="230" t="s">
        <v>113</v>
      </c>
      <c r="G22" s="231">
        <v>22</v>
      </c>
      <c r="J22" s="232" t="s">
        <v>13</v>
      </c>
      <c r="K22" s="233" t="s">
        <v>35</v>
      </c>
      <c r="M22" s="224" t="s">
        <v>1234</v>
      </c>
      <c r="O22" s="71">
        <v>30</v>
      </c>
      <c r="R22" s="234"/>
      <c r="AK22" s="51" t="str">
        <f>LOWER(TEXT(DATEVALUE("01.11.2000"),"ММММ"))</f>
        <v>ноябрь</v>
      </c>
      <c r="AL22" s="51">
        <v>11</v>
      </c>
      <c r="AM22" s="51">
        <v>30</v>
      </c>
      <c r="AN22" s="51" t="s">
        <v>2457</v>
      </c>
    </row>
    <row r="23" spans="2:40" ht="24" x14ac:dyDescent="0.25">
      <c r="B23" s="243" t="s">
        <v>1353</v>
      </c>
      <c r="F23" s="225" t="s">
        <v>142</v>
      </c>
      <c r="G23" s="226">
        <v>23</v>
      </c>
      <c r="J23" s="232" t="s">
        <v>13</v>
      </c>
      <c r="K23" s="233" t="s">
        <v>634</v>
      </c>
      <c r="M23" s="229" t="s">
        <v>1235</v>
      </c>
      <c r="R23" s="235"/>
      <c r="AK23" s="51" t="str">
        <f>LOWER(TEXT(DATEVALUE("01.12.2000"),"ММММ"))</f>
        <v>декабрь</v>
      </c>
      <c r="AL23" s="51">
        <v>12</v>
      </c>
      <c r="AM23" s="51">
        <v>31</v>
      </c>
      <c r="AN23" s="51" t="s">
        <v>2456</v>
      </c>
    </row>
    <row r="24" spans="2:40" ht="15.75" x14ac:dyDescent="0.25">
      <c r="B24" s="245"/>
      <c r="F24" s="230" t="s">
        <v>155</v>
      </c>
      <c r="G24" s="231">
        <v>24</v>
      </c>
      <c r="J24" s="232" t="s">
        <v>13</v>
      </c>
      <c r="K24" s="233" t="s">
        <v>24</v>
      </c>
      <c r="M24" s="51" t="s">
        <v>1370</v>
      </c>
      <c r="AL24" s="1297">
        <f>EDATE(DATE('Ввод исходных данных'!E202,VLOOKUP('Ввод исходных данных'!D202,списки!AK11:AM23,2,0),1),1)-1</f>
        <v>43465</v>
      </c>
      <c r="AM24" s="1297"/>
      <c r="AN24" s="237" t="s">
        <v>973</v>
      </c>
    </row>
    <row r="25" spans="2:40" ht="15.75" x14ac:dyDescent="0.25">
      <c r="B25" s="245"/>
      <c r="F25" s="225" t="s">
        <v>159</v>
      </c>
      <c r="G25" s="226">
        <v>25</v>
      </c>
      <c r="J25" s="232" t="s">
        <v>13</v>
      </c>
      <c r="K25" s="233" t="s">
        <v>25</v>
      </c>
      <c r="R25" s="246"/>
      <c r="AN25" s="196"/>
    </row>
    <row r="26" spans="2:40" s="196" customFormat="1" ht="15.75" x14ac:dyDescent="0.25">
      <c r="B26" s="245"/>
      <c r="C26" s="51"/>
      <c r="D26" s="51"/>
      <c r="F26" s="230" t="s">
        <v>165</v>
      </c>
      <c r="G26" s="231">
        <v>26</v>
      </c>
      <c r="J26" s="232" t="s">
        <v>13</v>
      </c>
      <c r="K26" s="233" t="s">
        <v>29</v>
      </c>
      <c r="M26" s="51"/>
      <c r="N26" s="51"/>
      <c r="O26" s="51"/>
      <c r="P26" s="51"/>
      <c r="Q26" s="51"/>
      <c r="R26" s="51"/>
      <c r="S26" s="51"/>
      <c r="T26" s="51"/>
      <c r="AK26" s="51"/>
      <c r="AN26" s="51"/>
    </row>
    <row r="27" spans="2:40" ht="15.75" x14ac:dyDescent="0.25">
      <c r="B27" s="245"/>
      <c r="F27" s="247" t="s">
        <v>182</v>
      </c>
      <c r="G27" s="226">
        <v>27</v>
      </c>
      <c r="J27" s="232" t="s">
        <v>13</v>
      </c>
      <c r="K27" s="233" t="s">
        <v>27</v>
      </c>
      <c r="M27" s="224" t="s">
        <v>1238</v>
      </c>
      <c r="R27" s="223"/>
    </row>
    <row r="28" spans="2:40" ht="15.75" x14ac:dyDescent="0.25">
      <c r="B28" s="245"/>
      <c r="F28" s="230" t="s">
        <v>49</v>
      </c>
      <c r="G28" s="231">
        <v>28</v>
      </c>
      <c r="J28" s="232" t="s">
        <v>13</v>
      </c>
      <c r="K28" s="233" t="s">
        <v>28</v>
      </c>
      <c r="M28" s="229" t="s">
        <v>1252</v>
      </c>
      <c r="R28" s="228"/>
    </row>
    <row r="29" spans="2:40" ht="15.75" customHeight="1" x14ac:dyDescent="0.25">
      <c r="F29" s="225" t="s">
        <v>185</v>
      </c>
      <c r="G29" s="226">
        <v>29</v>
      </c>
      <c r="J29" s="232" t="s">
        <v>13</v>
      </c>
      <c r="K29" s="233" t="s">
        <v>30</v>
      </c>
      <c r="M29" s="51" t="s">
        <v>1236</v>
      </c>
      <c r="R29" s="235"/>
    </row>
    <row r="30" spans="2:40" ht="24" x14ac:dyDescent="0.25">
      <c r="B30" s="1341" t="s">
        <v>1458</v>
      </c>
      <c r="C30" s="1341"/>
      <c r="D30" s="1341"/>
      <c r="F30" s="230" t="s">
        <v>188</v>
      </c>
      <c r="G30" s="231">
        <v>30</v>
      </c>
      <c r="J30" s="232" t="s">
        <v>13</v>
      </c>
      <c r="K30" s="233" t="s">
        <v>31</v>
      </c>
      <c r="M30" s="51" t="s">
        <v>1237</v>
      </c>
      <c r="R30" s="235"/>
    </row>
    <row r="31" spans="2:40" ht="15.75" x14ac:dyDescent="0.25">
      <c r="B31" s="71" t="s">
        <v>519</v>
      </c>
      <c r="C31" s="214" t="b">
        <v>0</v>
      </c>
      <c r="D31" s="71">
        <f t="shared" ref="D31:D48" si="0">IF(C31=TRUE,1,0)</f>
        <v>0</v>
      </c>
      <c r="F31" s="225" t="s">
        <v>190</v>
      </c>
      <c r="G31" s="226">
        <v>31</v>
      </c>
      <c r="J31" s="232" t="s">
        <v>13</v>
      </c>
      <c r="K31" s="233" t="s">
        <v>32</v>
      </c>
      <c r="N31" s="77" t="s">
        <v>858</v>
      </c>
      <c r="R31" s="234"/>
    </row>
    <row r="32" spans="2:40" ht="15.75" x14ac:dyDescent="0.25">
      <c r="B32" s="71" t="s">
        <v>521</v>
      </c>
      <c r="C32" s="214" t="b">
        <v>0</v>
      </c>
      <c r="D32" s="71">
        <f t="shared" si="0"/>
        <v>0</v>
      </c>
      <c r="F32" s="230" t="s">
        <v>617</v>
      </c>
      <c r="G32" s="231">
        <v>32</v>
      </c>
      <c r="J32" s="232" t="s">
        <v>13</v>
      </c>
      <c r="K32" s="233" t="s">
        <v>33</v>
      </c>
      <c r="N32" s="229" t="s">
        <v>1254</v>
      </c>
      <c r="R32" s="235"/>
    </row>
    <row r="33" spans="1:25" ht="15.75" x14ac:dyDescent="0.25">
      <c r="B33" s="71" t="s">
        <v>518</v>
      </c>
      <c r="C33" s="214" t="b">
        <v>0</v>
      </c>
      <c r="D33" s="71">
        <f t="shared" si="0"/>
        <v>0</v>
      </c>
      <c r="F33" s="225" t="s">
        <v>52</v>
      </c>
      <c r="G33" s="226">
        <v>33</v>
      </c>
      <c r="J33" s="232" t="s">
        <v>13</v>
      </c>
      <c r="K33" s="233" t="s">
        <v>19</v>
      </c>
      <c r="N33" s="51" t="s">
        <v>1241</v>
      </c>
      <c r="R33" s="234"/>
    </row>
    <row r="34" spans="1:25" ht="15.75" x14ac:dyDescent="0.25">
      <c r="B34" s="71" t="s">
        <v>520</v>
      </c>
      <c r="C34" s="214" t="b">
        <v>0</v>
      </c>
      <c r="D34" s="71">
        <f t="shared" si="0"/>
        <v>0</v>
      </c>
      <c r="F34" s="230" t="s">
        <v>202</v>
      </c>
      <c r="G34" s="231">
        <v>34</v>
      </c>
      <c r="J34" s="232" t="s">
        <v>13</v>
      </c>
      <c r="K34" s="233" t="s">
        <v>26</v>
      </c>
      <c r="N34" s="51" t="s">
        <v>1242</v>
      </c>
    </row>
    <row r="35" spans="1:25" ht="15.75" x14ac:dyDescent="0.25">
      <c r="B35" s="74" t="s">
        <v>1346</v>
      </c>
      <c r="C35" s="248" t="b">
        <v>0</v>
      </c>
      <c r="D35" s="74">
        <f t="shared" si="0"/>
        <v>0</v>
      </c>
      <c r="F35" s="225" t="s">
        <v>618</v>
      </c>
      <c r="G35" s="226">
        <v>35</v>
      </c>
      <c r="J35" s="232" t="s">
        <v>13</v>
      </c>
      <c r="K35" s="233" t="s">
        <v>21</v>
      </c>
      <c r="N35" s="51" t="s">
        <v>1243</v>
      </c>
      <c r="R35" s="223"/>
    </row>
    <row r="36" spans="1:25" ht="15.75" x14ac:dyDescent="0.25">
      <c r="B36" s="74" t="s">
        <v>1347</v>
      </c>
      <c r="C36" s="248" t="b">
        <v>0</v>
      </c>
      <c r="D36" s="74">
        <f t="shared" si="0"/>
        <v>0</v>
      </c>
      <c r="F36" s="230" t="s">
        <v>67</v>
      </c>
      <c r="G36" s="231">
        <v>36</v>
      </c>
      <c r="J36" s="232" t="s">
        <v>36</v>
      </c>
      <c r="K36" s="233" t="s">
        <v>37</v>
      </c>
      <c r="N36" s="51" t="s">
        <v>1247</v>
      </c>
      <c r="R36" s="228"/>
    </row>
    <row r="37" spans="1:25" ht="15.75" x14ac:dyDescent="0.25">
      <c r="B37" s="74" t="s">
        <v>1348</v>
      </c>
      <c r="C37" s="248" t="b">
        <v>1</v>
      </c>
      <c r="D37" s="74">
        <f t="shared" si="0"/>
        <v>1</v>
      </c>
      <c r="F37" s="225" t="s">
        <v>226</v>
      </c>
      <c r="G37" s="226">
        <v>37</v>
      </c>
      <c r="J37" s="232" t="s">
        <v>36</v>
      </c>
      <c r="K37" s="233" t="s">
        <v>38</v>
      </c>
      <c r="N37" s="51" t="s">
        <v>1248</v>
      </c>
      <c r="R37" s="235"/>
    </row>
    <row r="38" spans="1:25" ht="15.75" x14ac:dyDescent="0.25">
      <c r="A38" s="186">
        <v>1</v>
      </c>
      <c r="B38" s="74" t="s">
        <v>1349</v>
      </c>
      <c r="C38" s="248" t="b">
        <f>A38=2</f>
        <v>0</v>
      </c>
      <c r="D38" s="74">
        <f t="shared" si="0"/>
        <v>0</v>
      </c>
      <c r="F38" s="230" t="s">
        <v>229</v>
      </c>
      <c r="G38" s="231">
        <v>38</v>
      </c>
      <c r="J38" s="232" t="s">
        <v>36</v>
      </c>
      <c r="K38" s="233" t="s">
        <v>39</v>
      </c>
      <c r="N38" s="51" t="s">
        <v>1244</v>
      </c>
      <c r="R38" s="235"/>
    </row>
    <row r="39" spans="1:25" ht="15.75" x14ac:dyDescent="0.25">
      <c r="B39" s="74" t="s">
        <v>1350</v>
      </c>
      <c r="C39" s="248" t="b">
        <f>A38=3</f>
        <v>0</v>
      </c>
      <c r="D39" s="74">
        <f t="shared" si="0"/>
        <v>0</v>
      </c>
      <c r="F39" s="225" t="s">
        <v>238</v>
      </c>
      <c r="G39" s="226">
        <v>39</v>
      </c>
      <c r="J39" s="232" t="s">
        <v>36</v>
      </c>
      <c r="K39" s="233" t="s">
        <v>41</v>
      </c>
      <c r="N39" s="51" t="s">
        <v>1245</v>
      </c>
      <c r="R39" s="234"/>
    </row>
    <row r="40" spans="1:25" ht="15.75" x14ac:dyDescent="0.25">
      <c r="B40" s="74" t="s">
        <v>1436</v>
      </c>
      <c r="C40" s="248" t="b">
        <v>0</v>
      </c>
      <c r="D40" s="74">
        <f>IF(C40=TRUE,1,0)</f>
        <v>0</v>
      </c>
      <c r="F40" s="230" t="s">
        <v>242</v>
      </c>
      <c r="G40" s="231">
        <v>40</v>
      </c>
      <c r="J40" s="232" t="s">
        <v>36</v>
      </c>
      <c r="K40" s="233" t="s">
        <v>40</v>
      </c>
      <c r="N40" s="51" t="s">
        <v>1246</v>
      </c>
      <c r="R40" s="235"/>
    </row>
    <row r="41" spans="1:25" ht="15.75" x14ac:dyDescent="0.25">
      <c r="B41" s="74" t="s">
        <v>1450</v>
      </c>
      <c r="C41" s="248" t="b">
        <v>0</v>
      </c>
      <c r="D41" s="74">
        <f t="shared" si="0"/>
        <v>0</v>
      </c>
      <c r="F41" s="225" t="s">
        <v>246</v>
      </c>
      <c r="G41" s="226">
        <v>41</v>
      </c>
      <c r="J41" s="232" t="s">
        <v>36</v>
      </c>
      <c r="K41" s="233" t="s">
        <v>42</v>
      </c>
      <c r="R41" s="234"/>
    </row>
    <row r="42" spans="1:25" ht="15.75" x14ac:dyDescent="0.25">
      <c r="B42" s="74" t="s">
        <v>2030</v>
      </c>
      <c r="C42" s="248" t="b">
        <v>0</v>
      </c>
      <c r="D42" s="74">
        <f>IF('Ввод исходных данных'!D26&lt;'Ввод исходных данных'!D23,1,0)</f>
        <v>0</v>
      </c>
      <c r="F42" s="230" t="s">
        <v>248</v>
      </c>
      <c r="G42" s="231">
        <v>42</v>
      </c>
      <c r="J42" s="232" t="s">
        <v>36</v>
      </c>
      <c r="K42" s="233" t="s">
        <v>43</v>
      </c>
    </row>
    <row r="43" spans="1:25" ht="15.75" x14ac:dyDescent="0.25">
      <c r="B43" s="74" t="s">
        <v>1451</v>
      </c>
      <c r="C43" s="248" t="b">
        <v>0</v>
      </c>
      <c r="D43" s="74">
        <f t="shared" si="0"/>
        <v>0</v>
      </c>
      <c r="F43" s="225" t="s">
        <v>619</v>
      </c>
      <c r="G43" s="226">
        <v>43</v>
      </c>
      <c r="J43" s="250" t="s">
        <v>44</v>
      </c>
      <c r="K43" s="242" t="s">
        <v>45</v>
      </c>
      <c r="N43" s="51" t="s">
        <v>796</v>
      </c>
      <c r="R43" s="223"/>
    </row>
    <row r="44" spans="1:25" ht="15.75" x14ac:dyDescent="0.25">
      <c r="B44" s="249" t="s">
        <v>1461</v>
      </c>
      <c r="C44" s="186" t="b">
        <v>0</v>
      </c>
      <c r="D44" s="74">
        <f t="shared" si="0"/>
        <v>0</v>
      </c>
      <c r="F44" s="230" t="s">
        <v>254</v>
      </c>
      <c r="G44" s="231">
        <v>44</v>
      </c>
      <c r="J44" s="250" t="s">
        <v>44</v>
      </c>
      <c r="K44" s="233" t="s">
        <v>46</v>
      </c>
      <c r="N44" s="229" t="s">
        <v>1253</v>
      </c>
      <c r="R44" s="228"/>
    </row>
    <row r="45" spans="1:25" ht="15.75" x14ac:dyDescent="0.25">
      <c r="B45" s="249" t="s">
        <v>1462</v>
      </c>
      <c r="C45" s="186" t="b">
        <v>0</v>
      </c>
      <c r="D45" s="251">
        <f t="shared" si="0"/>
        <v>0</v>
      </c>
      <c r="F45" s="225" t="s">
        <v>265</v>
      </c>
      <c r="G45" s="226">
        <v>45</v>
      </c>
      <c r="J45" s="250" t="s">
        <v>47</v>
      </c>
      <c r="K45" s="233" t="s">
        <v>48</v>
      </c>
      <c r="N45" s="252" t="s">
        <v>1249</v>
      </c>
      <c r="R45" s="234"/>
    </row>
    <row r="46" spans="1:25" ht="15.75" x14ac:dyDescent="0.25">
      <c r="B46" s="71" t="s">
        <v>1469</v>
      </c>
      <c r="C46" s="214" t="b">
        <v>0</v>
      </c>
      <c r="D46" s="251">
        <f t="shared" si="0"/>
        <v>0</v>
      </c>
      <c r="F46" s="230" t="s">
        <v>267</v>
      </c>
      <c r="G46" s="231">
        <v>46</v>
      </c>
      <c r="J46" s="250" t="s">
        <v>50</v>
      </c>
      <c r="K46" s="233" t="s">
        <v>51</v>
      </c>
      <c r="N46" s="252" t="s">
        <v>1250</v>
      </c>
    </row>
    <row r="47" spans="1:25" ht="15.75" x14ac:dyDescent="0.25">
      <c r="B47" s="137" t="s">
        <v>1356</v>
      </c>
      <c r="C47" s="253">
        <f>IF('Ввод исходных данных'!E17=CONCATENATE('Ввод исходных данных'!D14,'Ввод исходных данных'!D19,'Ввод исходных данных'!D17),0,1)</f>
        <v>1</v>
      </c>
      <c r="D47" s="71"/>
      <c r="F47" s="225" t="s">
        <v>620</v>
      </c>
      <c r="G47" s="226">
        <v>47</v>
      </c>
      <c r="J47" s="250" t="s">
        <v>409</v>
      </c>
      <c r="K47" s="233" t="s">
        <v>411</v>
      </c>
    </row>
    <row r="48" spans="1:25" ht="15.75" x14ac:dyDescent="0.25">
      <c r="B48" s="71" t="s">
        <v>1518</v>
      </c>
      <c r="C48" s="214" t="b">
        <v>0</v>
      </c>
      <c r="D48" s="251">
        <f t="shared" si="0"/>
        <v>0</v>
      </c>
      <c r="F48" s="230" t="s">
        <v>269</v>
      </c>
      <c r="G48" s="231">
        <v>48</v>
      </c>
      <c r="J48" s="250" t="s">
        <v>409</v>
      </c>
      <c r="K48" s="233" t="s">
        <v>410</v>
      </c>
      <c r="Y48" s="229" t="s">
        <v>461</v>
      </c>
    </row>
    <row r="49" spans="2:25" ht="15.75" x14ac:dyDescent="0.25">
      <c r="B49" s="71" t="s">
        <v>1464</v>
      </c>
      <c r="C49" s="137">
        <f ca="1">IF(OR('Ввод исходных данных'!E323&lt;&gt;"Ошибок нет",AND(D42=1),AND('Список мероприятий'!$AB$34=0,'Система отопления'!F5=0,'Система отопления'!F6=0)),1,0)</f>
        <v>1</v>
      </c>
      <c r="D49" s="71" t="s">
        <v>1568</v>
      </c>
      <c r="F49" s="225" t="s">
        <v>275</v>
      </c>
      <c r="G49" s="226">
        <v>49</v>
      </c>
      <c r="J49" s="250" t="s">
        <v>293</v>
      </c>
      <c r="K49" s="233" t="s">
        <v>417</v>
      </c>
      <c r="N49" s="77"/>
      <c r="Y49" s="51" t="s">
        <v>1743</v>
      </c>
    </row>
    <row r="50" spans="2:25" ht="15.75" x14ac:dyDescent="0.25">
      <c r="B50" s="71" t="s">
        <v>1465</v>
      </c>
      <c r="C50" s="137">
        <f>IF(OR(SUM('Список мероприятий'!Z6:Z81)&gt;0),1,0)</f>
        <v>0</v>
      </c>
      <c r="D50" s="71" t="s">
        <v>1747</v>
      </c>
      <c r="F50" s="230" t="s">
        <v>2</v>
      </c>
      <c r="G50" s="231">
        <v>50</v>
      </c>
      <c r="J50" s="250" t="s">
        <v>293</v>
      </c>
      <c r="K50" s="233" t="s">
        <v>413</v>
      </c>
      <c r="N50" s="229"/>
      <c r="Y50" s="51" t="s">
        <v>1744</v>
      </c>
    </row>
    <row r="51" spans="2:25" ht="15.75" x14ac:dyDescent="0.25">
      <c r="B51" s="71" t="s">
        <v>1466</v>
      </c>
      <c r="C51" s="137">
        <f ca="1">IF(OR(C49&gt;0,C50&gt;0,C52&gt;0),1,0)</f>
        <v>1</v>
      </c>
      <c r="D51" s="71"/>
      <c r="F51" s="225" t="s">
        <v>68</v>
      </c>
      <c r="G51" s="226">
        <v>51</v>
      </c>
      <c r="J51" s="250" t="s">
        <v>293</v>
      </c>
      <c r="K51" s="242" t="s">
        <v>414</v>
      </c>
      <c r="Y51" s="51" t="s">
        <v>1745</v>
      </c>
    </row>
    <row r="52" spans="2:25" ht="15.75" x14ac:dyDescent="0.25">
      <c r="B52" s="249" t="s">
        <v>1566</v>
      </c>
      <c r="C52" s="51">
        <f>IF(OR(AND('Список мероприятий'!$AB$34=0,'Система отопления'!F5=0,'Система отопления'!F6=0),'Список мероприятий'!AD6&gt;0),1,0)</f>
        <v>0</v>
      </c>
      <c r="D52" s="51" t="s">
        <v>1567</v>
      </c>
      <c r="F52" s="230" t="s">
        <v>98</v>
      </c>
      <c r="G52" s="231">
        <v>52</v>
      </c>
      <c r="J52" s="250" t="s">
        <v>293</v>
      </c>
      <c r="K52" s="233" t="s">
        <v>415</v>
      </c>
    </row>
    <row r="53" spans="2:25" ht="15.75" x14ac:dyDescent="0.25">
      <c r="B53" s="51" t="s">
        <v>1746</v>
      </c>
      <c r="C53" s="51">
        <f ca="1">IF(AND(C49=0,C52=0),1,0)</f>
        <v>0</v>
      </c>
      <c r="F53" s="225" t="s">
        <v>458</v>
      </c>
      <c r="G53" s="226">
        <v>53</v>
      </c>
      <c r="J53" s="250" t="s">
        <v>293</v>
      </c>
      <c r="K53" s="233" t="s">
        <v>416</v>
      </c>
    </row>
    <row r="54" spans="2:25" ht="17.25" x14ac:dyDescent="0.25">
      <c r="F54" s="230" t="s">
        <v>329</v>
      </c>
      <c r="G54" s="231">
        <v>54</v>
      </c>
      <c r="J54" s="250" t="s">
        <v>293</v>
      </c>
      <c r="K54" s="242" t="s">
        <v>412</v>
      </c>
      <c r="Y54" s="51" t="s">
        <v>1945</v>
      </c>
    </row>
    <row r="55" spans="2:25" ht="17.25" x14ac:dyDescent="0.25">
      <c r="F55" s="225" t="s">
        <v>145</v>
      </c>
      <c r="G55" s="226">
        <v>55</v>
      </c>
      <c r="J55" s="250" t="s">
        <v>419</v>
      </c>
      <c r="K55" s="233" t="s">
        <v>418</v>
      </c>
      <c r="Y55" s="51" t="s">
        <v>1946</v>
      </c>
    </row>
    <row r="56" spans="2:25" ht="15.75" x14ac:dyDescent="0.25">
      <c r="B56" s="51" t="s">
        <v>2417</v>
      </c>
      <c r="C56" s="1571">
        <f>IF('Ввод исходных данных'!D94="",20,'Ввод исходных данных'!D94)</f>
        <v>20</v>
      </c>
      <c r="D56" s="51" t="s">
        <v>2418</v>
      </c>
      <c r="F56" s="230" t="s">
        <v>197</v>
      </c>
      <c r="G56" s="231">
        <v>56</v>
      </c>
      <c r="J56" s="250" t="s">
        <v>419</v>
      </c>
      <c r="K56" s="233" t="s">
        <v>421</v>
      </c>
    </row>
    <row r="57" spans="2:25" ht="15.75" x14ac:dyDescent="0.25">
      <c r="B57" s="51" t="s">
        <v>2419</v>
      </c>
      <c r="C57" s="1571">
        <f>IF('Ввод исходных данных'!D95="",E57,'Ввод исходных данных'!D95)</f>
        <v>16</v>
      </c>
      <c r="D57" s="51" t="s">
        <v>2420</v>
      </c>
      <c r="E57" s="1211">
        <f>IF(NOT(AND(списки!$C$31,списки!$C$32)),
               16,
               IF('Ввод исходных данных'!D19&lt;=8,
                            14,
                            IF(AND('Ввод исходных данных'!D19&gt;=9,'Ввод исходных данных'!D19&lt;=12),
                                         15.5,
                                         IF(AND('Ввод исходных данных'!D19&gt;=13,'Ввод исходных данных'!D19&lt;=17),
                                                      17.5,
                                                      IF('Ввод исходных данных'!D19&gt;17,18,16)))))</f>
        <v>16</v>
      </c>
      <c r="F57" s="225" t="s">
        <v>288</v>
      </c>
      <c r="G57" s="226">
        <v>57</v>
      </c>
      <c r="J57" s="250" t="s">
        <v>419</v>
      </c>
      <c r="K57" s="233" t="s">
        <v>635</v>
      </c>
    </row>
    <row r="58" spans="2:25" ht="15.75" x14ac:dyDescent="0.25">
      <c r="B58" s="51" t="s">
        <v>2421</v>
      </c>
      <c r="C58" s="1571">
        <f>IF('Ввод исходных данных'!D96="",IF(списки!C34,10,2),'Ввод исходных данных'!D96)</f>
        <v>2</v>
      </c>
      <c r="D58" s="51" t="s">
        <v>2422</v>
      </c>
      <c r="F58" s="230" t="s">
        <v>336</v>
      </c>
      <c r="G58" s="231">
        <v>58</v>
      </c>
      <c r="J58" s="250" t="s">
        <v>419</v>
      </c>
      <c r="K58" s="233" t="s">
        <v>636</v>
      </c>
    </row>
    <row r="59" spans="2:25" ht="15.75" x14ac:dyDescent="0.25">
      <c r="B59" s="1579" t="str">
        <f>'Ввод исходных данных'!C118</f>
        <v>Температура горячей воды в местах водоразбора, ˚C</v>
      </c>
      <c r="C59" s="1262">
        <f>IF('Ввод исходных данных'!D118="",60,'Ввод исходных данных'!D118)</f>
        <v>60</v>
      </c>
      <c r="D59" s="51" t="s">
        <v>2423</v>
      </c>
      <c r="F59" s="225" t="s">
        <v>621</v>
      </c>
      <c r="G59" s="226">
        <v>59</v>
      </c>
      <c r="J59" s="250" t="s">
        <v>419</v>
      </c>
      <c r="K59" s="233" t="s">
        <v>420</v>
      </c>
    </row>
    <row r="60" spans="2:25" ht="15.75" x14ac:dyDescent="0.25">
      <c r="B60" s="51" t="s">
        <v>2424</v>
      </c>
      <c r="C60" s="1262">
        <f>IF('Ввод исходных данных'!D119="",5,'Ввод исходных данных'!D119)</f>
        <v>5</v>
      </c>
      <c r="D60" s="51" t="s">
        <v>2425</v>
      </c>
      <c r="F60" s="230" t="s">
        <v>381</v>
      </c>
      <c r="G60" s="231">
        <v>60</v>
      </c>
      <c r="J60" s="250" t="s">
        <v>422</v>
      </c>
      <c r="K60" s="242" t="s">
        <v>423</v>
      </c>
    </row>
    <row r="61" spans="2:25" ht="15.75" x14ac:dyDescent="0.25">
      <c r="B61" s="51" t="s">
        <v>2426</v>
      </c>
      <c r="C61" s="1262">
        <f>IF('Ввод исходных данных'!D120="",15,'Ввод исходных данных'!D120)</f>
        <v>15</v>
      </c>
      <c r="D61" s="51" t="s">
        <v>2427</v>
      </c>
      <c r="F61" s="225" t="s">
        <v>622</v>
      </c>
      <c r="G61" s="226">
        <v>61</v>
      </c>
      <c r="J61" s="250" t="s">
        <v>95</v>
      </c>
      <c r="K61" s="233" t="s">
        <v>96</v>
      </c>
    </row>
    <row r="62" spans="2:25" ht="15.75" x14ac:dyDescent="0.25">
      <c r="B62" s="51" t="s">
        <v>783</v>
      </c>
      <c r="C62" s="1262">
        <f>IF('Ввод исходных данных'!D121="",0.9,'Ввод исходных данных'!D121)</f>
        <v>0.9</v>
      </c>
      <c r="D62" s="51" t="s">
        <v>1570</v>
      </c>
      <c r="F62" s="230" t="s">
        <v>623</v>
      </c>
      <c r="G62" s="231">
        <v>62</v>
      </c>
      <c r="J62" s="250" t="s">
        <v>95</v>
      </c>
      <c r="K62" s="242" t="s">
        <v>97</v>
      </c>
    </row>
    <row r="63" spans="2:25" ht="15.75" x14ac:dyDescent="0.25">
      <c r="B63" s="51" t="s">
        <v>2428</v>
      </c>
      <c r="C63" s="1262">
        <f>IF('Ввод исходных данных'!D122="",8,'Ввод исходных данных'!D122)</f>
        <v>8</v>
      </c>
      <c r="D63" s="51" t="s">
        <v>2429</v>
      </c>
      <c r="F63" s="225" t="s">
        <v>291</v>
      </c>
      <c r="G63" s="226">
        <v>63</v>
      </c>
      <c r="J63" s="250" t="s">
        <v>255</v>
      </c>
      <c r="K63" s="233" t="s">
        <v>429</v>
      </c>
    </row>
    <row r="64" spans="2:25" ht="15.75" x14ac:dyDescent="0.25">
      <c r="F64" s="230" t="s">
        <v>294</v>
      </c>
      <c r="G64" s="231">
        <v>64</v>
      </c>
      <c r="J64" s="250" t="s">
        <v>255</v>
      </c>
      <c r="K64" s="242" t="s">
        <v>430</v>
      </c>
    </row>
    <row r="65" spans="2:19" ht="45" customHeight="1" x14ac:dyDescent="0.25">
      <c r="B65" s="51" t="s">
        <v>1682</v>
      </c>
      <c r="C65" s="1576">
        <f>IF('Ввод исходных данных'!H151="",IF('Ввод исходных данных'!G151="нет",2920,400),'Ввод исходных данных'!H151)</f>
        <v>2920</v>
      </c>
      <c r="D65" s="51" t="s">
        <v>2144</v>
      </c>
      <c r="E65" s="51">
        <v>2920</v>
      </c>
      <c r="F65" s="225" t="s">
        <v>307</v>
      </c>
      <c r="G65" s="226">
        <v>65</v>
      </c>
      <c r="J65" s="250" t="s">
        <v>255</v>
      </c>
      <c r="K65" s="233" t="s">
        <v>637</v>
      </c>
      <c r="S65" s="229" t="s">
        <v>1254</v>
      </c>
    </row>
    <row r="66" spans="2:19" ht="15.75" x14ac:dyDescent="0.25">
      <c r="B66" s="51" t="s">
        <v>1683</v>
      </c>
      <c r="C66" s="1576">
        <f>IF('Ввод исходных данных'!H152="",IF('Ввод исходных данных'!G152="нет",4380,400),'Ввод исходных данных'!H152)</f>
        <v>4380</v>
      </c>
      <c r="E66" s="51">
        <v>4380</v>
      </c>
      <c r="F66" s="230" t="s">
        <v>624</v>
      </c>
      <c r="G66" s="231">
        <v>66</v>
      </c>
      <c r="J66" s="250" t="s">
        <v>255</v>
      </c>
      <c r="K66" s="233" t="s">
        <v>431</v>
      </c>
      <c r="S66" s="71" t="s">
        <v>1241</v>
      </c>
    </row>
    <row r="67" spans="2:19" ht="15.75" x14ac:dyDescent="0.25">
      <c r="B67" s="51" t="s">
        <v>1684</v>
      </c>
      <c r="C67" s="1576">
        <f>IF('Ввод исходных данных'!H153="",IF('Ввод исходных данных'!G153="нет",4380,400),'Ввод исходных данных'!H153)</f>
        <v>4380</v>
      </c>
      <c r="D67" s="51" t="s">
        <v>2145</v>
      </c>
      <c r="E67" s="51">
        <v>4380</v>
      </c>
      <c r="F67" s="225" t="s">
        <v>249</v>
      </c>
      <c r="G67" s="226">
        <v>67</v>
      </c>
      <c r="J67" s="250" t="s">
        <v>255</v>
      </c>
      <c r="K67" s="233" t="s">
        <v>434</v>
      </c>
      <c r="S67" s="71" t="s">
        <v>1242</v>
      </c>
    </row>
    <row r="68" spans="2:19" ht="15.75" x14ac:dyDescent="0.25">
      <c r="B68" s="51" t="s">
        <v>1681</v>
      </c>
      <c r="C68" s="1576">
        <f>IF('Ввод исходных данных'!H154="",300,'Ввод исходных данных'!H154)</f>
        <v>300</v>
      </c>
      <c r="D68" s="51" t="s">
        <v>1947</v>
      </c>
      <c r="E68" s="51">
        <v>300</v>
      </c>
      <c r="F68" s="230" t="s">
        <v>296</v>
      </c>
      <c r="G68" s="231">
        <v>68</v>
      </c>
      <c r="J68" s="250" t="s">
        <v>255</v>
      </c>
      <c r="K68" s="233" t="s">
        <v>435</v>
      </c>
      <c r="S68" s="71" t="s">
        <v>1243</v>
      </c>
    </row>
    <row r="69" spans="2:19" ht="15.75" x14ac:dyDescent="0.25">
      <c r="B69" s="51" t="s">
        <v>1410</v>
      </c>
      <c r="C69" s="1576">
        <f>IF('Ввод исходных данных'!H155="",100,'Ввод исходных данных'!H155)</f>
        <v>100</v>
      </c>
      <c r="D69" s="51" t="s">
        <v>1948</v>
      </c>
      <c r="E69" s="51">
        <v>100</v>
      </c>
      <c r="F69" s="225" t="s">
        <v>320</v>
      </c>
      <c r="G69" s="226">
        <v>69</v>
      </c>
      <c r="J69" s="250" t="s">
        <v>255</v>
      </c>
      <c r="K69" s="233" t="s">
        <v>436</v>
      </c>
      <c r="S69" s="71" t="s">
        <v>1247</v>
      </c>
    </row>
    <row r="70" spans="2:19" ht="15.75" x14ac:dyDescent="0.25">
      <c r="B70" s="51" t="s">
        <v>1833</v>
      </c>
      <c r="C70" s="1576">
        <f>IF('Ввод исходных данных'!H156="",IF('Ввод исходных данных'!G156="нет",2920,400),'Ввод исходных данных'!H156)</f>
        <v>2920</v>
      </c>
      <c r="D70" s="51" t="s">
        <v>2144</v>
      </c>
      <c r="E70" s="51">
        <v>2920</v>
      </c>
      <c r="F70" s="230" t="s">
        <v>312</v>
      </c>
      <c r="G70" s="231">
        <v>70</v>
      </c>
      <c r="J70" s="250" t="s">
        <v>255</v>
      </c>
      <c r="K70" s="233" t="s">
        <v>437</v>
      </c>
      <c r="S70" s="71" t="s">
        <v>1248</v>
      </c>
    </row>
    <row r="71" spans="2:19" ht="15.75" x14ac:dyDescent="0.25">
      <c r="F71" s="225" t="s">
        <v>314</v>
      </c>
      <c r="G71" s="226">
        <v>71</v>
      </c>
      <c r="J71" s="250" t="s">
        <v>255</v>
      </c>
      <c r="K71" s="233" t="s">
        <v>438</v>
      </c>
      <c r="S71" s="71" t="s">
        <v>1244</v>
      </c>
    </row>
    <row r="72" spans="2:19" ht="15.75" x14ac:dyDescent="0.25">
      <c r="B72" s="51" t="s">
        <v>2430</v>
      </c>
      <c r="C72" s="1262">
        <f>IF('Ввод исходных данных'!D162="",2200,'Ввод исходных данных'!D162)</f>
        <v>2200</v>
      </c>
      <c r="D72" s="51" t="s">
        <v>1952</v>
      </c>
      <c r="F72" s="230" t="s">
        <v>326</v>
      </c>
      <c r="G72" s="231">
        <v>72</v>
      </c>
      <c r="J72" s="250" t="s">
        <v>255</v>
      </c>
      <c r="K72" s="233" t="s">
        <v>638</v>
      </c>
      <c r="S72" s="71" t="s">
        <v>1245</v>
      </c>
    </row>
    <row r="73" spans="2:19" ht="15.75" x14ac:dyDescent="0.25">
      <c r="B73" s="51" t="s">
        <v>2431</v>
      </c>
      <c r="C73" s="1262">
        <f ca="1">IF('Ввод исходных данных'!D168="",'Ввод исходных данных'!D209*24,'Ввод исходных данных'!D168)</f>
        <v>0</v>
      </c>
      <c r="D73" s="51" t="s">
        <v>1710</v>
      </c>
      <c r="F73" s="225" t="s">
        <v>392</v>
      </c>
      <c r="G73" s="226">
        <v>73</v>
      </c>
      <c r="J73" s="250" t="s">
        <v>255</v>
      </c>
      <c r="K73" s="233" t="s">
        <v>439</v>
      </c>
      <c r="S73" s="71" t="s">
        <v>1246</v>
      </c>
    </row>
    <row r="74" spans="2:19" ht="15.75" x14ac:dyDescent="0.25">
      <c r="B74" s="51" t="s">
        <v>2432</v>
      </c>
      <c r="C74" s="1262">
        <f>IF('Ввод исходных данных'!D172="",(SUM('Ввод исходных данных'!J273:J284)-SUM('Ввод исходных данных'!D127:D132))*24,'Ввод исходных данных'!D172)</f>
        <v>8424</v>
      </c>
      <c r="D74" s="51" t="s">
        <v>2433</v>
      </c>
      <c r="F74" s="230" t="s">
        <v>55</v>
      </c>
      <c r="G74" s="231">
        <v>74</v>
      </c>
      <c r="J74" s="250" t="s">
        <v>255</v>
      </c>
      <c r="K74" s="233" t="s">
        <v>440</v>
      </c>
      <c r="S74" s="71" t="s">
        <v>2126</v>
      </c>
    </row>
    <row r="75" spans="2:19" ht="15.75" x14ac:dyDescent="0.25">
      <c r="B75" s="51" t="s">
        <v>2431</v>
      </c>
      <c r="C75" s="1262">
        <f>IF('Ввод исходных данных'!D176="",7000,'Ввод исходных данных'!D176)</f>
        <v>7000</v>
      </c>
      <c r="D75" s="51" t="s">
        <v>1775</v>
      </c>
      <c r="F75" s="225" t="s">
        <v>389</v>
      </c>
      <c r="G75" s="226">
        <v>75</v>
      </c>
      <c r="J75" s="250" t="s">
        <v>255</v>
      </c>
      <c r="K75" s="242" t="s">
        <v>441</v>
      </c>
      <c r="S75" s="71" t="s">
        <v>2127</v>
      </c>
    </row>
    <row r="76" spans="2:19" ht="15.75" x14ac:dyDescent="0.25">
      <c r="F76" s="230" t="s">
        <v>396</v>
      </c>
      <c r="G76" s="231">
        <v>76</v>
      </c>
      <c r="J76" s="250" t="s">
        <v>255</v>
      </c>
      <c r="K76" s="233" t="s">
        <v>432</v>
      </c>
      <c r="S76" s="71" t="s">
        <v>2125</v>
      </c>
    </row>
    <row r="77" spans="2:19" ht="15.75" x14ac:dyDescent="0.25">
      <c r="F77" s="254" t="s">
        <v>625</v>
      </c>
      <c r="G77" s="226">
        <v>77</v>
      </c>
      <c r="J77" s="250" t="s">
        <v>255</v>
      </c>
      <c r="K77" s="233" t="s">
        <v>433</v>
      </c>
      <c r="S77" s="71" t="s">
        <v>2128</v>
      </c>
    </row>
    <row r="78" spans="2:19" ht="15.75" x14ac:dyDescent="0.25">
      <c r="F78" s="230" t="s">
        <v>406</v>
      </c>
      <c r="G78" s="231">
        <v>78</v>
      </c>
      <c r="J78" s="250" t="s">
        <v>91</v>
      </c>
      <c r="K78" s="242" t="s">
        <v>92</v>
      </c>
    </row>
    <row r="79" spans="2:19" ht="15.75" x14ac:dyDescent="0.25">
      <c r="F79" s="225" t="s">
        <v>121</v>
      </c>
      <c r="G79" s="226">
        <v>79</v>
      </c>
      <c r="J79" s="250" t="s">
        <v>91</v>
      </c>
      <c r="K79" s="233" t="s">
        <v>93</v>
      </c>
    </row>
    <row r="80" spans="2:19" ht="15.75" x14ac:dyDescent="0.25">
      <c r="F80" s="230" t="s">
        <v>626</v>
      </c>
      <c r="G80" s="231">
        <v>80</v>
      </c>
      <c r="J80" s="250" t="s">
        <v>71</v>
      </c>
      <c r="K80" s="233" t="s">
        <v>72</v>
      </c>
    </row>
    <row r="81" spans="6:11" ht="15.75" x14ac:dyDescent="0.25">
      <c r="F81" s="225" t="s">
        <v>53</v>
      </c>
      <c r="G81" s="226">
        <v>81</v>
      </c>
      <c r="J81" s="250" t="s">
        <v>71</v>
      </c>
      <c r="K81" s="233" t="s">
        <v>73</v>
      </c>
    </row>
    <row r="82" spans="6:11" ht="15.75" x14ac:dyDescent="0.25">
      <c r="F82" s="230" t="s">
        <v>627</v>
      </c>
      <c r="G82" s="231">
        <v>82</v>
      </c>
      <c r="J82" s="250" t="s">
        <v>71</v>
      </c>
      <c r="K82" s="233" t="s">
        <v>74</v>
      </c>
    </row>
    <row r="83" spans="6:11" ht="15.75" x14ac:dyDescent="0.25">
      <c r="F83" s="225" t="s">
        <v>628</v>
      </c>
      <c r="G83" s="226">
        <v>83</v>
      </c>
      <c r="J83" s="250" t="s">
        <v>71</v>
      </c>
      <c r="K83" s="233" t="s">
        <v>88</v>
      </c>
    </row>
    <row r="84" spans="6:11" ht="15.75" x14ac:dyDescent="0.25">
      <c r="F84" s="230" t="s">
        <v>58</v>
      </c>
      <c r="G84" s="231">
        <v>84</v>
      </c>
      <c r="J84" s="250" t="s">
        <v>71</v>
      </c>
      <c r="K84" s="233" t="s">
        <v>639</v>
      </c>
    </row>
    <row r="85" spans="6:11" ht="15.75" x14ac:dyDescent="0.25">
      <c r="F85" s="225" t="s">
        <v>629</v>
      </c>
      <c r="G85" s="226">
        <v>85</v>
      </c>
      <c r="J85" s="250" t="s">
        <v>71</v>
      </c>
      <c r="K85" s="242" t="s">
        <v>89</v>
      </c>
    </row>
    <row r="86" spans="6:11" ht="15.75" x14ac:dyDescent="0.25">
      <c r="F86" s="51" t="s">
        <v>427</v>
      </c>
      <c r="G86" s="231">
        <v>86</v>
      </c>
      <c r="J86" s="250" t="s">
        <v>71</v>
      </c>
      <c r="K86" s="233" t="s">
        <v>90</v>
      </c>
    </row>
    <row r="87" spans="6:11" ht="15.75" x14ac:dyDescent="0.25">
      <c r="F87" s="51" t="s">
        <v>630</v>
      </c>
      <c r="G87" s="226">
        <v>87</v>
      </c>
      <c r="J87" s="250" t="s">
        <v>71</v>
      </c>
      <c r="K87" s="233" t="s">
        <v>640</v>
      </c>
    </row>
    <row r="88" spans="6:11" ht="15.75" x14ac:dyDescent="0.25">
      <c r="F88" s="51" t="s">
        <v>631</v>
      </c>
      <c r="G88" s="231">
        <v>88</v>
      </c>
      <c r="J88" s="250" t="s">
        <v>71</v>
      </c>
      <c r="K88" s="233" t="s">
        <v>76</v>
      </c>
    </row>
    <row r="89" spans="6:11" ht="15.75" x14ac:dyDescent="0.25">
      <c r="J89" s="250" t="s">
        <v>71</v>
      </c>
      <c r="K89" s="233" t="s">
        <v>641</v>
      </c>
    </row>
    <row r="90" spans="6:11" ht="15.75" x14ac:dyDescent="0.25">
      <c r="J90" s="250" t="s">
        <v>71</v>
      </c>
      <c r="K90" s="233" t="s">
        <v>77</v>
      </c>
    </row>
    <row r="91" spans="6:11" ht="15.75" x14ac:dyDescent="0.25">
      <c r="J91" s="250" t="s">
        <v>71</v>
      </c>
      <c r="K91" s="242" t="s">
        <v>75</v>
      </c>
    </row>
    <row r="92" spans="6:11" ht="15.75" x14ac:dyDescent="0.25">
      <c r="J92" s="250" t="s">
        <v>71</v>
      </c>
      <c r="K92" s="233" t="s">
        <v>78</v>
      </c>
    </row>
    <row r="93" spans="6:11" ht="15.75" x14ac:dyDescent="0.25">
      <c r="J93" s="250" t="s">
        <v>71</v>
      </c>
      <c r="K93" s="242" t="s">
        <v>79</v>
      </c>
    </row>
    <row r="94" spans="6:11" ht="15.75" x14ac:dyDescent="0.25">
      <c r="J94" s="250" t="s">
        <v>71</v>
      </c>
      <c r="K94" s="233" t="s">
        <v>62</v>
      </c>
    </row>
    <row r="95" spans="6:11" ht="15.75" x14ac:dyDescent="0.25">
      <c r="J95" s="250" t="s">
        <v>71</v>
      </c>
      <c r="K95" s="233" t="s">
        <v>642</v>
      </c>
    </row>
    <row r="96" spans="6:11" ht="15.75" x14ac:dyDescent="0.25">
      <c r="J96" s="250" t="s">
        <v>71</v>
      </c>
      <c r="K96" s="242" t="s">
        <v>81</v>
      </c>
    </row>
    <row r="97" spans="10:11" ht="15.75" x14ac:dyDescent="0.25">
      <c r="J97" s="250" t="s">
        <v>71</v>
      </c>
      <c r="K97" s="233" t="s">
        <v>80</v>
      </c>
    </row>
    <row r="98" spans="10:11" ht="15.75" x14ac:dyDescent="0.25">
      <c r="J98" s="250" t="s">
        <v>71</v>
      </c>
      <c r="K98" s="233" t="s">
        <v>82</v>
      </c>
    </row>
    <row r="99" spans="10:11" ht="15.75" x14ac:dyDescent="0.25">
      <c r="J99" s="250" t="s">
        <v>71</v>
      </c>
      <c r="K99" s="233" t="s">
        <v>83</v>
      </c>
    </row>
    <row r="100" spans="10:11" ht="15.75" x14ac:dyDescent="0.25">
      <c r="J100" s="250" t="s">
        <v>71</v>
      </c>
      <c r="K100" s="242" t="s">
        <v>84</v>
      </c>
    </row>
    <row r="101" spans="10:11" ht="15.75" x14ac:dyDescent="0.25">
      <c r="J101" s="250" t="s">
        <v>71</v>
      </c>
      <c r="K101" s="233" t="s">
        <v>643</v>
      </c>
    </row>
    <row r="102" spans="10:11" ht="15.75" x14ac:dyDescent="0.25">
      <c r="J102" s="250" t="s">
        <v>71</v>
      </c>
      <c r="K102" s="233" t="s">
        <v>85</v>
      </c>
    </row>
    <row r="103" spans="10:11" ht="15.75" x14ac:dyDescent="0.25">
      <c r="J103" s="250" t="s">
        <v>71</v>
      </c>
      <c r="K103" s="233" t="s">
        <v>86</v>
      </c>
    </row>
    <row r="104" spans="10:11" ht="15.75" x14ac:dyDescent="0.25">
      <c r="J104" s="250" t="s">
        <v>71</v>
      </c>
      <c r="K104" s="233" t="s">
        <v>87</v>
      </c>
    </row>
    <row r="105" spans="10:11" ht="15.75" x14ac:dyDescent="0.25">
      <c r="J105" s="250" t="s">
        <v>71</v>
      </c>
      <c r="K105" s="242" t="s">
        <v>644</v>
      </c>
    </row>
    <row r="106" spans="10:11" ht="15.75" x14ac:dyDescent="0.25">
      <c r="J106" s="250" t="s">
        <v>614</v>
      </c>
      <c r="K106" s="233" t="s">
        <v>99</v>
      </c>
    </row>
    <row r="107" spans="10:11" ht="15.75" x14ac:dyDescent="0.25">
      <c r="J107" s="250" t="s">
        <v>100</v>
      </c>
      <c r="K107" s="233" t="s">
        <v>101</v>
      </c>
    </row>
    <row r="108" spans="10:11" ht="15.75" x14ac:dyDescent="0.25">
      <c r="J108" s="250" t="s">
        <v>102</v>
      </c>
      <c r="K108" s="233" t="s">
        <v>103</v>
      </c>
    </row>
    <row r="109" spans="10:11" ht="15.75" x14ac:dyDescent="0.25">
      <c r="J109" s="250" t="s">
        <v>615</v>
      </c>
      <c r="K109" s="233" t="s">
        <v>645</v>
      </c>
    </row>
    <row r="110" spans="10:11" ht="15.75" x14ac:dyDescent="0.25">
      <c r="J110" s="250" t="s">
        <v>615</v>
      </c>
      <c r="K110" s="233" t="s">
        <v>646</v>
      </c>
    </row>
    <row r="111" spans="10:11" ht="15.75" x14ac:dyDescent="0.25">
      <c r="J111" s="250" t="s">
        <v>615</v>
      </c>
      <c r="K111" s="233" t="s">
        <v>104</v>
      </c>
    </row>
    <row r="112" spans="10:11" ht="15.75" x14ac:dyDescent="0.25">
      <c r="J112" s="250" t="s">
        <v>615</v>
      </c>
      <c r="K112" s="233" t="s">
        <v>105</v>
      </c>
    </row>
    <row r="113" spans="10:11" ht="15.75" x14ac:dyDescent="0.25">
      <c r="J113" s="250" t="s">
        <v>615</v>
      </c>
      <c r="K113" s="233" t="s">
        <v>647</v>
      </c>
    </row>
    <row r="114" spans="10:11" ht="15.75" x14ac:dyDescent="0.25">
      <c r="J114" s="250" t="s">
        <v>615</v>
      </c>
      <c r="K114" s="233" t="s">
        <v>106</v>
      </c>
    </row>
    <row r="115" spans="10:11" ht="15.75" x14ac:dyDescent="0.25">
      <c r="J115" s="250" t="s">
        <v>615</v>
      </c>
      <c r="K115" s="233" t="s">
        <v>648</v>
      </c>
    </row>
    <row r="116" spans="10:11" ht="15.75" x14ac:dyDescent="0.25">
      <c r="J116" s="250" t="s">
        <v>615</v>
      </c>
      <c r="K116" s="233" t="s">
        <v>649</v>
      </c>
    </row>
    <row r="117" spans="10:11" ht="15.75" x14ac:dyDescent="0.25">
      <c r="J117" s="250" t="s">
        <v>615</v>
      </c>
      <c r="K117" s="233" t="s">
        <v>107</v>
      </c>
    </row>
    <row r="118" spans="10:11" ht="15.75" x14ac:dyDescent="0.25">
      <c r="J118" s="250" t="s">
        <v>615</v>
      </c>
      <c r="K118" s="233" t="s">
        <v>650</v>
      </c>
    </row>
    <row r="119" spans="10:11" ht="15.75" x14ac:dyDescent="0.25">
      <c r="J119" s="250" t="s">
        <v>615</v>
      </c>
      <c r="K119" s="233" t="s">
        <v>108</v>
      </c>
    </row>
    <row r="120" spans="10:11" ht="15.75" x14ac:dyDescent="0.25">
      <c r="J120" s="250" t="s">
        <v>615</v>
      </c>
      <c r="K120" s="233" t="s">
        <v>651</v>
      </c>
    </row>
    <row r="121" spans="10:11" ht="15.75" x14ac:dyDescent="0.25">
      <c r="J121" s="250" t="s">
        <v>615</v>
      </c>
      <c r="K121" s="233" t="s">
        <v>652</v>
      </c>
    </row>
    <row r="122" spans="10:11" ht="15.75" x14ac:dyDescent="0.25">
      <c r="J122" s="250" t="s">
        <v>615</v>
      </c>
      <c r="K122" s="233" t="s">
        <v>109</v>
      </c>
    </row>
    <row r="123" spans="10:11" ht="15.75" x14ac:dyDescent="0.25">
      <c r="J123" s="250" t="s">
        <v>615</v>
      </c>
      <c r="K123" s="233" t="s">
        <v>110</v>
      </c>
    </row>
    <row r="124" spans="10:11" ht="15.75" x14ac:dyDescent="0.25">
      <c r="J124" s="250" t="s">
        <v>615</v>
      </c>
      <c r="K124" s="233" t="s">
        <v>111</v>
      </c>
    </row>
    <row r="125" spans="10:11" ht="15.75" x14ac:dyDescent="0.25">
      <c r="J125" s="250" t="s">
        <v>615</v>
      </c>
      <c r="K125" s="242" t="s">
        <v>653</v>
      </c>
    </row>
    <row r="126" spans="10:11" ht="15.75" x14ac:dyDescent="0.25">
      <c r="J126" s="250" t="s">
        <v>615</v>
      </c>
      <c r="K126" s="233" t="s">
        <v>654</v>
      </c>
    </row>
    <row r="127" spans="10:11" ht="15.75" x14ac:dyDescent="0.25">
      <c r="J127" s="250" t="s">
        <v>615</v>
      </c>
      <c r="K127" s="255" t="s">
        <v>655</v>
      </c>
    </row>
    <row r="128" spans="10:11" ht="15.75" x14ac:dyDescent="0.25">
      <c r="J128" s="250" t="s">
        <v>616</v>
      </c>
      <c r="K128" s="242" t="s">
        <v>112</v>
      </c>
    </row>
    <row r="129" spans="10:11" ht="15.75" x14ac:dyDescent="0.25">
      <c r="J129" s="250" t="s">
        <v>113</v>
      </c>
      <c r="K129" s="233" t="s">
        <v>114</v>
      </c>
    </row>
    <row r="130" spans="10:11" ht="15.75" x14ac:dyDescent="0.25">
      <c r="J130" s="250" t="s">
        <v>113</v>
      </c>
      <c r="K130" s="242" t="s">
        <v>115</v>
      </c>
    </row>
    <row r="131" spans="10:11" ht="15.75" x14ac:dyDescent="0.25">
      <c r="J131" s="250" t="s">
        <v>113</v>
      </c>
      <c r="K131" s="233" t="s">
        <v>116</v>
      </c>
    </row>
    <row r="132" spans="10:11" ht="15.75" x14ac:dyDescent="0.25">
      <c r="J132" s="250" t="s">
        <v>113</v>
      </c>
      <c r="K132" s="242" t="s">
        <v>117</v>
      </c>
    </row>
    <row r="133" spans="10:11" ht="15.75" x14ac:dyDescent="0.25">
      <c r="J133" s="250" t="s">
        <v>113</v>
      </c>
      <c r="K133" s="233" t="s">
        <v>118</v>
      </c>
    </row>
    <row r="134" spans="10:11" ht="15.75" x14ac:dyDescent="0.25">
      <c r="J134" s="250" t="s">
        <v>113</v>
      </c>
      <c r="K134" s="242" t="s">
        <v>656</v>
      </c>
    </row>
    <row r="135" spans="10:11" ht="15.75" x14ac:dyDescent="0.25">
      <c r="J135" s="250" t="s">
        <v>113</v>
      </c>
      <c r="K135" s="256" t="s">
        <v>119</v>
      </c>
    </row>
    <row r="136" spans="10:11" ht="15.75" x14ac:dyDescent="0.25">
      <c r="J136" s="250" t="s">
        <v>113</v>
      </c>
      <c r="K136" s="256" t="s">
        <v>120</v>
      </c>
    </row>
    <row r="137" spans="10:11" ht="15.75" x14ac:dyDescent="0.25">
      <c r="J137" s="250" t="s">
        <v>142</v>
      </c>
      <c r="K137" s="255" t="s">
        <v>144</v>
      </c>
    </row>
    <row r="138" spans="10:11" ht="15.75" x14ac:dyDescent="0.25">
      <c r="J138" s="250" t="s">
        <v>142</v>
      </c>
      <c r="K138" s="255" t="s">
        <v>657</v>
      </c>
    </row>
    <row r="139" spans="10:11" ht="15.75" x14ac:dyDescent="0.25">
      <c r="J139" s="250" t="s">
        <v>142</v>
      </c>
      <c r="K139" s="255" t="s">
        <v>143</v>
      </c>
    </row>
    <row r="140" spans="10:11" ht="15.75" x14ac:dyDescent="0.25">
      <c r="J140" s="250" t="s">
        <v>155</v>
      </c>
      <c r="K140" s="255" t="s">
        <v>157</v>
      </c>
    </row>
    <row r="141" spans="10:11" ht="15.75" x14ac:dyDescent="0.25">
      <c r="J141" s="250" t="s">
        <v>155</v>
      </c>
      <c r="K141" s="255" t="s">
        <v>156</v>
      </c>
    </row>
    <row r="142" spans="10:11" ht="15.75" x14ac:dyDescent="0.25">
      <c r="J142" s="250" t="s">
        <v>155</v>
      </c>
      <c r="K142" s="255" t="s">
        <v>158</v>
      </c>
    </row>
    <row r="143" spans="10:11" ht="15.75" x14ac:dyDescent="0.25">
      <c r="J143" s="250" t="s">
        <v>159</v>
      </c>
      <c r="K143" s="255" t="s">
        <v>160</v>
      </c>
    </row>
    <row r="144" spans="10:11" ht="15.75" x14ac:dyDescent="0.25">
      <c r="J144" s="250" t="s">
        <v>159</v>
      </c>
      <c r="K144" s="255" t="s">
        <v>161</v>
      </c>
    </row>
    <row r="145" spans="10:11" ht="15.75" x14ac:dyDescent="0.25">
      <c r="J145" s="250" t="s">
        <v>159</v>
      </c>
      <c r="K145" s="255" t="s">
        <v>162</v>
      </c>
    </row>
    <row r="146" spans="10:11" ht="15.75" x14ac:dyDescent="0.25">
      <c r="J146" s="250" t="s">
        <v>159</v>
      </c>
      <c r="K146" s="255" t="s">
        <v>163</v>
      </c>
    </row>
    <row r="147" spans="10:11" ht="15.75" x14ac:dyDescent="0.25">
      <c r="J147" s="250" t="s">
        <v>159</v>
      </c>
      <c r="K147" s="255" t="s">
        <v>164</v>
      </c>
    </row>
    <row r="148" spans="10:11" ht="15.75" x14ac:dyDescent="0.25">
      <c r="J148" s="250" t="s">
        <v>165</v>
      </c>
      <c r="K148" s="255" t="s">
        <v>167</v>
      </c>
    </row>
    <row r="149" spans="10:11" ht="15.75" x14ac:dyDescent="0.25">
      <c r="J149" s="250" t="s">
        <v>165</v>
      </c>
      <c r="K149" s="255" t="s">
        <v>166</v>
      </c>
    </row>
    <row r="150" spans="10:11" ht="15.75" x14ac:dyDescent="0.25">
      <c r="J150" s="250" t="s">
        <v>165</v>
      </c>
      <c r="K150" s="255" t="s">
        <v>658</v>
      </c>
    </row>
    <row r="151" spans="10:11" ht="15.75" x14ac:dyDescent="0.25">
      <c r="J151" s="250" t="s">
        <v>165</v>
      </c>
      <c r="K151" s="255" t="s">
        <v>168</v>
      </c>
    </row>
    <row r="152" spans="10:11" ht="15.75" x14ac:dyDescent="0.25">
      <c r="J152" s="250" t="s">
        <v>165</v>
      </c>
      <c r="K152" s="255" t="s">
        <v>169</v>
      </c>
    </row>
    <row r="153" spans="10:11" ht="15.75" x14ac:dyDescent="0.25">
      <c r="J153" s="250" t="s">
        <v>165</v>
      </c>
      <c r="K153" s="255" t="s">
        <v>659</v>
      </c>
    </row>
    <row r="154" spans="10:11" ht="15.75" x14ac:dyDescent="0.25">
      <c r="J154" s="250" t="s">
        <v>165</v>
      </c>
      <c r="K154" s="242" t="s">
        <v>178</v>
      </c>
    </row>
    <row r="155" spans="10:11" ht="15.75" x14ac:dyDescent="0.25">
      <c r="J155" s="250" t="s">
        <v>165</v>
      </c>
      <c r="K155" s="255" t="s">
        <v>179</v>
      </c>
    </row>
    <row r="156" spans="10:11" ht="15.75" x14ac:dyDescent="0.25">
      <c r="J156" s="250" t="s">
        <v>165</v>
      </c>
      <c r="K156" s="242" t="s">
        <v>180</v>
      </c>
    </row>
    <row r="157" spans="10:11" ht="15.75" x14ac:dyDescent="0.25">
      <c r="J157" s="250" t="s">
        <v>165</v>
      </c>
      <c r="K157" s="233" t="s">
        <v>660</v>
      </c>
    </row>
    <row r="158" spans="10:11" ht="15.75" x14ac:dyDescent="0.25">
      <c r="J158" s="250" t="s">
        <v>165</v>
      </c>
      <c r="K158" s="233" t="s">
        <v>661</v>
      </c>
    </row>
    <row r="159" spans="10:11" ht="15.75" x14ac:dyDescent="0.25">
      <c r="J159" s="250" t="s">
        <v>165</v>
      </c>
      <c r="K159" s="233" t="s">
        <v>170</v>
      </c>
    </row>
    <row r="160" spans="10:11" ht="15.75" x14ac:dyDescent="0.25">
      <c r="J160" s="250" t="s">
        <v>165</v>
      </c>
      <c r="K160" s="233" t="s">
        <v>662</v>
      </c>
    </row>
    <row r="161" spans="10:11" ht="15.75" x14ac:dyDescent="0.25">
      <c r="J161" s="250" t="s">
        <v>165</v>
      </c>
      <c r="K161" s="233" t="s">
        <v>171</v>
      </c>
    </row>
    <row r="162" spans="10:11" ht="15.75" x14ac:dyDescent="0.25">
      <c r="J162" s="250" t="s">
        <v>165</v>
      </c>
      <c r="K162" s="233" t="s">
        <v>172</v>
      </c>
    </row>
    <row r="163" spans="10:11" ht="15.75" x14ac:dyDescent="0.25">
      <c r="J163" s="250" t="s">
        <v>165</v>
      </c>
      <c r="K163" s="233" t="s">
        <v>173</v>
      </c>
    </row>
    <row r="164" spans="10:11" ht="15.75" x14ac:dyDescent="0.25">
      <c r="J164" s="250" t="s">
        <v>165</v>
      </c>
      <c r="K164" s="242" t="s">
        <v>104</v>
      </c>
    </row>
    <row r="165" spans="10:11" ht="15.75" x14ac:dyDescent="0.25">
      <c r="J165" s="250" t="s">
        <v>165</v>
      </c>
      <c r="K165" s="233" t="s">
        <v>174</v>
      </c>
    </row>
    <row r="166" spans="10:11" ht="15.75" x14ac:dyDescent="0.25">
      <c r="J166" s="250" t="s">
        <v>165</v>
      </c>
      <c r="K166" s="233" t="s">
        <v>175</v>
      </c>
    </row>
    <row r="167" spans="10:11" ht="15.75" x14ac:dyDescent="0.25">
      <c r="J167" s="250" t="s">
        <v>165</v>
      </c>
      <c r="K167" s="233" t="s">
        <v>176</v>
      </c>
    </row>
    <row r="168" spans="10:11" ht="15.75" x14ac:dyDescent="0.25">
      <c r="J168" s="250" t="s">
        <v>165</v>
      </c>
      <c r="K168" s="233" t="s">
        <v>140</v>
      </c>
    </row>
    <row r="169" spans="10:11" ht="15.75" x14ac:dyDescent="0.25">
      <c r="J169" s="250" t="s">
        <v>165</v>
      </c>
      <c r="K169" s="233" t="s">
        <v>663</v>
      </c>
    </row>
    <row r="170" spans="10:11" ht="15.75" x14ac:dyDescent="0.25">
      <c r="J170" s="250" t="s">
        <v>165</v>
      </c>
      <c r="K170" s="233" t="s">
        <v>177</v>
      </c>
    </row>
    <row r="171" spans="10:11" ht="15.75" x14ac:dyDescent="0.25">
      <c r="J171" s="250" t="s">
        <v>165</v>
      </c>
      <c r="K171" s="233" t="s">
        <v>664</v>
      </c>
    </row>
    <row r="172" spans="10:11" ht="15.75" x14ac:dyDescent="0.25">
      <c r="J172" s="250" t="s">
        <v>165</v>
      </c>
      <c r="K172" s="233" t="s">
        <v>665</v>
      </c>
    </row>
    <row r="173" spans="10:11" ht="15.75" x14ac:dyDescent="0.25">
      <c r="J173" s="250" t="s">
        <v>165</v>
      </c>
      <c r="K173" s="242" t="s">
        <v>181</v>
      </c>
    </row>
    <row r="174" spans="10:11" ht="15.75" x14ac:dyDescent="0.25">
      <c r="J174" s="250" t="s">
        <v>182</v>
      </c>
      <c r="K174" s="233" t="s">
        <v>183</v>
      </c>
    </row>
    <row r="175" spans="10:11" ht="15.75" x14ac:dyDescent="0.25">
      <c r="J175" s="250" t="s">
        <v>49</v>
      </c>
      <c r="K175" s="233" t="s">
        <v>184</v>
      </c>
    </row>
    <row r="176" spans="10:11" ht="15.75" x14ac:dyDescent="0.25">
      <c r="J176" s="250" t="s">
        <v>185</v>
      </c>
      <c r="K176" s="233" t="s">
        <v>186</v>
      </c>
    </row>
    <row r="177" spans="10:11" ht="15.75" x14ac:dyDescent="0.25">
      <c r="J177" s="250" t="s">
        <v>185</v>
      </c>
      <c r="K177" s="242" t="s">
        <v>187</v>
      </c>
    </row>
    <row r="178" spans="10:11" ht="15.75" x14ac:dyDescent="0.25">
      <c r="J178" s="250" t="s">
        <v>188</v>
      </c>
      <c r="K178" s="233" t="s">
        <v>189</v>
      </c>
    </row>
    <row r="179" spans="10:11" ht="15.75" x14ac:dyDescent="0.25">
      <c r="J179" s="250" t="s">
        <v>190</v>
      </c>
      <c r="K179" s="233" t="s">
        <v>191</v>
      </c>
    </row>
    <row r="180" spans="10:11" ht="15.75" x14ac:dyDescent="0.25">
      <c r="J180" s="250" t="s">
        <v>190</v>
      </c>
      <c r="K180" s="233" t="s">
        <v>192</v>
      </c>
    </row>
    <row r="181" spans="10:11" ht="15.75" x14ac:dyDescent="0.25">
      <c r="J181" s="250" t="s">
        <v>190</v>
      </c>
      <c r="K181" s="233" t="s">
        <v>666</v>
      </c>
    </row>
    <row r="182" spans="10:11" ht="15.75" x14ac:dyDescent="0.25">
      <c r="J182" s="250" t="s">
        <v>190</v>
      </c>
      <c r="K182" s="233" t="s">
        <v>193</v>
      </c>
    </row>
    <row r="183" spans="10:11" ht="15.75" x14ac:dyDescent="0.25">
      <c r="J183" s="250" t="s">
        <v>190</v>
      </c>
      <c r="K183" s="233" t="s">
        <v>194</v>
      </c>
    </row>
    <row r="184" spans="10:11" ht="15.75" x14ac:dyDescent="0.25">
      <c r="J184" s="250" t="s">
        <v>190</v>
      </c>
      <c r="K184" s="233" t="s">
        <v>195</v>
      </c>
    </row>
    <row r="185" spans="10:11" ht="15.75" x14ac:dyDescent="0.25">
      <c r="J185" s="250" t="s">
        <v>190</v>
      </c>
      <c r="K185" s="233" t="s">
        <v>196</v>
      </c>
    </row>
    <row r="186" spans="10:11" ht="15.75" x14ac:dyDescent="0.25">
      <c r="J186" s="250" t="s">
        <v>617</v>
      </c>
      <c r="K186" s="233" t="s">
        <v>199</v>
      </c>
    </row>
    <row r="187" spans="10:11" ht="15.75" x14ac:dyDescent="0.25">
      <c r="J187" s="250" t="s">
        <v>52</v>
      </c>
      <c r="K187" s="233" t="s">
        <v>200</v>
      </c>
    </row>
    <row r="188" spans="10:11" ht="15.75" x14ac:dyDescent="0.25">
      <c r="J188" s="250" t="s">
        <v>52</v>
      </c>
      <c r="K188" s="233" t="s">
        <v>201</v>
      </c>
    </row>
    <row r="189" spans="10:11" ht="15.75" x14ac:dyDescent="0.25">
      <c r="J189" s="250" t="s">
        <v>202</v>
      </c>
      <c r="K189" s="242" t="s">
        <v>214</v>
      </c>
    </row>
    <row r="190" spans="10:11" ht="15.75" x14ac:dyDescent="0.25">
      <c r="J190" s="250" t="s">
        <v>202</v>
      </c>
      <c r="K190" s="233" t="s">
        <v>203</v>
      </c>
    </row>
    <row r="191" spans="10:11" ht="15.75" x14ac:dyDescent="0.25">
      <c r="J191" s="250" t="s">
        <v>202</v>
      </c>
      <c r="K191" s="233" t="s">
        <v>204</v>
      </c>
    </row>
    <row r="192" spans="10:11" ht="15.75" x14ac:dyDescent="0.25">
      <c r="J192" s="250" t="s">
        <v>202</v>
      </c>
      <c r="K192" s="233" t="s">
        <v>205</v>
      </c>
    </row>
    <row r="193" spans="10:11" ht="15.75" x14ac:dyDescent="0.25">
      <c r="J193" s="250" t="s">
        <v>202</v>
      </c>
      <c r="K193" s="242" t="s">
        <v>206</v>
      </c>
    </row>
    <row r="194" spans="10:11" ht="15.75" x14ac:dyDescent="0.25">
      <c r="J194" s="250" t="s">
        <v>202</v>
      </c>
      <c r="K194" s="233" t="s">
        <v>207</v>
      </c>
    </row>
    <row r="195" spans="10:11" ht="15.75" x14ac:dyDescent="0.25">
      <c r="J195" s="250" t="s">
        <v>202</v>
      </c>
      <c r="K195" s="233" t="s">
        <v>208</v>
      </c>
    </row>
    <row r="196" spans="10:11" ht="15.75" x14ac:dyDescent="0.25">
      <c r="J196" s="250" t="s">
        <v>202</v>
      </c>
      <c r="K196" s="233" t="s">
        <v>667</v>
      </c>
    </row>
    <row r="197" spans="10:11" ht="15.75" x14ac:dyDescent="0.25">
      <c r="J197" s="250" t="s">
        <v>202</v>
      </c>
      <c r="K197" s="233" t="s">
        <v>209</v>
      </c>
    </row>
    <row r="198" spans="10:11" ht="15.75" x14ac:dyDescent="0.25">
      <c r="J198" s="250" t="s">
        <v>202</v>
      </c>
      <c r="K198" s="233" t="s">
        <v>210</v>
      </c>
    </row>
    <row r="199" spans="10:11" ht="15.75" x14ac:dyDescent="0.25">
      <c r="J199" s="250" t="s">
        <v>202</v>
      </c>
      <c r="K199" s="233" t="s">
        <v>212</v>
      </c>
    </row>
    <row r="200" spans="10:11" ht="15.75" x14ac:dyDescent="0.25">
      <c r="J200" s="250" t="s">
        <v>202</v>
      </c>
      <c r="K200" s="255" t="s">
        <v>211</v>
      </c>
    </row>
    <row r="201" spans="10:11" ht="15.75" x14ac:dyDescent="0.25">
      <c r="J201" s="250" t="s">
        <v>202</v>
      </c>
      <c r="K201" s="255" t="s">
        <v>213</v>
      </c>
    </row>
    <row r="202" spans="10:11" ht="15.75" x14ac:dyDescent="0.25">
      <c r="J202" s="250" t="s">
        <v>202</v>
      </c>
      <c r="K202" s="255" t="s">
        <v>215</v>
      </c>
    </row>
    <row r="203" spans="10:11" ht="15.75" x14ac:dyDescent="0.25">
      <c r="J203" s="250" t="s">
        <v>618</v>
      </c>
      <c r="K203" s="255" t="s">
        <v>222</v>
      </c>
    </row>
    <row r="204" spans="10:11" ht="15.75" x14ac:dyDescent="0.25">
      <c r="J204" s="250" t="s">
        <v>618</v>
      </c>
      <c r="K204" s="255" t="s">
        <v>218</v>
      </c>
    </row>
    <row r="205" spans="10:11" ht="15.75" x14ac:dyDescent="0.25">
      <c r="J205" s="250" t="s">
        <v>618</v>
      </c>
      <c r="K205" s="255" t="s">
        <v>219</v>
      </c>
    </row>
    <row r="206" spans="10:11" ht="15.75" x14ac:dyDescent="0.25">
      <c r="J206" s="250" t="s">
        <v>618</v>
      </c>
      <c r="K206" s="255" t="s">
        <v>220</v>
      </c>
    </row>
    <row r="207" spans="10:11" ht="15.75" x14ac:dyDescent="0.25">
      <c r="J207" s="250" t="s">
        <v>618</v>
      </c>
      <c r="K207" s="255" t="s">
        <v>221</v>
      </c>
    </row>
    <row r="208" spans="10:11" ht="15.75" x14ac:dyDescent="0.25">
      <c r="J208" s="250" t="s">
        <v>618</v>
      </c>
      <c r="K208" s="255" t="s">
        <v>216</v>
      </c>
    </row>
    <row r="209" spans="10:11" ht="15.75" x14ac:dyDescent="0.25">
      <c r="J209" s="250" t="s">
        <v>618</v>
      </c>
      <c r="K209" s="255" t="s">
        <v>217</v>
      </c>
    </row>
    <row r="210" spans="10:11" ht="15.75" x14ac:dyDescent="0.25">
      <c r="J210" s="250" t="s">
        <v>67</v>
      </c>
      <c r="K210" s="257" t="s">
        <v>223</v>
      </c>
    </row>
    <row r="211" spans="10:11" ht="15.75" x14ac:dyDescent="0.25">
      <c r="J211" s="250" t="s">
        <v>67</v>
      </c>
      <c r="K211" s="255" t="s">
        <v>225</v>
      </c>
    </row>
    <row r="212" spans="10:11" ht="15.75" x14ac:dyDescent="0.25">
      <c r="J212" s="250" t="s">
        <v>67</v>
      </c>
      <c r="K212" s="255" t="s">
        <v>224</v>
      </c>
    </row>
    <row r="213" spans="10:11" ht="15.75" x14ac:dyDescent="0.25">
      <c r="J213" s="250" t="s">
        <v>226</v>
      </c>
      <c r="K213" s="255" t="s">
        <v>227</v>
      </c>
    </row>
    <row r="214" spans="10:11" ht="15.75" x14ac:dyDescent="0.25">
      <c r="J214" s="250" t="s">
        <v>226</v>
      </c>
      <c r="K214" s="255" t="s">
        <v>228</v>
      </c>
    </row>
    <row r="215" spans="10:11" ht="15.75" x14ac:dyDescent="0.25">
      <c r="J215" s="250" t="s">
        <v>229</v>
      </c>
      <c r="K215" s="255" t="s">
        <v>230</v>
      </c>
    </row>
    <row r="216" spans="10:11" ht="15.75" x14ac:dyDescent="0.25">
      <c r="J216" s="250" t="s">
        <v>229</v>
      </c>
      <c r="K216" s="255" t="s">
        <v>231</v>
      </c>
    </row>
    <row r="217" spans="10:11" ht="15.75" x14ac:dyDescent="0.25">
      <c r="J217" s="250" t="s">
        <v>229</v>
      </c>
      <c r="K217" s="255" t="s">
        <v>668</v>
      </c>
    </row>
    <row r="218" spans="10:11" ht="15.75" x14ac:dyDescent="0.25">
      <c r="J218" s="250" t="s">
        <v>229</v>
      </c>
      <c r="K218" s="255" t="s">
        <v>233</v>
      </c>
    </row>
    <row r="219" spans="10:11" ht="15.75" x14ac:dyDescent="0.25">
      <c r="J219" s="250" t="s">
        <v>229</v>
      </c>
      <c r="K219" s="255" t="s">
        <v>234</v>
      </c>
    </row>
    <row r="220" spans="10:11" ht="15.75" x14ac:dyDescent="0.25">
      <c r="J220" s="250" t="s">
        <v>229</v>
      </c>
      <c r="K220" s="255" t="s">
        <v>235</v>
      </c>
    </row>
    <row r="221" spans="10:11" ht="15.75" x14ac:dyDescent="0.25">
      <c r="J221" s="250" t="s">
        <v>229</v>
      </c>
      <c r="K221" s="255" t="s">
        <v>236</v>
      </c>
    </row>
    <row r="222" spans="10:11" ht="15.75" x14ac:dyDescent="0.25">
      <c r="J222" s="250" t="s">
        <v>229</v>
      </c>
      <c r="K222" s="255" t="s">
        <v>237</v>
      </c>
    </row>
    <row r="223" spans="10:11" ht="15.75" x14ac:dyDescent="0.25">
      <c r="J223" s="250" t="s">
        <v>229</v>
      </c>
      <c r="K223" s="255" t="s">
        <v>232</v>
      </c>
    </row>
    <row r="224" spans="10:11" ht="15.75" x14ac:dyDescent="0.25">
      <c r="J224" s="250" t="s">
        <v>238</v>
      </c>
      <c r="K224" s="255" t="s">
        <v>669</v>
      </c>
    </row>
    <row r="225" spans="10:11" ht="15.75" x14ac:dyDescent="0.25">
      <c r="J225" s="250" t="s">
        <v>238</v>
      </c>
      <c r="K225" s="255" t="s">
        <v>240</v>
      </c>
    </row>
    <row r="226" spans="10:11" ht="15.75" x14ac:dyDescent="0.25">
      <c r="J226" s="250" t="s">
        <v>238</v>
      </c>
      <c r="K226" s="233" t="s">
        <v>241</v>
      </c>
    </row>
    <row r="227" spans="10:11" ht="15.75" x14ac:dyDescent="0.25">
      <c r="J227" s="250" t="s">
        <v>238</v>
      </c>
      <c r="K227" s="233" t="s">
        <v>239</v>
      </c>
    </row>
    <row r="228" spans="10:11" ht="15.75" x14ac:dyDescent="0.25">
      <c r="J228" s="250" t="s">
        <v>242</v>
      </c>
      <c r="K228" s="233" t="s">
        <v>243</v>
      </c>
    </row>
    <row r="229" spans="10:11" ht="15.75" x14ac:dyDescent="0.25">
      <c r="J229" s="250" t="s">
        <v>242</v>
      </c>
      <c r="K229" s="233" t="s">
        <v>244</v>
      </c>
    </row>
    <row r="230" spans="10:11" ht="15.75" x14ac:dyDescent="0.25">
      <c r="J230" s="250" t="s">
        <v>242</v>
      </c>
      <c r="K230" s="233" t="s">
        <v>245</v>
      </c>
    </row>
    <row r="231" spans="10:11" ht="15.75" x14ac:dyDescent="0.25">
      <c r="J231" s="250" t="s">
        <v>246</v>
      </c>
      <c r="K231" s="233" t="s">
        <v>247</v>
      </c>
    </row>
    <row r="232" spans="10:11" ht="15.75" x14ac:dyDescent="0.25">
      <c r="J232" s="250" t="s">
        <v>248</v>
      </c>
      <c r="K232" s="233" t="s">
        <v>670</v>
      </c>
    </row>
    <row r="233" spans="10:11" ht="15.75" x14ac:dyDescent="0.25">
      <c r="J233" s="250" t="s">
        <v>248</v>
      </c>
      <c r="K233" s="233" t="s">
        <v>250</v>
      </c>
    </row>
    <row r="234" spans="10:11" ht="15.75" x14ac:dyDescent="0.25">
      <c r="J234" s="250" t="s">
        <v>619</v>
      </c>
      <c r="K234" s="233" t="s">
        <v>671</v>
      </c>
    </row>
    <row r="235" spans="10:11" ht="15.75" x14ac:dyDescent="0.25">
      <c r="J235" s="250" t="s">
        <v>619</v>
      </c>
      <c r="K235" s="233" t="s">
        <v>252</v>
      </c>
    </row>
    <row r="236" spans="10:11" ht="15.75" x14ac:dyDescent="0.25">
      <c r="J236" s="250" t="s">
        <v>619</v>
      </c>
      <c r="K236" s="233" t="s">
        <v>253</v>
      </c>
    </row>
    <row r="237" spans="10:11" ht="15.75" x14ac:dyDescent="0.25">
      <c r="J237" s="250" t="s">
        <v>619</v>
      </c>
      <c r="K237" s="233" t="s">
        <v>251</v>
      </c>
    </row>
    <row r="238" spans="10:11" ht="15.75" x14ac:dyDescent="0.25">
      <c r="J238" s="250" t="s">
        <v>254</v>
      </c>
      <c r="K238" s="233" t="s">
        <v>672</v>
      </c>
    </row>
    <row r="239" spans="10:11" ht="15.75" x14ac:dyDescent="0.25">
      <c r="J239" s="250" t="s">
        <v>254</v>
      </c>
      <c r="K239" s="233" t="s">
        <v>256</v>
      </c>
    </row>
    <row r="240" spans="10:11" ht="15.75" x14ac:dyDescent="0.25">
      <c r="J240" s="250" t="s">
        <v>254</v>
      </c>
      <c r="K240" s="233" t="s">
        <v>257</v>
      </c>
    </row>
    <row r="241" spans="10:11" ht="15.75" x14ac:dyDescent="0.25">
      <c r="J241" s="250" t="s">
        <v>254</v>
      </c>
      <c r="K241" s="233" t="s">
        <v>673</v>
      </c>
    </row>
    <row r="242" spans="10:11" ht="15.75" x14ac:dyDescent="0.25">
      <c r="J242" s="250" t="s">
        <v>254</v>
      </c>
      <c r="K242" s="233" t="s">
        <v>264</v>
      </c>
    </row>
    <row r="243" spans="10:11" ht="15.75" x14ac:dyDescent="0.25">
      <c r="J243" s="250" t="s">
        <v>254</v>
      </c>
      <c r="K243" s="233" t="s">
        <v>259</v>
      </c>
    </row>
    <row r="244" spans="10:11" ht="15.75" x14ac:dyDescent="0.25">
      <c r="J244" s="250" t="s">
        <v>254</v>
      </c>
      <c r="K244" s="233" t="s">
        <v>674</v>
      </c>
    </row>
    <row r="245" spans="10:11" ht="15.75" x14ac:dyDescent="0.25">
      <c r="J245" s="250" t="s">
        <v>254</v>
      </c>
      <c r="K245" s="233" t="s">
        <v>260</v>
      </c>
    </row>
    <row r="246" spans="10:11" ht="15.75" x14ac:dyDescent="0.25">
      <c r="J246" s="250" t="s">
        <v>254</v>
      </c>
      <c r="K246" s="233" t="s">
        <v>675</v>
      </c>
    </row>
    <row r="247" spans="10:11" ht="15.75" x14ac:dyDescent="0.25">
      <c r="J247" s="250" t="s">
        <v>254</v>
      </c>
      <c r="K247" s="233" t="s">
        <v>261</v>
      </c>
    </row>
    <row r="248" spans="10:11" ht="15.75" x14ac:dyDescent="0.25">
      <c r="J248" s="250" t="s">
        <v>254</v>
      </c>
      <c r="K248" s="233" t="s">
        <v>262</v>
      </c>
    </row>
    <row r="249" spans="10:11" ht="15.75" x14ac:dyDescent="0.25">
      <c r="J249" s="250" t="s">
        <v>254</v>
      </c>
      <c r="K249" s="233" t="s">
        <v>676</v>
      </c>
    </row>
    <row r="250" spans="10:11" ht="15.75" x14ac:dyDescent="0.25">
      <c r="J250" s="250" t="s">
        <v>254</v>
      </c>
      <c r="K250" s="233" t="s">
        <v>1553</v>
      </c>
    </row>
    <row r="251" spans="10:11" ht="15.75" x14ac:dyDescent="0.25">
      <c r="J251" s="250" t="s">
        <v>254</v>
      </c>
      <c r="K251" s="233" t="s">
        <v>263</v>
      </c>
    </row>
    <row r="252" spans="10:11" ht="15.75" x14ac:dyDescent="0.25">
      <c r="J252" s="250" t="s">
        <v>254</v>
      </c>
      <c r="K252" s="233" t="s">
        <v>677</v>
      </c>
    </row>
    <row r="253" spans="10:11" ht="15.75" x14ac:dyDescent="0.25">
      <c r="J253" s="250" t="s">
        <v>254</v>
      </c>
      <c r="K253" s="233" t="s">
        <v>258</v>
      </c>
    </row>
    <row r="254" spans="10:11" ht="15.75" x14ac:dyDescent="0.25">
      <c r="J254" s="250" t="s">
        <v>265</v>
      </c>
      <c r="K254" s="233" t="s">
        <v>678</v>
      </c>
    </row>
    <row r="255" spans="10:11" ht="15.75" x14ac:dyDescent="0.25">
      <c r="J255" s="250" t="s">
        <v>265</v>
      </c>
      <c r="K255" s="233" t="s">
        <v>266</v>
      </c>
    </row>
    <row r="256" spans="10:11" ht="15.75" x14ac:dyDescent="0.25">
      <c r="J256" s="250" t="s">
        <v>267</v>
      </c>
      <c r="K256" s="233" t="s">
        <v>268</v>
      </c>
    </row>
    <row r="257" spans="10:11" ht="15.75" x14ac:dyDescent="0.25">
      <c r="J257" s="250" t="s">
        <v>620</v>
      </c>
      <c r="K257" s="233" t="s">
        <v>9</v>
      </c>
    </row>
    <row r="258" spans="10:11" ht="15.75" x14ac:dyDescent="0.25">
      <c r="J258" s="250" t="s">
        <v>620</v>
      </c>
      <c r="K258" s="233" t="s">
        <v>10</v>
      </c>
    </row>
    <row r="259" spans="10:11" ht="15.75" x14ac:dyDescent="0.25">
      <c r="J259" s="250" t="s">
        <v>620</v>
      </c>
      <c r="K259" s="233" t="s">
        <v>11</v>
      </c>
    </row>
    <row r="260" spans="10:11" ht="15.75" x14ac:dyDescent="0.25">
      <c r="J260" s="250" t="s">
        <v>620</v>
      </c>
      <c r="K260" s="233" t="s">
        <v>12</v>
      </c>
    </row>
    <row r="261" spans="10:11" ht="15.75" x14ac:dyDescent="0.25">
      <c r="J261" s="250" t="s">
        <v>269</v>
      </c>
      <c r="K261" s="233" t="s">
        <v>270</v>
      </c>
    </row>
    <row r="262" spans="10:11" ht="15.75" x14ac:dyDescent="0.25">
      <c r="J262" s="250" t="s">
        <v>269</v>
      </c>
      <c r="K262" s="233" t="s">
        <v>271</v>
      </c>
    </row>
    <row r="263" spans="10:11" ht="15.75" x14ac:dyDescent="0.25">
      <c r="J263" s="250" t="s">
        <v>269</v>
      </c>
      <c r="K263" s="233" t="s">
        <v>272</v>
      </c>
    </row>
    <row r="264" spans="10:11" ht="15.75" x14ac:dyDescent="0.25">
      <c r="J264" s="250" t="s">
        <v>269</v>
      </c>
      <c r="K264" s="233" t="s">
        <v>273</v>
      </c>
    </row>
    <row r="265" spans="10:11" ht="15.75" x14ac:dyDescent="0.25">
      <c r="J265" s="250" t="s">
        <v>269</v>
      </c>
      <c r="K265" s="233" t="s">
        <v>274</v>
      </c>
    </row>
    <row r="266" spans="10:11" ht="15.75" x14ac:dyDescent="0.25">
      <c r="J266" s="250" t="s">
        <v>275</v>
      </c>
      <c r="K266" s="233" t="s">
        <v>276</v>
      </c>
    </row>
    <row r="267" spans="10:11" ht="15.75" x14ac:dyDescent="0.25">
      <c r="J267" s="250" t="s">
        <v>275</v>
      </c>
      <c r="K267" s="233" t="s">
        <v>1552</v>
      </c>
    </row>
    <row r="268" spans="10:11" ht="15.75" x14ac:dyDescent="0.25">
      <c r="J268" s="250" t="s">
        <v>275</v>
      </c>
      <c r="K268" s="233" t="s">
        <v>277</v>
      </c>
    </row>
    <row r="269" spans="10:11" ht="15.75" x14ac:dyDescent="0.25">
      <c r="J269" s="250" t="s">
        <v>275</v>
      </c>
      <c r="K269" s="233" t="s">
        <v>279</v>
      </c>
    </row>
    <row r="270" spans="10:11" ht="15.75" x14ac:dyDescent="0.25">
      <c r="J270" s="250" t="s">
        <v>275</v>
      </c>
      <c r="K270" s="233" t="s">
        <v>280</v>
      </c>
    </row>
    <row r="271" spans="10:11" ht="15.75" x14ac:dyDescent="0.25">
      <c r="J271" s="250" t="s">
        <v>275</v>
      </c>
      <c r="K271" s="233" t="s">
        <v>281</v>
      </c>
    </row>
    <row r="272" spans="10:11" ht="15.75" x14ac:dyDescent="0.25">
      <c r="J272" s="250" t="s">
        <v>275</v>
      </c>
      <c r="K272" s="233" t="s">
        <v>679</v>
      </c>
    </row>
    <row r="273" spans="10:11" ht="15.75" x14ac:dyDescent="0.25">
      <c r="J273" s="250" t="s">
        <v>275</v>
      </c>
      <c r="K273" s="233" t="s">
        <v>680</v>
      </c>
    </row>
    <row r="274" spans="10:11" ht="15.75" x14ac:dyDescent="0.25">
      <c r="J274" s="250" t="s">
        <v>275</v>
      </c>
      <c r="K274" s="233" t="s">
        <v>282</v>
      </c>
    </row>
    <row r="275" spans="10:11" ht="15.75" x14ac:dyDescent="0.25">
      <c r="J275" s="250" t="s">
        <v>275</v>
      </c>
      <c r="K275" s="233" t="s">
        <v>278</v>
      </c>
    </row>
    <row r="276" spans="10:11" ht="15.75" x14ac:dyDescent="0.25">
      <c r="J276" s="250" t="s">
        <v>2</v>
      </c>
      <c r="K276" s="233" t="s">
        <v>283</v>
      </c>
    </row>
    <row r="277" spans="10:11" ht="15.75" x14ac:dyDescent="0.25">
      <c r="J277" s="250" t="s">
        <v>2</v>
      </c>
      <c r="K277" s="233" t="s">
        <v>284</v>
      </c>
    </row>
    <row r="278" spans="10:11" ht="15.75" x14ac:dyDescent="0.25">
      <c r="J278" s="250" t="s">
        <v>2</v>
      </c>
      <c r="K278" s="233" t="s">
        <v>94</v>
      </c>
    </row>
    <row r="279" spans="10:11" ht="15.75" x14ac:dyDescent="0.25">
      <c r="J279" s="250" t="s">
        <v>68</v>
      </c>
      <c r="K279" s="233" t="s">
        <v>69</v>
      </c>
    </row>
    <row r="280" spans="10:11" ht="15.75" x14ac:dyDescent="0.25">
      <c r="J280" s="250" t="s">
        <v>68</v>
      </c>
      <c r="K280" s="233" t="s">
        <v>70</v>
      </c>
    </row>
    <row r="281" spans="10:11" ht="15.75" x14ac:dyDescent="0.25">
      <c r="J281" s="250" t="s">
        <v>98</v>
      </c>
      <c r="K281" s="233" t="s">
        <v>99</v>
      </c>
    </row>
    <row r="282" spans="10:11" ht="15.75" x14ac:dyDescent="0.25">
      <c r="J282" s="250" t="s">
        <v>458</v>
      </c>
      <c r="K282" s="233" t="s">
        <v>285</v>
      </c>
    </row>
    <row r="283" spans="10:11" ht="15.75" x14ac:dyDescent="0.25">
      <c r="J283" s="250" t="s">
        <v>329</v>
      </c>
      <c r="K283" s="233" t="s">
        <v>330</v>
      </c>
    </row>
    <row r="284" spans="10:11" ht="15.75" x14ac:dyDescent="0.25">
      <c r="J284" s="250" t="s">
        <v>329</v>
      </c>
      <c r="K284" s="233" t="s">
        <v>331</v>
      </c>
    </row>
    <row r="285" spans="10:11" ht="15.75" x14ac:dyDescent="0.25">
      <c r="J285" s="250" t="s">
        <v>329</v>
      </c>
      <c r="K285" s="233" t="s">
        <v>332</v>
      </c>
    </row>
    <row r="286" spans="10:11" ht="15.75" x14ac:dyDescent="0.25">
      <c r="J286" s="250" t="s">
        <v>329</v>
      </c>
      <c r="K286" s="233" t="s">
        <v>333</v>
      </c>
    </row>
    <row r="287" spans="10:11" ht="15.75" x14ac:dyDescent="0.25">
      <c r="J287" s="250" t="s">
        <v>329</v>
      </c>
      <c r="K287" s="233" t="s">
        <v>334</v>
      </c>
    </row>
    <row r="288" spans="10:11" ht="15.75" x14ac:dyDescent="0.25">
      <c r="J288" s="250" t="s">
        <v>329</v>
      </c>
      <c r="K288" s="233" t="s">
        <v>681</v>
      </c>
    </row>
    <row r="289" spans="10:11" ht="15.75" x14ac:dyDescent="0.25">
      <c r="J289" s="250" t="s">
        <v>329</v>
      </c>
      <c r="K289" s="233" t="s">
        <v>335</v>
      </c>
    </row>
    <row r="290" spans="10:11" ht="15.75" x14ac:dyDescent="0.25">
      <c r="J290" s="250" t="s">
        <v>145</v>
      </c>
      <c r="K290" s="233" t="s">
        <v>153</v>
      </c>
    </row>
    <row r="291" spans="10:11" ht="15.75" x14ac:dyDescent="0.25">
      <c r="J291" s="250" t="s">
        <v>145</v>
      </c>
      <c r="K291" s="233" t="s">
        <v>154</v>
      </c>
    </row>
    <row r="292" spans="10:11" ht="15.75" x14ac:dyDescent="0.25">
      <c r="J292" s="250" t="s">
        <v>145</v>
      </c>
      <c r="K292" s="233" t="s">
        <v>682</v>
      </c>
    </row>
    <row r="293" spans="10:11" ht="15.75" x14ac:dyDescent="0.25">
      <c r="J293" s="250" t="s">
        <v>145</v>
      </c>
      <c r="K293" s="233" t="s">
        <v>147</v>
      </c>
    </row>
    <row r="294" spans="10:11" ht="15.75" x14ac:dyDescent="0.25">
      <c r="J294" s="250" t="s">
        <v>145</v>
      </c>
      <c r="K294" s="233" t="s">
        <v>146</v>
      </c>
    </row>
    <row r="295" spans="10:11" ht="15.75" x14ac:dyDescent="0.25">
      <c r="J295" s="250" t="s">
        <v>145</v>
      </c>
      <c r="K295" s="233" t="s">
        <v>148</v>
      </c>
    </row>
    <row r="296" spans="10:11" ht="15.75" x14ac:dyDescent="0.25">
      <c r="J296" s="250" t="s">
        <v>145</v>
      </c>
      <c r="K296" s="233" t="s">
        <v>683</v>
      </c>
    </row>
    <row r="297" spans="10:11" ht="15.75" x14ac:dyDescent="0.25">
      <c r="J297" s="250" t="s">
        <v>145</v>
      </c>
      <c r="K297" s="233" t="s">
        <v>152</v>
      </c>
    </row>
    <row r="298" spans="10:11" ht="15.75" x14ac:dyDescent="0.25">
      <c r="J298" s="250" t="s">
        <v>145</v>
      </c>
      <c r="K298" s="233" t="s">
        <v>151</v>
      </c>
    </row>
    <row r="299" spans="10:11" ht="15.75" x14ac:dyDescent="0.25">
      <c r="J299" s="250" t="s">
        <v>145</v>
      </c>
      <c r="K299" s="233" t="s">
        <v>150</v>
      </c>
    </row>
    <row r="300" spans="10:11" ht="15.75" x14ac:dyDescent="0.25">
      <c r="J300" s="250" t="s">
        <v>145</v>
      </c>
      <c r="K300" s="233" t="s">
        <v>149</v>
      </c>
    </row>
    <row r="301" spans="10:11" ht="15.75" x14ac:dyDescent="0.25">
      <c r="J301" s="250" t="s">
        <v>197</v>
      </c>
      <c r="K301" s="233" t="s">
        <v>198</v>
      </c>
    </row>
    <row r="302" spans="10:11" ht="15.75" x14ac:dyDescent="0.25">
      <c r="J302" s="250" t="s">
        <v>288</v>
      </c>
      <c r="K302" s="233" t="s">
        <v>289</v>
      </c>
    </row>
    <row r="303" spans="10:11" ht="15.75" x14ac:dyDescent="0.25">
      <c r="J303" s="250" t="s">
        <v>336</v>
      </c>
      <c r="K303" s="233" t="s">
        <v>337</v>
      </c>
    </row>
    <row r="304" spans="10:11" ht="15.75" x14ac:dyDescent="0.25">
      <c r="J304" s="250" t="s">
        <v>336</v>
      </c>
      <c r="K304" s="233" t="s">
        <v>338</v>
      </c>
    </row>
    <row r="305" spans="10:11" ht="15.75" x14ac:dyDescent="0.25">
      <c r="J305" s="250" t="s">
        <v>336</v>
      </c>
      <c r="K305" s="233" t="s">
        <v>339</v>
      </c>
    </row>
    <row r="306" spans="10:11" ht="15.75" x14ac:dyDescent="0.25">
      <c r="J306" s="250" t="s">
        <v>336</v>
      </c>
      <c r="K306" s="233" t="s">
        <v>340</v>
      </c>
    </row>
    <row r="307" spans="10:11" ht="15.75" x14ac:dyDescent="0.25">
      <c r="J307" s="250" t="s">
        <v>336</v>
      </c>
      <c r="K307" s="233" t="s">
        <v>341</v>
      </c>
    </row>
    <row r="308" spans="10:11" ht="15.75" x14ac:dyDescent="0.25">
      <c r="J308" s="250" t="s">
        <v>336</v>
      </c>
      <c r="K308" s="233" t="s">
        <v>342</v>
      </c>
    </row>
    <row r="309" spans="10:11" ht="15.75" x14ac:dyDescent="0.25">
      <c r="J309" s="250" t="s">
        <v>336</v>
      </c>
      <c r="K309" s="233" t="s">
        <v>374</v>
      </c>
    </row>
    <row r="310" spans="10:11" ht="15.75" x14ac:dyDescent="0.25">
      <c r="J310" s="250" t="s">
        <v>336</v>
      </c>
      <c r="K310" s="233" t="s">
        <v>375</v>
      </c>
    </row>
    <row r="311" spans="10:11" ht="15.75" x14ac:dyDescent="0.25">
      <c r="J311" s="250" t="s">
        <v>336</v>
      </c>
      <c r="K311" s="233" t="s">
        <v>376</v>
      </c>
    </row>
    <row r="312" spans="10:11" ht="15.75" x14ac:dyDescent="0.25">
      <c r="J312" s="250" t="s">
        <v>336</v>
      </c>
      <c r="K312" s="233" t="s">
        <v>377</v>
      </c>
    </row>
    <row r="313" spans="10:11" ht="15.75" x14ac:dyDescent="0.25">
      <c r="J313" s="250" t="s">
        <v>336</v>
      </c>
      <c r="K313" s="233" t="s">
        <v>346</v>
      </c>
    </row>
    <row r="314" spans="10:11" ht="15.75" x14ac:dyDescent="0.25">
      <c r="J314" s="250" t="s">
        <v>336</v>
      </c>
      <c r="K314" s="233" t="s">
        <v>347</v>
      </c>
    </row>
    <row r="315" spans="10:11" ht="15.75" x14ac:dyDescent="0.25">
      <c r="J315" s="250" t="s">
        <v>336</v>
      </c>
      <c r="K315" s="233" t="s">
        <v>348</v>
      </c>
    </row>
    <row r="316" spans="10:11" ht="15.75" x14ac:dyDescent="0.25">
      <c r="J316" s="250" t="s">
        <v>336</v>
      </c>
      <c r="K316" s="233" t="s">
        <v>345</v>
      </c>
    </row>
    <row r="317" spans="10:11" ht="15.75" x14ac:dyDescent="0.25">
      <c r="J317" s="250" t="s">
        <v>336</v>
      </c>
      <c r="K317" s="233" t="s">
        <v>349</v>
      </c>
    </row>
    <row r="318" spans="10:11" ht="15.75" x14ac:dyDescent="0.25">
      <c r="J318" s="250" t="s">
        <v>336</v>
      </c>
      <c r="K318" s="233" t="s">
        <v>379</v>
      </c>
    </row>
    <row r="319" spans="10:11" ht="15.75" x14ac:dyDescent="0.25">
      <c r="J319" s="250" t="s">
        <v>336</v>
      </c>
      <c r="K319" s="233" t="s">
        <v>380</v>
      </c>
    </row>
    <row r="320" spans="10:11" ht="15.75" x14ac:dyDescent="0.25">
      <c r="J320" s="250" t="s">
        <v>336</v>
      </c>
      <c r="K320" s="233" t="s">
        <v>350</v>
      </c>
    </row>
    <row r="321" spans="10:11" ht="15.75" x14ac:dyDescent="0.25">
      <c r="J321" s="250" t="s">
        <v>336</v>
      </c>
      <c r="K321" s="233" t="s">
        <v>684</v>
      </c>
    </row>
    <row r="322" spans="10:11" ht="15.75" x14ac:dyDescent="0.25">
      <c r="J322" s="250" t="s">
        <v>336</v>
      </c>
      <c r="K322" s="233" t="s">
        <v>685</v>
      </c>
    </row>
    <row r="323" spans="10:11" ht="15.75" x14ac:dyDescent="0.25">
      <c r="J323" s="250" t="s">
        <v>336</v>
      </c>
      <c r="K323" s="233" t="s">
        <v>351</v>
      </c>
    </row>
    <row r="324" spans="10:11" ht="15.75" x14ac:dyDescent="0.25">
      <c r="J324" s="250" t="s">
        <v>336</v>
      </c>
      <c r="K324" s="233" t="s">
        <v>352</v>
      </c>
    </row>
    <row r="325" spans="10:11" ht="15.75" x14ac:dyDescent="0.25">
      <c r="J325" s="250" t="s">
        <v>336</v>
      </c>
      <c r="K325" s="233" t="s">
        <v>353</v>
      </c>
    </row>
    <row r="326" spans="10:11" ht="15.75" x14ac:dyDescent="0.25">
      <c r="J326" s="250" t="s">
        <v>336</v>
      </c>
      <c r="K326" s="233" t="s">
        <v>354</v>
      </c>
    </row>
    <row r="327" spans="10:11" ht="15.75" x14ac:dyDescent="0.25">
      <c r="J327" s="250" t="s">
        <v>336</v>
      </c>
      <c r="K327" s="233" t="s">
        <v>355</v>
      </c>
    </row>
    <row r="328" spans="10:11" ht="15.75" x14ac:dyDescent="0.25">
      <c r="J328" s="250" t="s">
        <v>336</v>
      </c>
      <c r="K328" s="233" t="s">
        <v>356</v>
      </c>
    </row>
    <row r="329" spans="10:11" ht="15.75" x14ac:dyDescent="0.25">
      <c r="J329" s="250" t="s">
        <v>336</v>
      </c>
      <c r="K329" s="233" t="s">
        <v>359</v>
      </c>
    </row>
    <row r="330" spans="10:11" ht="15.75" x14ac:dyDescent="0.25">
      <c r="J330" s="250" t="s">
        <v>336</v>
      </c>
      <c r="K330" s="233" t="s">
        <v>357</v>
      </c>
    </row>
    <row r="331" spans="10:11" ht="15.75" x14ac:dyDescent="0.25">
      <c r="J331" s="250" t="s">
        <v>336</v>
      </c>
      <c r="K331" s="233" t="s">
        <v>358</v>
      </c>
    </row>
    <row r="332" spans="10:11" ht="15.75" x14ac:dyDescent="0.25">
      <c r="J332" s="250" t="s">
        <v>336</v>
      </c>
      <c r="K332" s="233" t="s">
        <v>686</v>
      </c>
    </row>
    <row r="333" spans="10:11" ht="15.75" x14ac:dyDescent="0.25">
      <c r="J333" s="250" t="s">
        <v>336</v>
      </c>
      <c r="K333" s="233" t="s">
        <v>360</v>
      </c>
    </row>
    <row r="334" spans="10:11" ht="15.75" x14ac:dyDescent="0.25">
      <c r="J334" s="250" t="s">
        <v>336</v>
      </c>
      <c r="K334" s="233" t="s">
        <v>361</v>
      </c>
    </row>
    <row r="335" spans="10:11" ht="15.75" x14ac:dyDescent="0.25">
      <c r="J335" s="250" t="s">
        <v>336</v>
      </c>
      <c r="K335" s="233" t="s">
        <v>363</v>
      </c>
    </row>
    <row r="336" spans="10:11" ht="15.75" x14ac:dyDescent="0.25">
      <c r="J336" s="250" t="s">
        <v>336</v>
      </c>
      <c r="K336" s="233" t="s">
        <v>365</v>
      </c>
    </row>
    <row r="337" spans="10:11" ht="15.75" x14ac:dyDescent="0.25">
      <c r="J337" s="250" t="s">
        <v>336</v>
      </c>
      <c r="K337" s="233" t="s">
        <v>364</v>
      </c>
    </row>
    <row r="338" spans="10:11" ht="15.75" x14ac:dyDescent="0.25">
      <c r="J338" s="250" t="s">
        <v>336</v>
      </c>
      <c r="K338" s="233" t="s">
        <v>366</v>
      </c>
    </row>
    <row r="339" spans="10:11" ht="15.75" x14ac:dyDescent="0.25">
      <c r="J339" s="250" t="s">
        <v>336</v>
      </c>
      <c r="K339" s="233" t="s">
        <v>687</v>
      </c>
    </row>
    <row r="340" spans="10:11" ht="15.75" x14ac:dyDescent="0.25">
      <c r="J340" s="250" t="s">
        <v>336</v>
      </c>
      <c r="K340" s="233" t="s">
        <v>367</v>
      </c>
    </row>
    <row r="341" spans="10:11" ht="15.75" x14ac:dyDescent="0.25">
      <c r="J341" s="250" t="s">
        <v>336</v>
      </c>
      <c r="K341" s="233" t="s">
        <v>368</v>
      </c>
    </row>
    <row r="342" spans="10:11" ht="15.75" x14ac:dyDescent="0.25">
      <c r="J342" s="250" t="s">
        <v>336</v>
      </c>
      <c r="K342" s="233" t="s">
        <v>369</v>
      </c>
    </row>
    <row r="343" spans="10:11" ht="15.75" x14ac:dyDescent="0.25">
      <c r="J343" s="250" t="s">
        <v>336</v>
      </c>
      <c r="K343" s="233" t="s">
        <v>688</v>
      </c>
    </row>
    <row r="344" spans="10:11" ht="15.75" x14ac:dyDescent="0.25">
      <c r="J344" s="250" t="s">
        <v>336</v>
      </c>
      <c r="K344" s="233" t="s">
        <v>370</v>
      </c>
    </row>
    <row r="345" spans="10:11" ht="15.75" x14ac:dyDescent="0.25">
      <c r="J345" s="250" t="s">
        <v>336</v>
      </c>
      <c r="K345" s="233" t="s">
        <v>371</v>
      </c>
    </row>
    <row r="346" spans="10:11" ht="15.75" x14ac:dyDescent="0.25">
      <c r="J346" s="250" t="s">
        <v>336</v>
      </c>
      <c r="K346" s="233" t="s">
        <v>372</v>
      </c>
    </row>
    <row r="347" spans="10:11" ht="15.75" x14ac:dyDescent="0.25">
      <c r="J347" s="250" t="s">
        <v>336</v>
      </c>
      <c r="K347" s="233" t="s">
        <v>373</v>
      </c>
    </row>
    <row r="348" spans="10:11" ht="15.75" x14ac:dyDescent="0.25">
      <c r="J348" s="250" t="s">
        <v>336</v>
      </c>
      <c r="K348" s="233" t="s">
        <v>343</v>
      </c>
    </row>
    <row r="349" spans="10:11" ht="15.75" x14ac:dyDescent="0.25">
      <c r="J349" s="250" t="s">
        <v>336</v>
      </c>
      <c r="K349" s="233" t="s">
        <v>344</v>
      </c>
    </row>
    <row r="350" spans="10:11" ht="15.75" x14ac:dyDescent="0.25">
      <c r="J350" s="250" t="s">
        <v>336</v>
      </c>
      <c r="K350" s="233" t="s">
        <v>362</v>
      </c>
    </row>
    <row r="351" spans="10:11" ht="15.75" x14ac:dyDescent="0.25">
      <c r="J351" s="250" t="s">
        <v>336</v>
      </c>
      <c r="K351" s="233" t="s">
        <v>689</v>
      </c>
    </row>
    <row r="352" spans="10:11" ht="15.75" x14ac:dyDescent="0.25">
      <c r="J352" s="250" t="s">
        <v>336</v>
      </c>
      <c r="K352" s="233" t="s">
        <v>378</v>
      </c>
    </row>
    <row r="353" spans="10:11" ht="15.75" x14ac:dyDescent="0.25">
      <c r="J353" s="250" t="s">
        <v>621</v>
      </c>
      <c r="K353" s="233" t="s">
        <v>290</v>
      </c>
    </row>
    <row r="354" spans="10:11" ht="15.75" x14ac:dyDescent="0.25">
      <c r="J354" s="250" t="s">
        <v>381</v>
      </c>
      <c r="K354" s="233" t="s">
        <v>382</v>
      </c>
    </row>
    <row r="355" spans="10:11" ht="15.75" x14ac:dyDescent="0.25">
      <c r="J355" s="250" t="s">
        <v>381</v>
      </c>
      <c r="K355" s="233" t="s">
        <v>383</v>
      </c>
    </row>
    <row r="356" spans="10:11" ht="15.75" x14ac:dyDescent="0.25">
      <c r="J356" s="250" t="s">
        <v>381</v>
      </c>
      <c r="K356" s="233" t="s">
        <v>384</v>
      </c>
    </row>
    <row r="357" spans="10:11" ht="15.75" x14ac:dyDescent="0.25">
      <c r="J357" s="250" t="s">
        <v>622</v>
      </c>
      <c r="K357" s="233" t="s">
        <v>391</v>
      </c>
    </row>
    <row r="358" spans="10:11" ht="15.75" x14ac:dyDescent="0.25">
      <c r="J358" s="250" t="s">
        <v>623</v>
      </c>
      <c r="K358" s="233" t="s">
        <v>286</v>
      </c>
    </row>
    <row r="359" spans="10:11" ht="15.75" x14ac:dyDescent="0.25">
      <c r="J359" s="250" t="s">
        <v>623</v>
      </c>
      <c r="K359" s="233" t="s">
        <v>287</v>
      </c>
    </row>
    <row r="360" spans="10:11" ht="15.75" x14ac:dyDescent="0.25">
      <c r="J360" s="250" t="s">
        <v>291</v>
      </c>
      <c r="K360" s="233" t="s">
        <v>292</v>
      </c>
    </row>
    <row r="361" spans="10:11" ht="15.75" x14ac:dyDescent="0.25">
      <c r="J361" s="250" t="s">
        <v>291</v>
      </c>
      <c r="K361" s="233" t="s">
        <v>690</v>
      </c>
    </row>
    <row r="362" spans="10:11" ht="15.75" x14ac:dyDescent="0.25">
      <c r="J362" s="250" t="s">
        <v>291</v>
      </c>
      <c r="K362" s="233" t="s">
        <v>1519</v>
      </c>
    </row>
    <row r="363" spans="10:11" ht="15.75" x14ac:dyDescent="0.25">
      <c r="J363" s="250" t="s">
        <v>294</v>
      </c>
      <c r="K363" s="233" t="s">
        <v>295</v>
      </c>
    </row>
    <row r="364" spans="10:11" ht="15.75" x14ac:dyDescent="0.25">
      <c r="J364" s="250" t="s">
        <v>307</v>
      </c>
      <c r="K364" s="233" t="s">
        <v>308</v>
      </c>
    </row>
    <row r="365" spans="10:11" ht="15.75" x14ac:dyDescent="0.25">
      <c r="J365" s="250" t="s">
        <v>624</v>
      </c>
      <c r="K365" s="233" t="s">
        <v>691</v>
      </c>
    </row>
    <row r="366" spans="10:11" ht="15.75" x14ac:dyDescent="0.25">
      <c r="J366" s="250" t="s">
        <v>249</v>
      </c>
      <c r="K366" s="233" t="s">
        <v>309</v>
      </c>
    </row>
    <row r="367" spans="10:11" ht="15.75" x14ac:dyDescent="0.25">
      <c r="J367" s="250" t="s">
        <v>249</v>
      </c>
      <c r="K367" s="250" t="s">
        <v>310</v>
      </c>
    </row>
    <row r="368" spans="10:11" ht="15.75" x14ac:dyDescent="0.25">
      <c r="J368" s="250" t="s">
        <v>249</v>
      </c>
      <c r="K368" s="233" t="s">
        <v>311</v>
      </c>
    </row>
    <row r="369" spans="10:11" ht="15.75" x14ac:dyDescent="0.25">
      <c r="J369" s="250" t="s">
        <v>296</v>
      </c>
      <c r="K369" s="233" t="s">
        <v>692</v>
      </c>
    </row>
    <row r="370" spans="10:11" ht="15.75" x14ac:dyDescent="0.25">
      <c r="J370" s="250" t="s">
        <v>296</v>
      </c>
      <c r="K370" s="233" t="s">
        <v>297</v>
      </c>
    </row>
    <row r="371" spans="10:11" ht="15.75" x14ac:dyDescent="0.25">
      <c r="J371" s="250" t="s">
        <v>296</v>
      </c>
      <c r="K371" s="233" t="s">
        <v>298</v>
      </c>
    </row>
    <row r="372" spans="10:11" ht="15.75" x14ac:dyDescent="0.25">
      <c r="J372" s="250" t="s">
        <v>296</v>
      </c>
      <c r="K372" s="233" t="s">
        <v>299</v>
      </c>
    </row>
    <row r="373" spans="10:11" ht="15.75" x14ac:dyDescent="0.25">
      <c r="J373" s="250" t="s">
        <v>296</v>
      </c>
      <c r="K373" s="233" t="s">
        <v>300</v>
      </c>
    </row>
    <row r="374" spans="10:11" ht="15.75" x14ac:dyDescent="0.25">
      <c r="J374" s="250" t="s">
        <v>296</v>
      </c>
      <c r="K374" s="233" t="s">
        <v>301</v>
      </c>
    </row>
    <row r="375" spans="10:11" ht="15.75" x14ac:dyDescent="0.25">
      <c r="J375" s="250" t="s">
        <v>296</v>
      </c>
      <c r="K375" s="233" t="s">
        <v>302</v>
      </c>
    </row>
    <row r="376" spans="10:11" ht="15.75" x14ac:dyDescent="0.25">
      <c r="J376" s="250" t="s">
        <v>296</v>
      </c>
      <c r="K376" s="233" t="s">
        <v>303</v>
      </c>
    </row>
    <row r="377" spans="10:11" ht="15.75" x14ac:dyDescent="0.25">
      <c r="J377" s="250" t="s">
        <v>296</v>
      </c>
      <c r="K377" s="233" t="s">
        <v>304</v>
      </c>
    </row>
    <row r="378" spans="10:11" ht="15.75" x14ac:dyDescent="0.25">
      <c r="J378" s="250" t="s">
        <v>296</v>
      </c>
      <c r="K378" s="233" t="s">
        <v>305</v>
      </c>
    </row>
    <row r="379" spans="10:11" ht="15.75" x14ac:dyDescent="0.25">
      <c r="J379" s="250" t="s">
        <v>296</v>
      </c>
      <c r="K379" s="233" t="s">
        <v>306</v>
      </c>
    </row>
    <row r="380" spans="10:11" ht="15.75" x14ac:dyDescent="0.25">
      <c r="J380" s="250" t="s">
        <v>296</v>
      </c>
      <c r="K380" s="233" t="s">
        <v>693</v>
      </c>
    </row>
    <row r="381" spans="10:11" ht="15.75" x14ac:dyDescent="0.25">
      <c r="J381" s="250" t="s">
        <v>296</v>
      </c>
      <c r="K381" s="233" t="s">
        <v>694</v>
      </c>
    </row>
    <row r="382" spans="10:11" ht="15.75" x14ac:dyDescent="0.25">
      <c r="J382" s="250" t="s">
        <v>296</v>
      </c>
      <c r="K382" s="233" t="s">
        <v>695</v>
      </c>
    </row>
    <row r="383" spans="10:11" ht="15.75" x14ac:dyDescent="0.25">
      <c r="J383" s="250" t="s">
        <v>296</v>
      </c>
      <c r="K383" s="233" t="s">
        <v>696</v>
      </c>
    </row>
    <row r="384" spans="10:11" ht="15.75" x14ac:dyDescent="0.25">
      <c r="J384" s="250" t="s">
        <v>320</v>
      </c>
      <c r="K384" s="233" t="s">
        <v>324</v>
      </c>
    </row>
    <row r="385" spans="10:11" ht="15.75" x14ac:dyDescent="0.25">
      <c r="J385" s="250" t="s">
        <v>320</v>
      </c>
      <c r="K385" s="233" t="s">
        <v>325</v>
      </c>
    </row>
    <row r="386" spans="10:11" ht="15.75" x14ac:dyDescent="0.25">
      <c r="J386" s="250" t="s">
        <v>320</v>
      </c>
      <c r="K386" s="233" t="s">
        <v>321</v>
      </c>
    </row>
    <row r="387" spans="10:11" ht="15.75" x14ac:dyDescent="0.25">
      <c r="J387" s="250" t="s">
        <v>320</v>
      </c>
      <c r="K387" s="233" t="s">
        <v>322</v>
      </c>
    </row>
    <row r="388" spans="10:11" ht="15.75" x14ac:dyDescent="0.25">
      <c r="J388" s="250" t="s">
        <v>320</v>
      </c>
      <c r="K388" s="233" t="s">
        <v>323</v>
      </c>
    </row>
    <row r="389" spans="10:11" ht="15.75" x14ac:dyDescent="0.25">
      <c r="J389" s="250" t="s">
        <v>320</v>
      </c>
      <c r="K389" s="233" t="s">
        <v>697</v>
      </c>
    </row>
    <row r="390" spans="10:11" ht="15.75" x14ac:dyDescent="0.25">
      <c r="J390" s="250" t="s">
        <v>312</v>
      </c>
      <c r="K390" s="233" t="s">
        <v>141</v>
      </c>
    </row>
    <row r="391" spans="10:11" ht="15.75" x14ac:dyDescent="0.25">
      <c r="J391" s="250" t="s">
        <v>312</v>
      </c>
      <c r="K391" s="233" t="s">
        <v>313</v>
      </c>
    </row>
    <row r="392" spans="10:11" ht="15.75" x14ac:dyDescent="0.25">
      <c r="J392" s="250" t="s">
        <v>314</v>
      </c>
      <c r="K392" s="233" t="s">
        <v>315</v>
      </c>
    </row>
    <row r="393" spans="10:11" ht="15.75" x14ac:dyDescent="0.25">
      <c r="J393" s="250" t="s">
        <v>314</v>
      </c>
      <c r="K393" s="233" t="s">
        <v>316</v>
      </c>
    </row>
    <row r="394" spans="10:11" ht="15.75" x14ac:dyDescent="0.25">
      <c r="J394" s="250" t="s">
        <v>314</v>
      </c>
      <c r="K394" s="233" t="s">
        <v>317</v>
      </c>
    </row>
    <row r="395" spans="10:11" ht="15.75" x14ac:dyDescent="0.25">
      <c r="J395" s="250" t="s">
        <v>314</v>
      </c>
      <c r="K395" s="233" t="s">
        <v>318</v>
      </c>
    </row>
    <row r="396" spans="10:11" ht="15.75" x14ac:dyDescent="0.25">
      <c r="J396" s="250" t="s">
        <v>314</v>
      </c>
      <c r="K396" s="233" t="s">
        <v>319</v>
      </c>
    </row>
    <row r="397" spans="10:11" ht="15.75" x14ac:dyDescent="0.25">
      <c r="J397" s="250" t="s">
        <v>326</v>
      </c>
      <c r="K397" s="233" t="s">
        <v>327</v>
      </c>
    </row>
    <row r="398" spans="10:11" ht="15.75" x14ac:dyDescent="0.25">
      <c r="J398" s="250" t="s">
        <v>392</v>
      </c>
      <c r="K398" s="233" t="s">
        <v>393</v>
      </c>
    </row>
    <row r="399" spans="10:11" ht="15.75" x14ac:dyDescent="0.25">
      <c r="J399" s="250" t="s">
        <v>392</v>
      </c>
      <c r="K399" s="233" t="s">
        <v>394</v>
      </c>
    </row>
    <row r="400" spans="10:11" ht="15.75" x14ac:dyDescent="0.25">
      <c r="J400" s="250" t="s">
        <v>392</v>
      </c>
      <c r="K400" s="233" t="s">
        <v>395</v>
      </c>
    </row>
    <row r="401" spans="10:11" ht="15.75" x14ac:dyDescent="0.25">
      <c r="J401" s="250" t="s">
        <v>55</v>
      </c>
      <c r="K401" s="233" t="s">
        <v>698</v>
      </c>
    </row>
    <row r="402" spans="10:11" ht="15.75" x14ac:dyDescent="0.25">
      <c r="J402" s="250" t="s">
        <v>55</v>
      </c>
      <c r="K402" s="233" t="s">
        <v>385</v>
      </c>
    </row>
    <row r="403" spans="10:11" ht="15.75" x14ac:dyDescent="0.25">
      <c r="J403" s="250" t="s">
        <v>55</v>
      </c>
      <c r="K403" s="233" t="s">
        <v>386</v>
      </c>
    </row>
    <row r="404" spans="10:11" ht="15.75" x14ac:dyDescent="0.25">
      <c r="J404" s="250" t="s">
        <v>55</v>
      </c>
      <c r="K404" s="233" t="s">
        <v>387</v>
      </c>
    </row>
    <row r="405" spans="10:11" ht="15.75" x14ac:dyDescent="0.25">
      <c r="J405" s="250" t="s">
        <v>55</v>
      </c>
      <c r="K405" s="233" t="s">
        <v>388</v>
      </c>
    </row>
    <row r="406" spans="10:11" ht="15.75" x14ac:dyDescent="0.25">
      <c r="J406" s="250" t="s">
        <v>389</v>
      </c>
      <c r="K406" s="233" t="s">
        <v>390</v>
      </c>
    </row>
    <row r="407" spans="10:11" ht="15.75" x14ac:dyDescent="0.25">
      <c r="J407" s="250" t="s">
        <v>396</v>
      </c>
      <c r="K407" s="233" t="s">
        <v>699</v>
      </c>
    </row>
    <row r="408" spans="10:11" ht="15.75" x14ac:dyDescent="0.25">
      <c r="J408" s="250" t="s">
        <v>396</v>
      </c>
      <c r="K408" s="233" t="s">
        <v>397</v>
      </c>
    </row>
    <row r="409" spans="10:11" ht="15.75" x14ac:dyDescent="0.25">
      <c r="J409" s="250" t="s">
        <v>396</v>
      </c>
      <c r="K409" s="233" t="s">
        <v>398</v>
      </c>
    </row>
    <row r="410" spans="10:11" ht="15.75" x14ac:dyDescent="0.25">
      <c r="J410" s="250" t="s">
        <v>396</v>
      </c>
      <c r="K410" s="233" t="s">
        <v>399</v>
      </c>
    </row>
    <row r="411" spans="10:11" ht="15.75" x14ac:dyDescent="0.25">
      <c r="J411" s="250" t="s">
        <v>396</v>
      </c>
      <c r="K411" s="233" t="s">
        <v>400</v>
      </c>
    </row>
    <row r="412" spans="10:11" ht="15.75" x14ac:dyDescent="0.25">
      <c r="J412" s="250" t="s">
        <v>396</v>
      </c>
      <c r="K412" s="233" t="s">
        <v>1520</v>
      </c>
    </row>
    <row r="413" spans="10:11" ht="15.75" x14ac:dyDescent="0.25">
      <c r="J413" s="250" t="s">
        <v>396</v>
      </c>
      <c r="K413" s="233" t="s">
        <v>401</v>
      </c>
    </row>
    <row r="414" spans="10:11" ht="15.75" x14ac:dyDescent="0.25">
      <c r="J414" s="250" t="s">
        <v>396</v>
      </c>
      <c r="K414" s="233" t="s">
        <v>402</v>
      </c>
    </row>
    <row r="415" spans="10:11" ht="15.75" x14ac:dyDescent="0.25">
      <c r="J415" s="250" t="s">
        <v>625</v>
      </c>
      <c r="K415" s="233" t="s">
        <v>403</v>
      </c>
    </row>
    <row r="416" spans="10:11" ht="15.75" x14ac:dyDescent="0.25">
      <c r="J416" s="250" t="s">
        <v>625</v>
      </c>
      <c r="K416" s="233" t="s">
        <v>404</v>
      </c>
    </row>
    <row r="417" spans="10:11" ht="15.75" x14ac:dyDescent="0.25">
      <c r="J417" s="250" t="s">
        <v>625</v>
      </c>
      <c r="K417" s="233" t="s">
        <v>405</v>
      </c>
    </row>
    <row r="418" spans="10:11" ht="15.75" x14ac:dyDescent="0.25">
      <c r="J418" s="250" t="s">
        <v>406</v>
      </c>
      <c r="K418" s="233" t="s">
        <v>407</v>
      </c>
    </row>
    <row r="419" spans="10:11" ht="15.75" x14ac:dyDescent="0.25">
      <c r="J419" s="250" t="s">
        <v>406</v>
      </c>
      <c r="K419" s="233" t="s">
        <v>408</v>
      </c>
    </row>
    <row r="420" spans="10:11" ht="15.75" x14ac:dyDescent="0.25">
      <c r="J420" s="250" t="s">
        <v>121</v>
      </c>
      <c r="K420" s="233" t="s">
        <v>122</v>
      </c>
    </row>
    <row r="421" spans="10:11" ht="15.75" x14ac:dyDescent="0.25">
      <c r="J421" s="250" t="s">
        <v>121</v>
      </c>
      <c r="K421" s="233" t="s">
        <v>123</v>
      </c>
    </row>
    <row r="422" spans="10:11" ht="15.75" x14ac:dyDescent="0.25">
      <c r="J422" s="250" t="s">
        <v>121</v>
      </c>
      <c r="K422" s="233" t="s">
        <v>124</v>
      </c>
    </row>
    <row r="423" spans="10:11" ht="15.75" x14ac:dyDescent="0.25">
      <c r="J423" s="250" t="s">
        <v>121</v>
      </c>
      <c r="K423" s="233" t="s">
        <v>125</v>
      </c>
    </row>
    <row r="424" spans="10:11" ht="15.75" x14ac:dyDescent="0.25">
      <c r="J424" s="250" t="s">
        <v>121</v>
      </c>
      <c r="K424" s="233" t="s">
        <v>700</v>
      </c>
    </row>
    <row r="425" spans="10:11" ht="15.75" x14ac:dyDescent="0.25">
      <c r="J425" s="250" t="s">
        <v>121</v>
      </c>
      <c r="K425" s="233" t="s">
        <v>131</v>
      </c>
    </row>
    <row r="426" spans="10:11" ht="15.75" x14ac:dyDescent="0.25">
      <c r="J426" s="250" t="s">
        <v>121</v>
      </c>
      <c r="K426" s="233" t="s">
        <v>130</v>
      </c>
    </row>
    <row r="427" spans="10:11" ht="15.75" x14ac:dyDescent="0.25">
      <c r="J427" s="250" t="s">
        <v>121</v>
      </c>
      <c r="K427" s="233" t="s">
        <v>127</v>
      </c>
    </row>
    <row r="428" spans="10:11" ht="15.75" x14ac:dyDescent="0.25">
      <c r="J428" s="250" t="s">
        <v>121</v>
      </c>
      <c r="K428" s="233" t="s">
        <v>128</v>
      </c>
    </row>
    <row r="429" spans="10:11" ht="15.75" x14ac:dyDescent="0.25">
      <c r="J429" s="250" t="s">
        <v>121</v>
      </c>
      <c r="K429" s="233" t="s">
        <v>701</v>
      </c>
    </row>
    <row r="430" spans="10:11" ht="15.75" x14ac:dyDescent="0.25">
      <c r="J430" s="250" t="s">
        <v>121</v>
      </c>
      <c r="K430" s="233" t="s">
        <v>132</v>
      </c>
    </row>
    <row r="431" spans="10:11" ht="15.75" x14ac:dyDescent="0.25">
      <c r="J431" s="250" t="s">
        <v>121</v>
      </c>
      <c r="K431" s="233" t="s">
        <v>134</v>
      </c>
    </row>
    <row r="432" spans="10:11" ht="15.75" x14ac:dyDescent="0.25">
      <c r="J432" s="250" t="s">
        <v>121</v>
      </c>
      <c r="K432" s="233" t="s">
        <v>135</v>
      </c>
    </row>
    <row r="433" spans="10:11" ht="15.75" x14ac:dyDescent="0.25">
      <c r="J433" s="250" t="s">
        <v>121</v>
      </c>
      <c r="K433" s="233" t="s">
        <v>702</v>
      </c>
    </row>
    <row r="434" spans="10:11" ht="15.75" x14ac:dyDescent="0.25">
      <c r="J434" s="250" t="s">
        <v>121</v>
      </c>
      <c r="K434" s="233" t="s">
        <v>136</v>
      </c>
    </row>
    <row r="435" spans="10:11" ht="15.75" x14ac:dyDescent="0.25">
      <c r="J435" s="250" t="s">
        <v>121</v>
      </c>
      <c r="K435" s="233" t="s">
        <v>137</v>
      </c>
    </row>
    <row r="436" spans="10:11" ht="15.75" x14ac:dyDescent="0.25">
      <c r="J436" s="250" t="s">
        <v>121</v>
      </c>
      <c r="K436" s="233" t="s">
        <v>138</v>
      </c>
    </row>
    <row r="437" spans="10:11" ht="15.75" x14ac:dyDescent="0.25">
      <c r="J437" s="250" t="s">
        <v>121</v>
      </c>
      <c r="K437" s="233" t="s">
        <v>703</v>
      </c>
    </row>
    <row r="438" spans="10:11" ht="15.75" x14ac:dyDescent="0.25">
      <c r="J438" s="250" t="s">
        <v>121</v>
      </c>
      <c r="K438" s="233" t="s">
        <v>139</v>
      </c>
    </row>
    <row r="439" spans="10:11" ht="15.75" x14ac:dyDescent="0.25">
      <c r="J439" s="250" t="s">
        <v>121</v>
      </c>
      <c r="K439" s="233" t="s">
        <v>140</v>
      </c>
    </row>
    <row r="440" spans="10:11" ht="15.75" x14ac:dyDescent="0.25">
      <c r="J440" s="250" t="s">
        <v>121</v>
      </c>
      <c r="K440" s="233" t="s">
        <v>133</v>
      </c>
    </row>
    <row r="441" spans="10:11" ht="15.75" x14ac:dyDescent="0.25">
      <c r="J441" s="250" t="s">
        <v>121</v>
      </c>
      <c r="K441" s="233" t="s">
        <v>126</v>
      </c>
    </row>
    <row r="442" spans="10:11" ht="15.75" x14ac:dyDescent="0.25">
      <c r="J442" s="250" t="s">
        <v>121</v>
      </c>
      <c r="K442" s="233" t="s">
        <v>129</v>
      </c>
    </row>
    <row r="443" spans="10:11" ht="15.75" x14ac:dyDescent="0.25">
      <c r="J443" s="250" t="s">
        <v>626</v>
      </c>
      <c r="K443" s="233" t="s">
        <v>60</v>
      </c>
    </row>
    <row r="444" spans="10:11" ht="15.75" x14ac:dyDescent="0.25">
      <c r="J444" s="250" t="s">
        <v>626</v>
      </c>
      <c r="K444" s="233" t="s">
        <v>704</v>
      </c>
    </row>
    <row r="445" spans="10:11" ht="15.75" x14ac:dyDescent="0.25">
      <c r="J445" s="250" t="s">
        <v>626</v>
      </c>
      <c r="K445" s="233" t="s">
        <v>705</v>
      </c>
    </row>
    <row r="446" spans="10:11" ht="15.75" x14ac:dyDescent="0.25">
      <c r="J446" s="250" t="s">
        <v>626</v>
      </c>
      <c r="K446" s="233" t="s">
        <v>706</v>
      </c>
    </row>
    <row r="447" spans="10:11" ht="15.75" x14ac:dyDescent="0.25">
      <c r="J447" s="250" t="s">
        <v>53</v>
      </c>
      <c r="K447" s="233" t="s">
        <v>57</v>
      </c>
    </row>
    <row r="448" spans="10:11" ht="15.75" x14ac:dyDescent="0.25">
      <c r="J448" s="250" t="s">
        <v>53</v>
      </c>
      <c r="K448" s="233" t="s">
        <v>56</v>
      </c>
    </row>
    <row r="449" spans="10:11" ht="15.75" x14ac:dyDescent="0.25">
      <c r="J449" s="250" t="s">
        <v>53</v>
      </c>
      <c r="K449" s="233" t="s">
        <v>54</v>
      </c>
    </row>
    <row r="450" spans="10:11" ht="15.75" x14ac:dyDescent="0.25">
      <c r="J450" s="250" t="s">
        <v>627</v>
      </c>
      <c r="K450" s="233" t="s">
        <v>328</v>
      </c>
    </row>
    <row r="451" spans="10:11" ht="15.75" x14ac:dyDescent="0.25">
      <c r="J451" s="250" t="s">
        <v>628</v>
      </c>
      <c r="K451" s="233" t="s">
        <v>707</v>
      </c>
    </row>
    <row r="452" spans="10:11" ht="15.75" x14ac:dyDescent="0.25">
      <c r="J452" s="250" t="s">
        <v>628</v>
      </c>
      <c r="K452" s="233" t="s">
        <v>66</v>
      </c>
    </row>
    <row r="453" spans="10:11" ht="15.75" x14ac:dyDescent="0.25">
      <c r="J453" s="250" t="s">
        <v>58</v>
      </c>
      <c r="K453" s="233" t="s">
        <v>59</v>
      </c>
    </row>
    <row r="454" spans="10:11" ht="15.75" x14ac:dyDescent="0.25">
      <c r="J454" s="250" t="s">
        <v>58</v>
      </c>
      <c r="K454" s="233" t="s">
        <v>60</v>
      </c>
    </row>
    <row r="455" spans="10:11" ht="15.75" x14ac:dyDescent="0.25">
      <c r="J455" s="250" t="s">
        <v>58</v>
      </c>
      <c r="K455" s="233" t="s">
        <v>62</v>
      </c>
    </row>
    <row r="456" spans="10:11" ht="15.75" x14ac:dyDescent="0.25">
      <c r="J456" s="250" t="s">
        <v>58</v>
      </c>
      <c r="K456" s="233" t="s">
        <v>63</v>
      </c>
    </row>
    <row r="457" spans="10:11" ht="15.75" x14ac:dyDescent="0.25">
      <c r="J457" s="250" t="s">
        <v>58</v>
      </c>
      <c r="K457" s="233" t="s">
        <v>64</v>
      </c>
    </row>
    <row r="458" spans="10:11" ht="15.75" x14ac:dyDescent="0.25">
      <c r="J458" s="250" t="s">
        <v>58</v>
      </c>
      <c r="K458" s="233" t="s">
        <v>65</v>
      </c>
    </row>
    <row r="459" spans="10:11" ht="15.75" x14ac:dyDescent="0.25">
      <c r="J459" s="250" t="s">
        <v>58</v>
      </c>
      <c r="K459" s="233" t="s">
        <v>61</v>
      </c>
    </row>
    <row r="460" spans="10:11" ht="15.75" x14ac:dyDescent="0.25">
      <c r="J460" s="250" t="s">
        <v>629</v>
      </c>
      <c r="K460" s="233" t="s">
        <v>424</v>
      </c>
    </row>
    <row r="461" spans="10:11" ht="15.75" x14ac:dyDescent="0.25">
      <c r="J461" s="250" t="s">
        <v>629</v>
      </c>
      <c r="K461" s="233" t="s">
        <v>425</v>
      </c>
    </row>
    <row r="462" spans="10:11" ht="15.75" x14ac:dyDescent="0.25">
      <c r="J462" s="250" t="s">
        <v>629</v>
      </c>
      <c r="K462" s="233" t="s">
        <v>708</v>
      </c>
    </row>
    <row r="463" spans="10:11" ht="15.75" x14ac:dyDescent="0.25">
      <c r="J463" s="250" t="s">
        <v>629</v>
      </c>
      <c r="K463" s="233" t="s">
        <v>426</v>
      </c>
    </row>
    <row r="464" spans="10:11" ht="15.75" x14ac:dyDescent="0.25">
      <c r="J464" s="250" t="s">
        <v>427</v>
      </c>
      <c r="K464" s="233" t="s">
        <v>428</v>
      </c>
    </row>
    <row r="465" spans="10:11" ht="15.75" x14ac:dyDescent="0.25">
      <c r="J465" s="250" t="s">
        <v>630</v>
      </c>
      <c r="K465" s="233" t="s">
        <v>709</v>
      </c>
    </row>
    <row r="466" spans="10:11" ht="15.75" x14ac:dyDescent="0.25">
      <c r="J466" s="250" t="s">
        <v>630</v>
      </c>
      <c r="K466" s="233" t="s">
        <v>710</v>
      </c>
    </row>
    <row r="467" spans="10:11" ht="15.75" x14ac:dyDescent="0.25">
      <c r="J467" s="250" t="s">
        <v>630</v>
      </c>
      <c r="K467" s="233" t="s">
        <v>711</v>
      </c>
    </row>
    <row r="468" spans="10:11" ht="15.75" x14ac:dyDescent="0.25">
      <c r="J468" s="250" t="s">
        <v>630</v>
      </c>
      <c r="K468" s="233" t="s">
        <v>712</v>
      </c>
    </row>
    <row r="469" spans="10:11" ht="15.75" x14ac:dyDescent="0.25">
      <c r="J469" s="250" t="s">
        <v>630</v>
      </c>
      <c r="K469" s="233" t="s">
        <v>713</v>
      </c>
    </row>
    <row r="470" spans="10:11" ht="15.75" x14ac:dyDescent="0.25">
      <c r="J470" s="250" t="s">
        <v>631</v>
      </c>
      <c r="K470" s="233" t="s">
        <v>631</v>
      </c>
    </row>
    <row r="471" spans="10:11" ht="15.75" x14ac:dyDescent="0.25">
      <c r="J471" s="250"/>
      <c r="K471" s="233"/>
    </row>
    <row r="472" spans="10:11" ht="15.75" x14ac:dyDescent="0.25">
      <c r="J472" s="250"/>
      <c r="K472" s="233"/>
    </row>
    <row r="473" spans="10:11" ht="15.75" x14ac:dyDescent="0.25">
      <c r="J473" s="250"/>
      <c r="K473" s="233"/>
    </row>
    <row r="474" spans="10:11" ht="15.75" x14ac:dyDescent="0.25">
      <c r="J474" s="250"/>
      <c r="K474" s="233"/>
    </row>
    <row r="475" spans="10:11" ht="15.75" x14ac:dyDescent="0.25">
      <c r="J475" s="250"/>
      <c r="K475" s="233"/>
    </row>
    <row r="476" spans="10:11" ht="15.75" x14ac:dyDescent="0.25">
      <c r="J476" s="250"/>
      <c r="K476" s="233"/>
    </row>
    <row r="477" spans="10:11" ht="15.75" x14ac:dyDescent="0.25">
      <c r="J477" s="250"/>
      <c r="K477" s="233"/>
    </row>
    <row r="478" spans="10:11" ht="15.75" x14ac:dyDescent="0.25">
      <c r="J478" s="250"/>
      <c r="K478" s="233"/>
    </row>
    <row r="479" spans="10:11" ht="15.75" x14ac:dyDescent="0.25">
      <c r="J479" s="250"/>
      <c r="K479" s="233"/>
    </row>
    <row r="480" spans="10:11" ht="15.75" x14ac:dyDescent="0.25">
      <c r="J480" s="250"/>
      <c r="K480" s="233"/>
    </row>
    <row r="481" spans="10:11" ht="15.75" x14ac:dyDescent="0.25">
      <c r="J481" s="250"/>
      <c r="K481" s="233"/>
    </row>
    <row r="482" spans="10:11" ht="15.75" x14ac:dyDescent="0.25">
      <c r="J482" s="250"/>
      <c r="K482" s="233"/>
    </row>
    <row r="483" spans="10:11" ht="15.75" x14ac:dyDescent="0.25">
      <c r="J483" s="250"/>
      <c r="K483" s="233"/>
    </row>
    <row r="484" spans="10:11" ht="15.75" x14ac:dyDescent="0.25">
      <c r="J484" s="250"/>
      <c r="K484" s="233"/>
    </row>
    <row r="485" spans="10:11" ht="15.75" x14ac:dyDescent="0.25">
      <c r="J485" s="250"/>
      <c r="K485" s="233"/>
    </row>
    <row r="486" spans="10:11" ht="15.75" x14ac:dyDescent="0.25">
      <c r="J486" s="250"/>
      <c r="K486" s="233"/>
    </row>
    <row r="487" spans="10:11" ht="15.75" x14ac:dyDescent="0.25">
      <c r="J487" s="250"/>
      <c r="K487" s="233"/>
    </row>
    <row r="488" spans="10:11" ht="15.75" x14ac:dyDescent="0.25">
      <c r="J488" s="250"/>
      <c r="K488" s="233"/>
    </row>
    <row r="489" spans="10:11" ht="15.75" x14ac:dyDescent="0.25">
      <c r="J489" s="250"/>
      <c r="K489" s="233"/>
    </row>
    <row r="490" spans="10:11" ht="15.75" x14ac:dyDescent="0.25">
      <c r="J490" s="250"/>
      <c r="K490" s="233"/>
    </row>
    <row r="491" spans="10:11" ht="15.75" x14ac:dyDescent="0.25">
      <c r="J491" s="250"/>
      <c r="K491" s="233"/>
    </row>
    <row r="492" spans="10:11" ht="15.75" x14ac:dyDescent="0.25">
      <c r="J492" s="250"/>
      <c r="K492" s="233"/>
    </row>
    <row r="493" spans="10:11" ht="15.75" x14ac:dyDescent="0.25">
      <c r="J493" s="250"/>
      <c r="K493" s="233"/>
    </row>
    <row r="494" spans="10:11" ht="15.75" x14ac:dyDescent="0.25">
      <c r="J494" s="250"/>
      <c r="K494" s="233"/>
    </row>
    <row r="495" spans="10:11" ht="15.75" x14ac:dyDescent="0.25">
      <c r="J495" s="250"/>
      <c r="K495" s="233"/>
    </row>
    <row r="496" spans="10:11" ht="15.75" x14ac:dyDescent="0.25">
      <c r="J496" s="250"/>
      <c r="K496" s="233"/>
    </row>
    <row r="497" spans="10:11" ht="15.75" x14ac:dyDescent="0.25">
      <c r="J497" s="250"/>
      <c r="K497" s="233"/>
    </row>
    <row r="498" spans="10:11" ht="15.75" x14ac:dyDescent="0.25">
      <c r="J498" s="250"/>
      <c r="K498" s="233"/>
    </row>
    <row r="499" spans="10:11" ht="15.75" x14ac:dyDescent="0.25">
      <c r="J499" s="250"/>
      <c r="K499" s="233"/>
    </row>
    <row r="500" spans="10:11" ht="15.75" x14ac:dyDescent="0.25">
      <c r="J500" s="250"/>
      <c r="K500" s="233"/>
    </row>
    <row r="501" spans="10:11" ht="15.75" x14ac:dyDescent="0.25">
      <c r="J501" s="250"/>
      <c r="K501" s="233"/>
    </row>
    <row r="502" spans="10:11" ht="15.75" x14ac:dyDescent="0.25">
      <c r="J502" s="250"/>
      <c r="K502" s="233"/>
    </row>
    <row r="503" spans="10:11" ht="15.75" x14ac:dyDescent="0.25">
      <c r="J503" s="250"/>
      <c r="K503" s="233"/>
    </row>
    <row r="504" spans="10:11" ht="15.75" x14ac:dyDescent="0.25">
      <c r="J504" s="250"/>
      <c r="K504" s="233"/>
    </row>
    <row r="505" spans="10:11" ht="15.75" x14ac:dyDescent="0.25">
      <c r="J505" s="250"/>
      <c r="K505" s="233"/>
    </row>
    <row r="506" spans="10:11" ht="15.75" x14ac:dyDescent="0.25">
      <c r="J506" s="250"/>
      <c r="K506" s="233"/>
    </row>
    <row r="507" spans="10:11" ht="15.75" x14ac:dyDescent="0.25">
      <c r="J507" s="250"/>
      <c r="K507" s="233"/>
    </row>
    <row r="508" spans="10:11" ht="15.75" x14ac:dyDescent="0.25">
      <c r="J508" s="250"/>
      <c r="K508" s="233"/>
    </row>
    <row r="509" spans="10:11" ht="15.75" x14ac:dyDescent="0.25">
      <c r="J509" s="250"/>
      <c r="K509" s="233"/>
    </row>
    <row r="510" spans="10:11" ht="15.75" x14ac:dyDescent="0.25">
      <c r="J510" s="250"/>
      <c r="K510" s="233"/>
    </row>
    <row r="511" spans="10:11" ht="15.75" x14ac:dyDescent="0.25">
      <c r="J511" s="250"/>
      <c r="K511" s="233"/>
    </row>
    <row r="512" spans="10:11" ht="15.75" x14ac:dyDescent="0.25">
      <c r="J512" s="250"/>
      <c r="K512" s="233"/>
    </row>
    <row r="513" spans="10:11" ht="15.75" x14ac:dyDescent="0.25">
      <c r="J513" s="250"/>
      <c r="K513" s="233"/>
    </row>
    <row r="514" spans="10:11" ht="15.75" x14ac:dyDescent="0.25">
      <c r="J514" s="250"/>
      <c r="K514" s="233"/>
    </row>
    <row r="515" spans="10:11" ht="15.75" x14ac:dyDescent="0.25">
      <c r="J515" s="250"/>
      <c r="K515" s="233"/>
    </row>
    <row r="516" spans="10:11" ht="15.75" x14ac:dyDescent="0.25">
      <c r="J516" s="250"/>
      <c r="K516" s="233"/>
    </row>
    <row r="517" spans="10:11" ht="15.75" x14ac:dyDescent="0.25">
      <c r="J517" s="250"/>
      <c r="K517" s="233"/>
    </row>
    <row r="518" spans="10:11" ht="15.75" x14ac:dyDescent="0.25">
      <c r="J518" s="250"/>
      <c r="K518" s="233"/>
    </row>
    <row r="519" spans="10:11" ht="15.75" x14ac:dyDescent="0.25">
      <c r="J519" s="250"/>
      <c r="K519" s="233"/>
    </row>
    <row r="520" spans="10:11" ht="15.75" x14ac:dyDescent="0.25">
      <c r="J520" s="250"/>
      <c r="K520" s="233"/>
    </row>
    <row r="521" spans="10:11" ht="15.75" x14ac:dyDescent="0.25">
      <c r="J521" s="250"/>
      <c r="K521" s="233"/>
    </row>
    <row r="522" spans="10:11" ht="15.75" x14ac:dyDescent="0.25">
      <c r="J522" s="250"/>
      <c r="K522" s="233"/>
    </row>
    <row r="523" spans="10:11" ht="15.75" x14ac:dyDescent="0.25">
      <c r="J523" s="250"/>
      <c r="K523" s="233"/>
    </row>
    <row r="524" spans="10:11" ht="15.75" x14ac:dyDescent="0.25">
      <c r="J524" s="250"/>
      <c r="K524" s="233"/>
    </row>
    <row r="525" spans="10:11" ht="15.75" x14ac:dyDescent="0.25">
      <c r="J525" s="250"/>
      <c r="K525" s="233"/>
    </row>
    <row r="526" spans="10:11" ht="15.75" x14ac:dyDescent="0.25">
      <c r="J526" s="250"/>
      <c r="K526" s="233"/>
    </row>
    <row r="527" spans="10:11" ht="15.75" x14ac:dyDescent="0.25">
      <c r="J527" s="250"/>
      <c r="K527" s="233"/>
    </row>
    <row r="528" spans="10:11" ht="15.75" x14ac:dyDescent="0.25">
      <c r="J528" s="250"/>
      <c r="K528" s="233"/>
    </row>
    <row r="529" spans="10:11" ht="15.75" x14ac:dyDescent="0.25">
      <c r="J529" s="250"/>
      <c r="K529" s="233"/>
    </row>
    <row r="530" spans="10:11" ht="15.75" x14ac:dyDescent="0.25">
      <c r="J530" s="250"/>
      <c r="K530" s="233"/>
    </row>
    <row r="531" spans="10:11" ht="15.75" x14ac:dyDescent="0.25">
      <c r="J531" s="250"/>
      <c r="K531" s="233"/>
    </row>
    <row r="532" spans="10:11" ht="15.75" x14ac:dyDescent="0.25">
      <c r="J532" s="250"/>
      <c r="K532" s="233"/>
    </row>
    <row r="533" spans="10:11" ht="15.75" x14ac:dyDescent="0.25">
      <c r="J533" s="250"/>
      <c r="K533" s="233"/>
    </row>
    <row r="534" spans="10:11" ht="15.75" x14ac:dyDescent="0.25">
      <c r="J534" s="250"/>
      <c r="K534" s="233"/>
    </row>
    <row r="535" spans="10:11" ht="15.75" x14ac:dyDescent="0.25">
      <c r="J535" s="250"/>
      <c r="K535" s="233"/>
    </row>
    <row r="536" spans="10:11" ht="15.75" x14ac:dyDescent="0.25">
      <c r="J536" s="250"/>
      <c r="K536" s="258"/>
    </row>
    <row r="537" spans="10:11" ht="15.75" x14ac:dyDescent="0.25">
      <c r="J537" s="250"/>
      <c r="K537" s="242"/>
    </row>
    <row r="538" spans="10:11" ht="15.75" x14ac:dyDescent="0.25">
      <c r="J538" s="250"/>
      <c r="K538" s="242"/>
    </row>
    <row r="539" spans="10:11" ht="15.75" x14ac:dyDescent="0.25">
      <c r="J539" s="250"/>
      <c r="K539" s="242"/>
    </row>
    <row r="540" spans="10:11" ht="15.75" x14ac:dyDescent="0.25">
      <c r="J540" s="250"/>
      <c r="K540" s="242"/>
    </row>
    <row r="541" spans="10:11" ht="15.75" x14ac:dyDescent="0.25">
      <c r="J541" s="250"/>
      <c r="K541" s="242"/>
    </row>
    <row r="542" spans="10:11" ht="15.75" x14ac:dyDescent="0.25">
      <c r="J542" s="250"/>
      <c r="K542" s="242"/>
    </row>
    <row r="543" spans="10:11" ht="15.75" x14ac:dyDescent="0.25">
      <c r="J543" s="250"/>
      <c r="K543" s="242"/>
    </row>
  </sheetData>
  <sheetProtection password="ECB1" sheet="1" objects="1" scenarios="1"/>
  <dataValidations count="5">
    <dataValidation allowBlank="1" showInputMessage="1" showErrorMessage="1" errorTitle="Ошибка" error="Введенное значение находится за пределами допустимого диапазона!" sqref="C65:C70"/>
    <dataValidation allowBlank="1" showInputMessage="1" showErrorMessage="1" errorTitle="Ошибка!" error="Значение не может быть больше количества часов в году." sqref="C72"/>
    <dataValidation allowBlank="1" showInputMessage="1" showErrorMessage="1" errorTitle="Ошибка!" error="Значение не может быть больше количества часов в году." sqref="C73"/>
    <dataValidation allowBlank="1" showInputMessage="1" showErrorMessage="1" errorTitle="Ошибка!" error="Значение не может быть больше количества часов в году." sqref="C74"/>
    <dataValidation allowBlank="1" showInputMessage="1" showErrorMessage="1" errorTitle="Ошибка!" error="Значение не может быть больше количества часов в году." sqref="C75"/>
  </dataValidations>
  <pageMargins left="0.7" right="0.7" top="0.75" bottom="0.75" header="0.3" footer="0.3"/>
  <tableParts count="4">
    <tablePart r:id="rId1"/>
    <tablePart r:id="rId2"/>
    <tablePart r:id="rId3"/>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BI60"/>
  <sheetViews>
    <sheetView zoomScale="80" zoomScaleNormal="80" workbookViewId="0">
      <selection activeCell="J28" sqref="J28"/>
    </sheetView>
  </sheetViews>
  <sheetFormatPr defaultRowHeight="16.5" customHeight="1" x14ac:dyDescent="0.25"/>
  <cols>
    <col min="1" max="1" width="32.42578125" customWidth="1"/>
    <col min="2" max="2" width="12.28515625" customWidth="1"/>
    <col min="4" max="4" width="12.5703125" style="13" customWidth="1"/>
    <col min="5" max="5" width="11.7109375" customWidth="1"/>
    <col min="6" max="6" width="14.140625" style="13" customWidth="1"/>
    <col min="7" max="7" width="16.140625" customWidth="1"/>
    <col min="8" max="8" width="9.140625" style="13"/>
    <col min="10" max="10" width="9.140625" style="13"/>
    <col min="12" max="12" width="9.140625" style="13"/>
  </cols>
  <sheetData>
    <row r="1" spans="1:61" s="1351" customFormat="1" ht="16.5" customHeight="1" x14ac:dyDescent="0.25">
      <c r="A1" s="1349" t="s">
        <v>1782</v>
      </c>
      <c r="B1" s="1350"/>
      <c r="C1" s="1350"/>
      <c r="D1" s="1350"/>
      <c r="E1" s="1350"/>
      <c r="F1" s="1350"/>
      <c r="G1" s="1350"/>
      <c r="H1" s="1350"/>
      <c r="I1" s="1350"/>
      <c r="J1" s="1350"/>
      <c r="K1" s="1350"/>
      <c r="L1" s="1350"/>
      <c r="M1" s="1350"/>
    </row>
    <row r="2" spans="1:61" ht="16.5" customHeight="1" x14ac:dyDescent="0.25">
      <c r="A2" s="1348"/>
      <c r="B2" s="1347" t="s">
        <v>1867</v>
      </c>
      <c r="C2" s="1347"/>
      <c r="D2" s="1347"/>
      <c r="E2" s="1347"/>
      <c r="F2" s="1347"/>
      <c r="G2" s="1347"/>
      <c r="H2" s="1347"/>
      <c r="I2" s="1347"/>
      <c r="J2" s="1347"/>
      <c r="K2" s="1347"/>
      <c r="L2" s="1347"/>
      <c r="M2" s="1347"/>
      <c r="X2" t="s">
        <v>1868</v>
      </c>
      <c r="AQ2" s="13"/>
      <c r="AR2" s="13" t="s">
        <v>894</v>
      </c>
      <c r="AS2" s="13">
        <f>IF('Ввод исходных данных'!$D$19='классы ЭЭ и выбросы ПГ'!C$4,IF($B12&lt;3000,SLOPE(C5:C6,$B5:$B6)+INTERCEPT(C5:C6,$B5:$B6)*$B12,SLOPE(C6:C11,$B6:$B11)*$B12+INTERCEPT(C6:C11,$B6:$B11)),0)</f>
        <v>0</v>
      </c>
      <c r="AT2" s="13"/>
      <c r="AU2" s="13"/>
      <c r="AV2" s="13"/>
      <c r="AW2" s="13"/>
      <c r="AX2" s="13"/>
      <c r="AY2" s="13"/>
      <c r="AZ2" s="13"/>
      <c r="BA2" s="13"/>
      <c r="BB2" s="13"/>
      <c r="BC2" s="13"/>
      <c r="BD2" s="13"/>
      <c r="BE2" s="13"/>
      <c r="BF2" s="13"/>
      <c r="BG2" s="13"/>
      <c r="BH2" s="13"/>
      <c r="BI2" s="13"/>
    </row>
    <row r="3" spans="1:61" ht="16.5" customHeight="1" x14ac:dyDescent="0.25">
      <c r="A3" s="2573" t="s">
        <v>829</v>
      </c>
      <c r="B3" s="2573" t="s">
        <v>1783</v>
      </c>
      <c r="C3" s="2574" t="s">
        <v>1784</v>
      </c>
      <c r="D3" s="2574"/>
      <c r="E3" s="2574"/>
      <c r="F3" s="2574"/>
      <c r="G3" s="2574"/>
      <c r="H3" s="2574"/>
      <c r="I3" s="2574"/>
      <c r="J3" s="2574"/>
      <c r="K3" s="2574"/>
      <c r="L3" s="2574"/>
      <c r="M3" s="2574"/>
      <c r="N3" s="1353"/>
      <c r="O3" s="1353"/>
      <c r="P3" s="1353"/>
      <c r="Q3" s="1353"/>
      <c r="R3" s="1353"/>
      <c r="W3" s="2573" t="s">
        <v>829</v>
      </c>
      <c r="X3" s="2573" t="s">
        <v>1783</v>
      </c>
      <c r="Y3" s="2574" t="s">
        <v>1784</v>
      </c>
      <c r="Z3" s="2574"/>
      <c r="AA3" s="2574"/>
      <c r="AB3" s="2574"/>
      <c r="AC3" s="2574"/>
      <c r="AD3" s="2574"/>
      <c r="AE3" s="2574"/>
      <c r="AF3" s="2574"/>
      <c r="AG3" s="2574"/>
      <c r="AH3" s="2574"/>
      <c r="AI3" s="2574"/>
      <c r="AJ3" s="1353"/>
      <c r="AK3" s="1353"/>
      <c r="AL3" s="1353"/>
      <c r="AM3" s="1353"/>
      <c r="AN3" s="1353"/>
      <c r="AO3" s="13"/>
      <c r="AQ3" s="2573" t="s">
        <v>829</v>
      </c>
      <c r="AR3" s="2573" t="s">
        <v>1783</v>
      </c>
      <c r="AS3" s="2574" t="s">
        <v>1784</v>
      </c>
      <c r="AT3" s="2574"/>
      <c r="AU3" s="2574"/>
      <c r="AV3" s="2574"/>
      <c r="AW3" s="2574"/>
      <c r="AX3" s="2574"/>
      <c r="AY3" s="2574"/>
      <c r="AZ3" s="2574"/>
      <c r="BA3" s="2574"/>
      <c r="BB3" s="2574"/>
      <c r="BC3" s="2574"/>
      <c r="BD3" s="1353"/>
      <c r="BE3" s="1353"/>
      <c r="BF3" s="1353"/>
      <c r="BG3" s="1353"/>
      <c r="BH3" s="1353"/>
      <c r="BI3" s="13"/>
    </row>
    <row r="4" spans="1:61" ht="16.5" customHeight="1" x14ac:dyDescent="0.25">
      <c r="A4" s="2573"/>
      <c r="B4" s="2573"/>
      <c r="C4" s="1354">
        <v>2</v>
      </c>
      <c r="D4" s="1354">
        <v>3</v>
      </c>
      <c r="E4" s="1354">
        <v>4</v>
      </c>
      <c r="F4" s="1354">
        <v>5</v>
      </c>
      <c r="G4" s="1354">
        <v>6</v>
      </c>
      <c r="H4" s="1354">
        <v>7</v>
      </c>
      <c r="I4" s="1354">
        <v>8</v>
      </c>
      <c r="J4" s="1354">
        <v>9</v>
      </c>
      <c r="K4" s="1354">
        <v>10</v>
      </c>
      <c r="L4" s="1354">
        <v>11</v>
      </c>
      <c r="M4" s="1354">
        <v>12</v>
      </c>
      <c r="N4" s="1354">
        <v>13</v>
      </c>
      <c r="O4" s="1354">
        <v>14</v>
      </c>
      <c r="P4" s="1354">
        <v>15</v>
      </c>
      <c r="Q4" s="1354">
        <v>16</v>
      </c>
      <c r="R4" s="1354">
        <v>17</v>
      </c>
      <c r="S4" t="s">
        <v>1790</v>
      </c>
      <c r="W4" s="2573"/>
      <c r="X4" s="2573"/>
      <c r="Y4" s="1374">
        <v>2</v>
      </c>
      <c r="Z4" s="1374">
        <v>3</v>
      </c>
      <c r="AA4" s="1374">
        <v>4</v>
      </c>
      <c r="AB4" s="1374">
        <v>5</v>
      </c>
      <c r="AC4" s="1374">
        <v>6</v>
      </c>
      <c r="AD4" s="1374">
        <v>7</v>
      </c>
      <c r="AE4" s="1374">
        <v>8</v>
      </c>
      <c r="AF4" s="1374">
        <v>9</v>
      </c>
      <c r="AG4" s="1374">
        <v>10</v>
      </c>
      <c r="AH4" s="1374">
        <v>11</v>
      </c>
      <c r="AI4" s="1374">
        <v>12</v>
      </c>
      <c r="AJ4" s="1374">
        <v>13</v>
      </c>
      <c r="AK4" s="1374">
        <v>14</v>
      </c>
      <c r="AL4" s="1374">
        <v>15</v>
      </c>
      <c r="AM4" s="1374">
        <v>16</v>
      </c>
      <c r="AN4" s="1374">
        <v>17</v>
      </c>
      <c r="AO4" s="13" t="s">
        <v>1790</v>
      </c>
      <c r="AQ4" s="2573"/>
      <c r="AR4" s="2573"/>
      <c r="AS4" s="1376">
        <v>2</v>
      </c>
      <c r="AT4" s="1376">
        <v>3</v>
      </c>
      <c r="AU4" s="1376">
        <v>4</v>
      </c>
      <c r="AV4" s="1376">
        <v>5</v>
      </c>
      <c r="AW4" s="1376">
        <v>6</v>
      </c>
      <c r="AX4" s="1376">
        <v>7</v>
      </c>
      <c r="AY4" s="1376">
        <v>8</v>
      </c>
      <c r="AZ4" s="1376">
        <v>9</v>
      </c>
      <c r="BA4" s="1376">
        <v>10</v>
      </c>
      <c r="BB4" s="1376">
        <v>11</v>
      </c>
      <c r="BC4" s="1376">
        <v>12</v>
      </c>
      <c r="BD4" s="1376">
        <v>13</v>
      </c>
      <c r="BE4" s="1376">
        <v>14</v>
      </c>
      <c r="BF4" s="1376">
        <v>15</v>
      </c>
      <c r="BG4" s="1376">
        <v>16</v>
      </c>
      <c r="BH4" s="1376">
        <v>17</v>
      </c>
      <c r="BI4" s="13" t="s">
        <v>1790</v>
      </c>
    </row>
    <row r="5" spans="1:61" ht="16.5" customHeight="1" x14ac:dyDescent="0.25">
      <c r="A5" s="2575" t="s">
        <v>1785</v>
      </c>
      <c r="B5" s="1355">
        <v>2000</v>
      </c>
      <c r="C5" s="1355">
        <v>215</v>
      </c>
      <c r="D5" s="1355">
        <f>AVERAGE(C5,E5)</f>
        <v>210.5</v>
      </c>
      <c r="E5" s="1355">
        <v>206</v>
      </c>
      <c r="F5" s="1355">
        <f>AVERAGE(E5,G5)</f>
        <v>204.5</v>
      </c>
      <c r="G5" s="1355">
        <v>203</v>
      </c>
      <c r="H5" s="1355">
        <f t="shared" ref="H5:H11" si="0">AVERAGE(G5,I5)</f>
        <v>202</v>
      </c>
      <c r="I5" s="1355">
        <v>201</v>
      </c>
      <c r="J5" s="1355">
        <f t="shared" ref="J5:J11" si="1">AVERAGE(I5,K5)</f>
        <v>200</v>
      </c>
      <c r="K5" s="1355">
        <v>199</v>
      </c>
      <c r="L5" s="1355">
        <f t="shared" ref="L5:L11" si="2">AVERAGE(K5,M5)</f>
        <v>198.5</v>
      </c>
      <c r="M5" s="1355">
        <v>198</v>
      </c>
      <c r="N5" s="1353">
        <f>M5+(M5-L5)</f>
        <v>197.5</v>
      </c>
      <c r="O5" s="1353">
        <f t="shared" ref="O5:R11" si="3">N5+(N5-M5)</f>
        <v>197</v>
      </c>
      <c r="P5" s="1353">
        <f t="shared" si="3"/>
        <v>196.5</v>
      </c>
      <c r="Q5" s="1353">
        <f t="shared" si="3"/>
        <v>196</v>
      </c>
      <c r="R5" s="1353">
        <f t="shared" si="3"/>
        <v>195.5</v>
      </c>
      <c r="W5" s="2575" t="s">
        <v>1785</v>
      </c>
      <c r="X5" s="1355">
        <v>2000</v>
      </c>
      <c r="Y5" s="1355">
        <v>215</v>
      </c>
      <c r="Z5" s="1355">
        <f>AVERAGE(Y5,AA5)</f>
        <v>210.5</v>
      </c>
      <c r="AA5" s="1355">
        <v>206</v>
      </c>
      <c r="AB5" s="1355">
        <f>AVERAGE(AA5,AC5)</f>
        <v>204.5</v>
      </c>
      <c r="AC5" s="1355">
        <v>203</v>
      </c>
      <c r="AD5" s="1355">
        <f>AVERAGE(AC5,AE5)</f>
        <v>202</v>
      </c>
      <c r="AE5" s="1355">
        <v>201</v>
      </c>
      <c r="AF5" s="1355">
        <f>AVERAGE(AE5,AG5)</f>
        <v>200</v>
      </c>
      <c r="AG5" s="1355">
        <v>199</v>
      </c>
      <c r="AH5" s="1355">
        <f>AVERAGE(AG5,AI5)</f>
        <v>198.5</v>
      </c>
      <c r="AI5" s="1355">
        <v>198</v>
      </c>
      <c r="AJ5" s="1353">
        <f>AI5+(AI5-AH5)</f>
        <v>197.5</v>
      </c>
      <c r="AK5" s="1353">
        <f t="shared" ref="AK5:AK11" si="4">AJ5+(AJ5-AI5)</f>
        <v>197</v>
      </c>
      <c r="AL5" s="1353">
        <f t="shared" ref="AL5:AL11" si="5">AK5+(AK5-AJ5)</f>
        <v>196.5</v>
      </c>
      <c r="AM5" s="1353">
        <f t="shared" ref="AM5:AM11" si="6">AL5+(AL5-AK5)</f>
        <v>196</v>
      </c>
      <c r="AN5" s="1353">
        <f t="shared" ref="AN5:AN11" si="7">AM5+(AM5-AL5)</f>
        <v>195.5</v>
      </c>
      <c r="AO5" s="13"/>
      <c r="AP5" s="1361"/>
      <c r="AQ5" s="2575" t="s">
        <v>1785</v>
      </c>
      <c r="AR5" s="1355">
        <v>2000</v>
      </c>
      <c r="AS5" s="1355">
        <v>215</v>
      </c>
      <c r="AT5" s="1355">
        <f>AVERAGE(AS5,AU5)</f>
        <v>210.5</v>
      </c>
      <c r="AU5" s="1355">
        <v>206</v>
      </c>
      <c r="AV5" s="1355">
        <f>AVERAGE(AU5,AW5)</f>
        <v>204.5</v>
      </c>
      <c r="AW5" s="1355">
        <v>203</v>
      </c>
      <c r="AX5" s="1355">
        <f>AVERAGE(AW5,AY5)</f>
        <v>202</v>
      </c>
      <c r="AY5" s="1355">
        <v>201</v>
      </c>
      <c r="AZ5" s="1355">
        <f>AVERAGE(AY5,BA5)</f>
        <v>200</v>
      </c>
      <c r="BA5" s="1355">
        <v>199</v>
      </c>
      <c r="BB5" s="1355">
        <f>AVERAGE(BA5,BC5)</f>
        <v>198.5</v>
      </c>
      <c r="BC5" s="1355">
        <v>198</v>
      </c>
      <c r="BD5" s="1353">
        <f>BC5+(BC5-BB5)</f>
        <v>197.5</v>
      </c>
      <c r="BE5" s="1353">
        <f t="shared" ref="BE5:BE11" si="8">BD5+(BD5-BC5)</f>
        <v>197</v>
      </c>
      <c r="BF5" s="1353">
        <f t="shared" ref="BF5:BF11" si="9">BE5+(BE5-BD5)</f>
        <v>196.5</v>
      </c>
      <c r="BG5" s="1353">
        <f t="shared" ref="BG5:BG11" si="10">BF5+(BF5-BE5)</f>
        <v>196</v>
      </c>
      <c r="BH5" s="1353">
        <f t="shared" ref="BH5:BH11" si="11">BG5+(BG5-BF5)</f>
        <v>195.5</v>
      </c>
      <c r="BI5" s="13"/>
    </row>
    <row r="6" spans="1:61" ht="16.5" customHeight="1" x14ac:dyDescent="0.25">
      <c r="A6" s="2575"/>
      <c r="B6" s="1355">
        <v>3000</v>
      </c>
      <c r="C6" s="1355">
        <v>228</v>
      </c>
      <c r="D6" s="1355">
        <f t="shared" ref="D6:F11" si="12">AVERAGE(C6,E6)</f>
        <v>222</v>
      </c>
      <c r="E6" s="1355">
        <v>216</v>
      </c>
      <c r="F6" s="1355">
        <f t="shared" si="12"/>
        <v>214</v>
      </c>
      <c r="G6" s="1355">
        <v>212</v>
      </c>
      <c r="H6" s="1355">
        <f t="shared" si="0"/>
        <v>210</v>
      </c>
      <c r="I6" s="1355">
        <v>208</v>
      </c>
      <c r="J6" s="1355">
        <f t="shared" si="1"/>
        <v>206.5</v>
      </c>
      <c r="K6" s="1355">
        <v>205</v>
      </c>
      <c r="L6" s="1355">
        <f t="shared" si="2"/>
        <v>204</v>
      </c>
      <c r="M6" s="1355">
        <v>203</v>
      </c>
      <c r="N6" s="1353">
        <f t="shared" ref="N6:N11" si="13">M6+(M6-L6)</f>
        <v>202</v>
      </c>
      <c r="O6" s="1353">
        <f t="shared" si="3"/>
        <v>201</v>
      </c>
      <c r="P6" s="1353">
        <f t="shared" si="3"/>
        <v>200</v>
      </c>
      <c r="Q6" s="1353">
        <f t="shared" si="3"/>
        <v>199</v>
      </c>
      <c r="R6" s="1353">
        <f t="shared" si="3"/>
        <v>198</v>
      </c>
      <c r="W6" s="2575"/>
      <c r="X6" s="1355">
        <v>3000</v>
      </c>
      <c r="Y6" s="1355">
        <v>228</v>
      </c>
      <c r="Z6" s="1355">
        <f t="shared" ref="Z6:Z11" si="14">AVERAGE(Y6,AA6)</f>
        <v>222</v>
      </c>
      <c r="AA6" s="1355">
        <v>216</v>
      </c>
      <c r="AB6" s="1355">
        <f t="shared" ref="AB6:AB11" si="15">AVERAGE(AA6,AC6)</f>
        <v>214</v>
      </c>
      <c r="AC6" s="1355">
        <v>212</v>
      </c>
      <c r="AD6" s="1355">
        <f t="shared" ref="AD6:AD11" si="16">AVERAGE(AC6,AE6)</f>
        <v>210</v>
      </c>
      <c r="AE6" s="1355">
        <v>208</v>
      </c>
      <c r="AF6" s="1355">
        <f t="shared" ref="AF6:AF11" si="17">AVERAGE(AE6,AG6)</f>
        <v>206.5</v>
      </c>
      <c r="AG6" s="1355">
        <v>205</v>
      </c>
      <c r="AH6" s="1355">
        <f t="shared" ref="AH6:AH11" si="18">AVERAGE(AG6,AI6)</f>
        <v>204</v>
      </c>
      <c r="AI6" s="1355">
        <v>203</v>
      </c>
      <c r="AJ6" s="1353">
        <f t="shared" ref="AJ6:AJ11" si="19">AI6+(AI6-AH6)</f>
        <v>202</v>
      </c>
      <c r="AK6" s="1353">
        <f t="shared" si="4"/>
        <v>201</v>
      </c>
      <c r="AL6" s="1353">
        <f t="shared" si="5"/>
        <v>200</v>
      </c>
      <c r="AM6" s="1353">
        <f t="shared" si="6"/>
        <v>199</v>
      </c>
      <c r="AN6" s="1353">
        <f t="shared" si="7"/>
        <v>198</v>
      </c>
      <c r="AO6" s="13"/>
      <c r="AP6" s="1361"/>
      <c r="AQ6" s="2575"/>
      <c r="AR6" s="1355">
        <v>3000</v>
      </c>
      <c r="AS6" s="1355">
        <v>228</v>
      </c>
      <c r="AT6" s="1355">
        <f t="shared" ref="AT6:AT11" si="20">AVERAGE(AS6,AU6)</f>
        <v>222</v>
      </c>
      <c r="AU6" s="1355">
        <v>216</v>
      </c>
      <c r="AV6" s="1355">
        <f t="shared" ref="AV6:AV11" si="21">AVERAGE(AU6,AW6)</f>
        <v>214</v>
      </c>
      <c r="AW6" s="1355">
        <v>212</v>
      </c>
      <c r="AX6" s="1355">
        <f t="shared" ref="AX6:AX11" si="22">AVERAGE(AW6,AY6)</f>
        <v>210</v>
      </c>
      <c r="AY6" s="1355">
        <v>208</v>
      </c>
      <c r="AZ6" s="1355">
        <f t="shared" ref="AZ6:AZ11" si="23">AVERAGE(AY6,BA6)</f>
        <v>206.5</v>
      </c>
      <c r="BA6" s="1355">
        <v>205</v>
      </c>
      <c r="BB6" s="1355">
        <f t="shared" ref="BB6:BB11" si="24">AVERAGE(BA6,BC6)</f>
        <v>204</v>
      </c>
      <c r="BC6" s="1355">
        <v>203</v>
      </c>
      <c r="BD6" s="1353">
        <f t="shared" ref="BD6:BD11" si="25">BC6+(BC6-BB6)</f>
        <v>202</v>
      </c>
      <c r="BE6" s="1353">
        <f t="shared" si="8"/>
        <v>201</v>
      </c>
      <c r="BF6" s="1353">
        <f t="shared" si="9"/>
        <v>200</v>
      </c>
      <c r="BG6" s="1353">
        <f t="shared" si="10"/>
        <v>199</v>
      </c>
      <c r="BH6" s="1353">
        <f t="shared" si="11"/>
        <v>198</v>
      </c>
      <c r="BI6" s="13"/>
    </row>
    <row r="7" spans="1:61" ht="16.5" customHeight="1" x14ac:dyDescent="0.25">
      <c r="A7" s="2575"/>
      <c r="B7" s="1355">
        <v>4000</v>
      </c>
      <c r="C7" s="1355">
        <v>256</v>
      </c>
      <c r="D7" s="1355">
        <f t="shared" si="12"/>
        <v>247.5</v>
      </c>
      <c r="E7" s="1355">
        <v>239</v>
      </c>
      <c r="F7" s="1355">
        <f t="shared" si="12"/>
        <v>236.5</v>
      </c>
      <c r="G7" s="1355">
        <v>234</v>
      </c>
      <c r="H7" s="1355">
        <f t="shared" si="0"/>
        <v>231.5</v>
      </c>
      <c r="I7" s="1355">
        <v>229</v>
      </c>
      <c r="J7" s="1355">
        <f t="shared" si="1"/>
        <v>227</v>
      </c>
      <c r="K7" s="1355">
        <v>225</v>
      </c>
      <c r="L7" s="1355">
        <f t="shared" si="2"/>
        <v>224</v>
      </c>
      <c r="M7" s="1355">
        <v>223</v>
      </c>
      <c r="N7" s="1353">
        <f t="shared" si="13"/>
        <v>222</v>
      </c>
      <c r="O7" s="1353">
        <f t="shared" si="3"/>
        <v>221</v>
      </c>
      <c r="P7" s="1353">
        <f t="shared" si="3"/>
        <v>220</v>
      </c>
      <c r="Q7" s="1353">
        <f t="shared" si="3"/>
        <v>219</v>
      </c>
      <c r="R7" s="1353">
        <f t="shared" si="3"/>
        <v>218</v>
      </c>
      <c r="W7" s="2575"/>
      <c r="X7" s="1355">
        <v>4000</v>
      </c>
      <c r="Y7" s="1355">
        <v>256</v>
      </c>
      <c r="Z7" s="1355">
        <f t="shared" si="14"/>
        <v>247.5</v>
      </c>
      <c r="AA7" s="1355">
        <v>239</v>
      </c>
      <c r="AB7" s="1355">
        <f t="shared" si="15"/>
        <v>236.5</v>
      </c>
      <c r="AC7" s="1355">
        <v>234</v>
      </c>
      <c r="AD7" s="1355">
        <f t="shared" si="16"/>
        <v>231.5</v>
      </c>
      <c r="AE7" s="1355">
        <v>229</v>
      </c>
      <c r="AF7" s="1355">
        <f t="shared" si="17"/>
        <v>227</v>
      </c>
      <c r="AG7" s="1355">
        <v>225</v>
      </c>
      <c r="AH7" s="1355">
        <f t="shared" si="18"/>
        <v>224</v>
      </c>
      <c r="AI7" s="1355">
        <v>223</v>
      </c>
      <c r="AJ7" s="1353">
        <f t="shared" si="19"/>
        <v>222</v>
      </c>
      <c r="AK7" s="1353">
        <f t="shared" si="4"/>
        <v>221</v>
      </c>
      <c r="AL7" s="1353">
        <f t="shared" si="5"/>
        <v>220</v>
      </c>
      <c r="AM7" s="1353">
        <f t="shared" si="6"/>
        <v>219</v>
      </c>
      <c r="AN7" s="1353">
        <f t="shared" si="7"/>
        <v>218</v>
      </c>
      <c r="AO7" s="13"/>
      <c r="AP7" s="1361"/>
      <c r="AQ7" s="2575"/>
      <c r="AR7" s="1355">
        <v>4000</v>
      </c>
      <c r="AS7" s="1355">
        <v>256</v>
      </c>
      <c r="AT7" s="1355">
        <f t="shared" si="20"/>
        <v>247.5</v>
      </c>
      <c r="AU7" s="1355">
        <v>239</v>
      </c>
      <c r="AV7" s="1355">
        <f t="shared" si="21"/>
        <v>236.5</v>
      </c>
      <c r="AW7" s="1355">
        <v>234</v>
      </c>
      <c r="AX7" s="1355">
        <f t="shared" si="22"/>
        <v>231.5</v>
      </c>
      <c r="AY7" s="1355">
        <v>229</v>
      </c>
      <c r="AZ7" s="1355">
        <f t="shared" si="23"/>
        <v>227</v>
      </c>
      <c r="BA7" s="1355">
        <v>225</v>
      </c>
      <c r="BB7" s="1355">
        <f t="shared" si="24"/>
        <v>224</v>
      </c>
      <c r="BC7" s="1355">
        <v>223</v>
      </c>
      <c r="BD7" s="1353">
        <f t="shared" si="25"/>
        <v>222</v>
      </c>
      <c r="BE7" s="1353">
        <f t="shared" si="8"/>
        <v>221</v>
      </c>
      <c r="BF7" s="1353">
        <f t="shared" si="9"/>
        <v>220</v>
      </c>
      <c r="BG7" s="1353">
        <f t="shared" si="10"/>
        <v>219</v>
      </c>
      <c r="BH7" s="1353">
        <f t="shared" si="11"/>
        <v>218</v>
      </c>
      <c r="BI7" s="13"/>
    </row>
    <row r="8" spans="1:61" ht="16.5" customHeight="1" x14ac:dyDescent="0.25">
      <c r="A8" s="2575"/>
      <c r="B8" s="1355">
        <v>5000</v>
      </c>
      <c r="C8" s="1355">
        <v>284</v>
      </c>
      <c r="D8" s="1355">
        <f t="shared" si="12"/>
        <v>273.5</v>
      </c>
      <c r="E8" s="1355">
        <v>263</v>
      </c>
      <c r="F8" s="1355">
        <f t="shared" si="12"/>
        <v>259.5</v>
      </c>
      <c r="G8" s="1355">
        <v>256</v>
      </c>
      <c r="H8" s="1355">
        <f t="shared" si="0"/>
        <v>253.5</v>
      </c>
      <c r="I8" s="1355">
        <v>251</v>
      </c>
      <c r="J8" s="1355">
        <f t="shared" si="1"/>
        <v>248</v>
      </c>
      <c r="K8" s="1355">
        <v>245</v>
      </c>
      <c r="L8" s="1355">
        <f t="shared" si="2"/>
        <v>243.5</v>
      </c>
      <c r="M8" s="1355">
        <v>242</v>
      </c>
      <c r="N8" s="1353">
        <f t="shared" si="13"/>
        <v>240.5</v>
      </c>
      <c r="O8" s="1353">
        <f t="shared" si="3"/>
        <v>239</v>
      </c>
      <c r="P8" s="1353">
        <f t="shared" si="3"/>
        <v>237.5</v>
      </c>
      <c r="Q8" s="1353">
        <f t="shared" si="3"/>
        <v>236</v>
      </c>
      <c r="R8" s="1353">
        <f t="shared" si="3"/>
        <v>234.5</v>
      </c>
      <c r="W8" s="2575"/>
      <c r="X8" s="1355">
        <v>5000</v>
      </c>
      <c r="Y8" s="1355">
        <v>284</v>
      </c>
      <c r="Z8" s="1355">
        <f t="shared" si="14"/>
        <v>273.5</v>
      </c>
      <c r="AA8" s="1355">
        <v>263</v>
      </c>
      <c r="AB8" s="1355">
        <f t="shared" si="15"/>
        <v>259.5</v>
      </c>
      <c r="AC8" s="1355">
        <v>256</v>
      </c>
      <c r="AD8" s="1355">
        <f t="shared" si="16"/>
        <v>253.5</v>
      </c>
      <c r="AE8" s="1355">
        <v>251</v>
      </c>
      <c r="AF8" s="1355">
        <f t="shared" si="17"/>
        <v>248</v>
      </c>
      <c r="AG8" s="1355">
        <v>245</v>
      </c>
      <c r="AH8" s="1355">
        <f t="shared" si="18"/>
        <v>243.5</v>
      </c>
      <c r="AI8" s="1355">
        <v>242</v>
      </c>
      <c r="AJ8" s="1353">
        <f t="shared" si="19"/>
        <v>240.5</v>
      </c>
      <c r="AK8" s="1353">
        <f t="shared" si="4"/>
        <v>239</v>
      </c>
      <c r="AL8" s="1353">
        <f t="shared" si="5"/>
        <v>237.5</v>
      </c>
      <c r="AM8" s="1353">
        <f t="shared" si="6"/>
        <v>236</v>
      </c>
      <c r="AN8" s="1353">
        <f t="shared" si="7"/>
        <v>234.5</v>
      </c>
      <c r="AO8" s="13"/>
      <c r="AP8" s="1361"/>
      <c r="AQ8" s="2575"/>
      <c r="AR8" s="1355">
        <v>5000</v>
      </c>
      <c r="AS8" s="1355">
        <v>284</v>
      </c>
      <c r="AT8" s="1355">
        <f t="shared" si="20"/>
        <v>273.5</v>
      </c>
      <c r="AU8" s="1355">
        <v>263</v>
      </c>
      <c r="AV8" s="1355">
        <f t="shared" si="21"/>
        <v>259.5</v>
      </c>
      <c r="AW8" s="1355">
        <v>256</v>
      </c>
      <c r="AX8" s="1355">
        <f t="shared" si="22"/>
        <v>253.5</v>
      </c>
      <c r="AY8" s="1355">
        <v>251</v>
      </c>
      <c r="AZ8" s="1355">
        <f t="shared" si="23"/>
        <v>248</v>
      </c>
      <c r="BA8" s="1355">
        <v>245</v>
      </c>
      <c r="BB8" s="1355">
        <f t="shared" si="24"/>
        <v>243.5</v>
      </c>
      <c r="BC8" s="1355">
        <v>242</v>
      </c>
      <c r="BD8" s="1353">
        <f t="shared" si="25"/>
        <v>240.5</v>
      </c>
      <c r="BE8" s="1353">
        <f t="shared" si="8"/>
        <v>239</v>
      </c>
      <c r="BF8" s="1353">
        <f t="shared" si="9"/>
        <v>237.5</v>
      </c>
      <c r="BG8" s="1353">
        <f t="shared" si="10"/>
        <v>236</v>
      </c>
      <c r="BH8" s="1353">
        <f t="shared" si="11"/>
        <v>234.5</v>
      </c>
      <c r="BI8" s="13"/>
    </row>
    <row r="9" spans="1:61" ht="16.5" customHeight="1" x14ac:dyDescent="0.25">
      <c r="A9" s="2575"/>
      <c r="B9" s="1355">
        <v>6000</v>
      </c>
      <c r="C9" s="1355">
        <v>312</v>
      </c>
      <c r="D9" s="1355">
        <f t="shared" si="12"/>
        <v>299.5</v>
      </c>
      <c r="E9" s="1355">
        <v>287</v>
      </c>
      <c r="F9" s="1355">
        <f t="shared" si="12"/>
        <v>282.5</v>
      </c>
      <c r="G9" s="1355">
        <v>278</v>
      </c>
      <c r="H9" s="1355">
        <f t="shared" si="0"/>
        <v>275</v>
      </c>
      <c r="I9" s="1355">
        <v>272</v>
      </c>
      <c r="J9" s="1355">
        <f t="shared" si="1"/>
        <v>268.5</v>
      </c>
      <c r="K9" s="1355">
        <v>265</v>
      </c>
      <c r="L9" s="1355">
        <f t="shared" si="2"/>
        <v>263.5</v>
      </c>
      <c r="M9" s="1355">
        <v>262</v>
      </c>
      <c r="N9" s="1353">
        <f t="shared" si="13"/>
        <v>260.5</v>
      </c>
      <c r="O9" s="1353">
        <f t="shared" si="3"/>
        <v>259</v>
      </c>
      <c r="P9" s="1353">
        <f t="shared" si="3"/>
        <v>257.5</v>
      </c>
      <c r="Q9" s="1353">
        <f t="shared" si="3"/>
        <v>256</v>
      </c>
      <c r="R9" s="1353">
        <f t="shared" si="3"/>
        <v>254.5</v>
      </c>
      <c r="W9" s="2575"/>
      <c r="X9" s="1355">
        <v>6000</v>
      </c>
      <c r="Y9" s="1355">
        <v>312</v>
      </c>
      <c r="Z9" s="1355">
        <f t="shared" si="14"/>
        <v>299.5</v>
      </c>
      <c r="AA9" s="1355">
        <v>287</v>
      </c>
      <c r="AB9" s="1355">
        <f t="shared" si="15"/>
        <v>282.5</v>
      </c>
      <c r="AC9" s="1355">
        <v>278</v>
      </c>
      <c r="AD9" s="1355">
        <f t="shared" si="16"/>
        <v>275</v>
      </c>
      <c r="AE9" s="1355">
        <v>272</v>
      </c>
      <c r="AF9" s="1355">
        <f t="shared" si="17"/>
        <v>268.5</v>
      </c>
      <c r="AG9" s="1355">
        <v>265</v>
      </c>
      <c r="AH9" s="1355">
        <f t="shared" si="18"/>
        <v>263.5</v>
      </c>
      <c r="AI9" s="1355">
        <v>262</v>
      </c>
      <c r="AJ9" s="1353">
        <f t="shared" si="19"/>
        <v>260.5</v>
      </c>
      <c r="AK9" s="1353">
        <f t="shared" si="4"/>
        <v>259</v>
      </c>
      <c r="AL9" s="1353">
        <f t="shared" si="5"/>
        <v>257.5</v>
      </c>
      <c r="AM9" s="1353">
        <f t="shared" si="6"/>
        <v>256</v>
      </c>
      <c r="AN9" s="1353">
        <f t="shared" si="7"/>
        <v>254.5</v>
      </c>
      <c r="AO9" s="13"/>
      <c r="AP9" s="1361"/>
      <c r="AQ9" s="2575"/>
      <c r="AR9" s="1355">
        <v>6000</v>
      </c>
      <c r="AS9" s="1355">
        <v>312</v>
      </c>
      <c r="AT9" s="1355">
        <f t="shared" si="20"/>
        <v>299.5</v>
      </c>
      <c r="AU9" s="1355">
        <v>287</v>
      </c>
      <c r="AV9" s="1355">
        <f t="shared" si="21"/>
        <v>282.5</v>
      </c>
      <c r="AW9" s="1355">
        <v>278</v>
      </c>
      <c r="AX9" s="1355">
        <f t="shared" si="22"/>
        <v>275</v>
      </c>
      <c r="AY9" s="1355">
        <v>272</v>
      </c>
      <c r="AZ9" s="1355">
        <f t="shared" si="23"/>
        <v>268.5</v>
      </c>
      <c r="BA9" s="1355">
        <v>265</v>
      </c>
      <c r="BB9" s="1355">
        <f t="shared" si="24"/>
        <v>263.5</v>
      </c>
      <c r="BC9" s="1355">
        <v>262</v>
      </c>
      <c r="BD9" s="1353">
        <f t="shared" si="25"/>
        <v>260.5</v>
      </c>
      <c r="BE9" s="1353">
        <f t="shared" si="8"/>
        <v>259</v>
      </c>
      <c r="BF9" s="1353">
        <f t="shared" si="9"/>
        <v>257.5</v>
      </c>
      <c r="BG9" s="1353">
        <f t="shared" si="10"/>
        <v>256</v>
      </c>
      <c r="BH9" s="1353">
        <f t="shared" si="11"/>
        <v>254.5</v>
      </c>
      <c r="BI9" s="13"/>
    </row>
    <row r="10" spans="1:61" ht="16.5" customHeight="1" x14ac:dyDescent="0.25">
      <c r="A10" s="2575"/>
      <c r="B10" s="1355">
        <v>8000</v>
      </c>
      <c r="C10" s="1355">
        <v>370</v>
      </c>
      <c r="D10" s="1355">
        <f t="shared" si="12"/>
        <v>353.5</v>
      </c>
      <c r="E10" s="1355">
        <v>337</v>
      </c>
      <c r="F10" s="1355">
        <f t="shared" si="12"/>
        <v>331.5</v>
      </c>
      <c r="G10" s="1355">
        <v>326</v>
      </c>
      <c r="H10" s="1355">
        <f t="shared" si="0"/>
        <v>321.5</v>
      </c>
      <c r="I10" s="1355">
        <v>317</v>
      </c>
      <c r="J10" s="1355">
        <f t="shared" si="1"/>
        <v>312.5</v>
      </c>
      <c r="K10" s="1355">
        <v>308</v>
      </c>
      <c r="L10" s="1355">
        <f t="shared" si="2"/>
        <v>306</v>
      </c>
      <c r="M10" s="1355">
        <v>304</v>
      </c>
      <c r="N10" s="1353">
        <f t="shared" si="13"/>
        <v>302</v>
      </c>
      <c r="O10" s="1353">
        <f t="shared" si="3"/>
        <v>300</v>
      </c>
      <c r="P10" s="1353">
        <f t="shared" si="3"/>
        <v>298</v>
      </c>
      <c r="Q10" s="1353">
        <f t="shared" si="3"/>
        <v>296</v>
      </c>
      <c r="R10" s="1353">
        <f t="shared" si="3"/>
        <v>294</v>
      </c>
      <c r="W10" s="2575"/>
      <c r="X10" s="1355">
        <v>8000</v>
      </c>
      <c r="Y10" s="1355">
        <v>370</v>
      </c>
      <c r="Z10" s="1355">
        <f t="shared" si="14"/>
        <v>353.5</v>
      </c>
      <c r="AA10" s="1355">
        <v>337</v>
      </c>
      <c r="AB10" s="1355">
        <f t="shared" si="15"/>
        <v>331.5</v>
      </c>
      <c r="AC10" s="1355">
        <v>326</v>
      </c>
      <c r="AD10" s="1355">
        <f t="shared" si="16"/>
        <v>321.5</v>
      </c>
      <c r="AE10" s="1355">
        <v>317</v>
      </c>
      <c r="AF10" s="1355">
        <f t="shared" si="17"/>
        <v>312.5</v>
      </c>
      <c r="AG10" s="1355">
        <v>308</v>
      </c>
      <c r="AH10" s="1355">
        <f t="shared" si="18"/>
        <v>306</v>
      </c>
      <c r="AI10" s="1355">
        <v>304</v>
      </c>
      <c r="AJ10" s="1353">
        <f t="shared" si="19"/>
        <v>302</v>
      </c>
      <c r="AK10" s="1353">
        <f t="shared" si="4"/>
        <v>300</v>
      </c>
      <c r="AL10" s="1353">
        <f t="shared" si="5"/>
        <v>298</v>
      </c>
      <c r="AM10" s="1353">
        <f t="shared" si="6"/>
        <v>296</v>
      </c>
      <c r="AN10" s="1353">
        <f t="shared" si="7"/>
        <v>294</v>
      </c>
      <c r="AO10" s="13"/>
      <c r="AP10" s="1361"/>
      <c r="AQ10" s="2575"/>
      <c r="AR10" s="1355">
        <v>8000</v>
      </c>
      <c r="AS10" s="1355">
        <v>370</v>
      </c>
      <c r="AT10" s="1355">
        <f t="shared" si="20"/>
        <v>353.5</v>
      </c>
      <c r="AU10" s="1355">
        <v>337</v>
      </c>
      <c r="AV10" s="1355">
        <f t="shared" si="21"/>
        <v>331.5</v>
      </c>
      <c r="AW10" s="1355">
        <v>326</v>
      </c>
      <c r="AX10" s="1355">
        <f t="shared" si="22"/>
        <v>321.5</v>
      </c>
      <c r="AY10" s="1355">
        <v>317</v>
      </c>
      <c r="AZ10" s="1355">
        <f t="shared" si="23"/>
        <v>312.5</v>
      </c>
      <c r="BA10" s="1355">
        <v>308</v>
      </c>
      <c r="BB10" s="1355">
        <f t="shared" si="24"/>
        <v>306</v>
      </c>
      <c r="BC10" s="1355">
        <v>304</v>
      </c>
      <c r="BD10" s="1353">
        <f t="shared" si="25"/>
        <v>302</v>
      </c>
      <c r="BE10" s="1353">
        <f t="shared" si="8"/>
        <v>300</v>
      </c>
      <c r="BF10" s="1353">
        <f t="shared" si="9"/>
        <v>298</v>
      </c>
      <c r="BG10" s="1353">
        <f t="shared" si="10"/>
        <v>296</v>
      </c>
      <c r="BH10" s="1353">
        <f t="shared" si="11"/>
        <v>294</v>
      </c>
      <c r="BI10" s="13"/>
    </row>
    <row r="11" spans="1:61" ht="18.75" customHeight="1" x14ac:dyDescent="0.25">
      <c r="A11" s="2575"/>
      <c r="B11" s="1355">
        <v>10000</v>
      </c>
      <c r="C11" s="1355">
        <v>426</v>
      </c>
      <c r="D11" s="1355">
        <f t="shared" si="12"/>
        <v>405</v>
      </c>
      <c r="E11" s="1355">
        <v>384</v>
      </c>
      <c r="F11" s="1355">
        <f t="shared" si="12"/>
        <v>377</v>
      </c>
      <c r="G11" s="1355">
        <v>370</v>
      </c>
      <c r="H11" s="1355">
        <f t="shared" si="0"/>
        <v>364.5</v>
      </c>
      <c r="I11" s="1355">
        <v>359</v>
      </c>
      <c r="J11" s="1355">
        <f t="shared" si="1"/>
        <v>353.5</v>
      </c>
      <c r="K11" s="1355">
        <v>348</v>
      </c>
      <c r="L11" s="1355">
        <f t="shared" si="2"/>
        <v>345</v>
      </c>
      <c r="M11" s="1355">
        <v>342</v>
      </c>
      <c r="N11" s="1353">
        <f t="shared" si="13"/>
        <v>339</v>
      </c>
      <c r="O11" s="1353">
        <f t="shared" si="3"/>
        <v>336</v>
      </c>
      <c r="P11" s="1353">
        <f t="shared" si="3"/>
        <v>333</v>
      </c>
      <c r="Q11" s="1353">
        <f t="shared" si="3"/>
        <v>330</v>
      </c>
      <c r="R11" s="1353">
        <f t="shared" si="3"/>
        <v>327</v>
      </c>
      <c r="U11" s="13"/>
      <c r="W11" s="2575"/>
      <c r="X11" s="1355">
        <v>10000</v>
      </c>
      <c r="Y11" s="1355">
        <v>426</v>
      </c>
      <c r="Z11" s="1355">
        <f t="shared" si="14"/>
        <v>405</v>
      </c>
      <c r="AA11" s="1355">
        <v>384</v>
      </c>
      <c r="AB11" s="1355">
        <f t="shared" si="15"/>
        <v>377</v>
      </c>
      <c r="AC11" s="1355">
        <v>370</v>
      </c>
      <c r="AD11" s="1355">
        <f t="shared" si="16"/>
        <v>364.5</v>
      </c>
      <c r="AE11" s="1355">
        <v>359</v>
      </c>
      <c r="AF11" s="1355">
        <f t="shared" si="17"/>
        <v>353.5</v>
      </c>
      <c r="AG11" s="1355">
        <v>348</v>
      </c>
      <c r="AH11" s="1355">
        <f t="shared" si="18"/>
        <v>345</v>
      </c>
      <c r="AI11" s="1355">
        <v>342</v>
      </c>
      <c r="AJ11" s="1353">
        <f t="shared" si="19"/>
        <v>339</v>
      </c>
      <c r="AK11" s="1353">
        <f t="shared" si="4"/>
        <v>336</v>
      </c>
      <c r="AL11" s="1353">
        <f t="shared" si="5"/>
        <v>333</v>
      </c>
      <c r="AM11" s="1353">
        <f t="shared" si="6"/>
        <v>330</v>
      </c>
      <c r="AN11" s="1353">
        <f t="shared" si="7"/>
        <v>327</v>
      </c>
      <c r="AO11" s="13"/>
      <c r="AP11" s="1361"/>
      <c r="AQ11" s="2575"/>
      <c r="AR11" s="1355">
        <v>10000</v>
      </c>
      <c r="AS11" s="1355">
        <v>426</v>
      </c>
      <c r="AT11" s="1355">
        <f t="shared" si="20"/>
        <v>405</v>
      </c>
      <c r="AU11" s="1355">
        <v>384</v>
      </c>
      <c r="AV11" s="1355">
        <f t="shared" si="21"/>
        <v>377</v>
      </c>
      <c r="AW11" s="1355">
        <v>370</v>
      </c>
      <c r="AX11" s="1355">
        <f t="shared" si="22"/>
        <v>364.5</v>
      </c>
      <c r="AY11" s="1355">
        <v>359</v>
      </c>
      <c r="AZ11" s="1355">
        <f t="shared" si="23"/>
        <v>353.5</v>
      </c>
      <c r="BA11" s="1355">
        <v>348</v>
      </c>
      <c r="BB11" s="1355">
        <f t="shared" si="24"/>
        <v>345</v>
      </c>
      <c r="BC11" s="1355">
        <v>342</v>
      </c>
      <c r="BD11" s="1353">
        <f t="shared" si="25"/>
        <v>339</v>
      </c>
      <c r="BE11" s="1353">
        <f t="shared" si="8"/>
        <v>336</v>
      </c>
      <c r="BF11" s="1353">
        <f t="shared" si="9"/>
        <v>333</v>
      </c>
      <c r="BG11" s="1353">
        <f t="shared" si="10"/>
        <v>330</v>
      </c>
      <c r="BH11" s="1353">
        <f t="shared" si="11"/>
        <v>327</v>
      </c>
      <c r="BI11" s="13"/>
    </row>
    <row r="12" spans="1:61" s="13" customFormat="1" ht="18.75" customHeight="1" x14ac:dyDescent="0.25">
      <c r="A12" s="1356" t="s">
        <v>1263</v>
      </c>
      <c r="B12" s="1355" t="str">
        <f ca="1">'Ввод исходных данных'!G285</f>
        <v/>
      </c>
      <c r="C12" s="1355" t="e">
        <f ca="1">IF('Ввод исходных данных'!$D$19&lt;='классы ЭЭ и выбросы ПГ'!C$4,IF($B12&lt;3000,SLOPE(C5:C6,$B5:$B6)*$B12+INTERCEPT(C5:C6,$B5:$B6),SLOPE(C6:C11,$B6:$B11)*$B12+INTERCEPT(C6:C11,$B6:$B11)),0)</f>
        <v>#VALUE!</v>
      </c>
      <c r="D12" s="1355">
        <f>IF('Ввод исходных данных'!$D$19='классы ЭЭ и выбросы ПГ'!D$4,IF($B12&lt;3000,SLOPE(D5:D6,$B5:$B6)*$B12+INTERCEPT(D5:D6,$B5:$B6),SLOPE(D6:D11,$B6:$B11)*$B12+INTERCEPT(D6:D11,$B6:$B11)),0)</f>
        <v>0</v>
      </c>
      <c r="E12" s="1355">
        <f>IF('Ввод исходных данных'!$D$19='классы ЭЭ и выбросы ПГ'!E$4,IF($B12&lt;3000,SLOPE(E5:E6,$B5:$B6)*$B12+INTERCEPT(E5:E6,$B5:$B6),SLOPE(E6:E11,$B6:$B11)*$B12+INTERCEPT(E6:E11,$B6:$B11)),0)</f>
        <v>0</v>
      </c>
      <c r="F12" s="1355">
        <f>IF('Ввод исходных данных'!$D$19='классы ЭЭ и выбросы ПГ'!F$4,IF($B12&lt;3000,SLOPE(F5:F6,$B5:$B6)*$B12+INTERCEPT(F5:F6,$B5:$B6),SLOPE(F6:F11,$B6:$B11)*$B12+INTERCEPT(F6:F11,$B6:$B11)),0)</f>
        <v>0</v>
      </c>
      <c r="G12" s="1355">
        <f>IF('Ввод исходных данных'!$D$19='классы ЭЭ и выбросы ПГ'!G$4,IF($B12&lt;3000,SLOPE(G5:G6,$B5:$B6)*$B12+INTERCEPT(G5:G6,$B5:$B6),SLOPE(G6:G11,$B6:$B11)*$B12+INTERCEPT(G6:G11,$B6:$B11)),0)</f>
        <v>0</v>
      </c>
      <c r="H12" s="1355">
        <f>IF('Ввод исходных данных'!$D$19='классы ЭЭ и выбросы ПГ'!H$4,IF($B12&lt;3000,SLOPE(H5:H6,$B5:$B6)*$B12+INTERCEPT(H5:H6,$B5:$B6),SLOPE(H6:H11,$B6:$B11)*$B12+INTERCEPT(H6:H11,$B6:$B11)),0)</f>
        <v>0</v>
      </c>
      <c r="I12" s="1355">
        <f>IF('Ввод исходных данных'!$D$19='классы ЭЭ и выбросы ПГ'!I$4,IF($B12&lt;3000,SLOPE(I5:I6,$B5:$B6)*$B12+INTERCEPT(I5:I6,$B5:$B6),SLOPE(I6:I11,$B6:$B11)*$B12+INTERCEPT(I6:I11,$B6:$B11)),0)</f>
        <v>0</v>
      </c>
      <c r="J12" s="1355">
        <f>IF('Ввод исходных данных'!$D$19='классы ЭЭ и выбросы ПГ'!J$4,IF($B12&lt;3000,SLOPE(J5:J6,$B5:$B6)*$B12+INTERCEPT(J5:J6,$B5:$B6),SLOPE(J6:J11,$B6:$B11)*$B12+INTERCEPT(J6:J11,$B6:$B11)),0)</f>
        <v>0</v>
      </c>
      <c r="K12" s="1355">
        <f>IF('Ввод исходных данных'!$D$19='классы ЭЭ и выбросы ПГ'!K$4,IF($B12&lt;3000,SLOPE(K5:K6,$B5:$B6)*$B12+INTERCEPT(K5:K6,$B5:$B6),SLOPE(K6:K11,$B6:$B11)*$B12+INTERCEPT(K6:K11,$B6:$B11)),0)</f>
        <v>0</v>
      </c>
      <c r="L12" s="1355">
        <f>IF('Ввод исходных данных'!$D$19='классы ЭЭ и выбросы ПГ'!L$4,IF($B12&lt;3000,SLOPE(L5:L6,$B5:$B6)*$B12+INTERCEPT(L5:L6,$B5:$B6),SLOPE(L6:L11,$B6:$B11)*$B12+INTERCEPT(L6:L11,$B6:$B11)),0)</f>
        <v>0</v>
      </c>
      <c r="M12" s="1355">
        <f>IF('Ввод исходных данных'!$D$19='классы ЭЭ и выбросы ПГ'!M$4,IF($B12&lt;3000,SLOPE(M5:M6,$B5:$B6)*$B12+INTERCEPT(M5:M6,$B5:$B6),SLOPE(M6:M11,$B6:$B11)*$B12+INTERCEPT(M6:M11,$B6:$B11)),0)</f>
        <v>0</v>
      </c>
      <c r="N12" s="1355">
        <f>IF('Ввод исходных данных'!$D$19='классы ЭЭ и выбросы ПГ'!N$4,IF($B12&lt;3000,SLOPE(N5:N6,$B5:$B6)*$B12+INTERCEPT(N5:N6,$B5:$B6),SLOPE(N6:N11,$B6:$B11)*$B12+INTERCEPT(N6:N11,$B6:$B11)),0)</f>
        <v>0</v>
      </c>
      <c r="O12" s="1355">
        <f>IF('Ввод исходных данных'!$D$19='классы ЭЭ и выбросы ПГ'!O$4,IF($B12&lt;3000,SLOPE(O5:O6,$B5:$B6)*$B12+INTERCEPT(O5:O6,$B5:$B6),SLOPE(O6:O11,$B6:$B11)*$B12+INTERCEPT(O6:O11,$B6:$B11)),0)</f>
        <v>0</v>
      </c>
      <c r="P12" s="1355">
        <f>IF('Ввод исходных данных'!$D$19='классы ЭЭ и выбросы ПГ'!P$4,IF($B12&lt;3000,SLOPE(P5:P6,$B5:$B6)*$B12+INTERCEPT(P5:P6,$B5:$B6),SLOPE(P6:P11,$B6:$B11)*$B12+INTERCEPT(P6:P11,$B6:$B11)),0)</f>
        <v>0</v>
      </c>
      <c r="Q12" s="1355">
        <f>IF('Ввод исходных данных'!$D$19='классы ЭЭ и выбросы ПГ'!Q$4,IF($B12&lt;3000,SLOPE(Q5:Q6,$B5:$B6)*$B12+INTERCEPT(Q5:Q6,$B5:$B6),SLOPE(Q6:Q11,$B6:$B11)*$B12+INTERCEPT(Q6:Q11,$B6:$B11)),0)</f>
        <v>0</v>
      </c>
      <c r="R12" s="1355">
        <f>IF('Ввод исходных данных'!$D$19&gt;='классы ЭЭ и выбросы ПГ'!R$4,IF($B12&lt;3000,SLOPE(R5:R6,$B5:$B6)*$B12+INTERCEPT(R5:R6,$B5:$B6),SLOPE(R6:R11,$B6:$B11)*$B12+INTERCEPT(R6:R11,$B6:$B11)),0)</f>
        <v>0</v>
      </c>
      <c r="S12" s="1357" t="e">
        <f ca="1">SUM(C12:R12)-IF('Ввод исходных данных'!D159&gt;0,0,3)</f>
        <v>#VALUE!</v>
      </c>
      <c r="W12" s="1375" t="s">
        <v>1263</v>
      </c>
      <c r="X12" s="1355" t="str">
        <f>'Рейтинг МКД'!$D$11</f>
        <v/>
      </c>
      <c r="Y12" s="1355" t="e">
        <f>IF('Рейтинг МКД'!$D$13&lt;='классы ЭЭ и выбросы ПГ'!Y$4,IF($X12&lt;3000,SLOPE(Y5:Y6,$X5:$X6)*$X12+INTERCEPT(Y5:Y6,$X5:$X6),SLOPE(Y6:Y11,$X6:$X11)*$X12+INTERCEPT(Y6:Y11,$X6:$X11)),0)</f>
        <v>#VALUE!</v>
      </c>
      <c r="Z12" s="1355">
        <f>IF('Рейтинг МКД'!$D$13='классы ЭЭ и выбросы ПГ'!Z$4,IF($X12&lt;3000,SLOPE(Z5:Z6,$X5:$X6)*$X12+INTERCEPT(Z5:Z6,$X5:$X6),SLOPE(Z6:Z11,$X6:$X11)*$X12+INTERCEPT(Z6:Z11,$X6:$X11)),0)</f>
        <v>0</v>
      </c>
      <c r="AA12" s="1355">
        <f>IF('Рейтинг МКД'!$D$13='классы ЭЭ и выбросы ПГ'!AA$4,IF($X12&lt;3000,SLOPE(AA5:AA6,$X5:$X6)*$X12+INTERCEPT(AA5:AA6,$X5:$X6),SLOPE(AA6:AA11,$X6:$X11)*$X12+INTERCEPT(AA6:AA11,$X6:$X11)),0)</f>
        <v>0</v>
      </c>
      <c r="AB12" s="1355">
        <f>IF('Рейтинг МКД'!$D$13='классы ЭЭ и выбросы ПГ'!AB$4,IF($X12&lt;3000,SLOPE(AB5:AB6,$X5:$X6)*$X12+INTERCEPT(AB5:AB6,$X5:$X6),SLOPE(AB6:AB11,$X6:$X11)*$X12+INTERCEPT(AB6:AB11,$X6:$X11)),0)</f>
        <v>0</v>
      </c>
      <c r="AC12" s="1355">
        <f>IF('Рейтинг МКД'!$D$13='классы ЭЭ и выбросы ПГ'!AC$4,IF($X12&lt;3000,SLOPE(AC5:AC6,$X5:$X6)*$X12+INTERCEPT(AC5:AC6,$X5:$X6),SLOPE(AC6:AC11,$X6:$X11)*$X12+INTERCEPT(AC6:AC11,$X6:$X11)),0)</f>
        <v>0</v>
      </c>
      <c r="AD12" s="1355">
        <f>IF('Рейтинг МКД'!$D$13='классы ЭЭ и выбросы ПГ'!AD$4,IF($X12&lt;3000,SLOPE(AD5:AD6,$X5:$X6)*$X12+INTERCEPT(AD5:AD6,$X5:$X6),SLOPE(AD6:AD11,$X6:$X11)*$X12+INTERCEPT(AD6:AD11,$X6:$X11)),0)</f>
        <v>0</v>
      </c>
      <c r="AE12" s="1355">
        <f>IF('Рейтинг МКД'!$D$13='классы ЭЭ и выбросы ПГ'!AE$4,IF($X12&lt;3000,SLOPE(AE5:AE6,$X5:$X6)*$X12+INTERCEPT(AE5:AE6,$X5:$X6),SLOPE(AE6:AE11,$X6:$X11)*$X12+INTERCEPT(AE6:AE11,$X6:$X11)),0)</f>
        <v>0</v>
      </c>
      <c r="AF12" s="1355">
        <f>IF('Рейтинг МКД'!$D$13='классы ЭЭ и выбросы ПГ'!AF$4,IF($X12&lt;3000,SLOPE(AF5:AF6,$X5:$X6)*$X12+INTERCEPT(AF5:AF6,$X5:$X6),SLOPE(AF6:AF11,$X6:$X11)*$X12+INTERCEPT(AF6:AF11,$X6:$X11)),0)</f>
        <v>0</v>
      </c>
      <c r="AG12" s="1355">
        <f>IF('Рейтинг МКД'!$D$13='классы ЭЭ и выбросы ПГ'!AG$4,IF($X12&lt;3000,SLOPE(AG5:AG6,$X5:$X6)*$X12+INTERCEPT(AG5:AG6,$X5:$X6),SLOPE(AG6:AG11,$X6:$X11)*$X12+INTERCEPT(AG6:AG11,$X6:$X11)),0)</f>
        <v>0</v>
      </c>
      <c r="AH12" s="1355">
        <f>IF('Рейтинг МКД'!$D$13='классы ЭЭ и выбросы ПГ'!AH$4,IF($X12&lt;3000,SLOPE(AH5:AH6,$X5:$X6)*$X12+INTERCEPT(AH5:AH6,$X5:$X6),SLOPE(AH6:AH11,$X6:$X11)*$X12+INTERCEPT(AH6:AH11,$X6:$X11)),0)</f>
        <v>0</v>
      </c>
      <c r="AI12" s="1355">
        <f>IF('Рейтинг МКД'!$D$13='классы ЭЭ и выбросы ПГ'!AI$4,IF($X12&lt;3000,SLOPE(AI5:AI6,$X5:$X6)*$X12+INTERCEPT(AI5:AI6,$X5:$X6),SLOPE(AI6:AI11,$X6:$X11)*$X12+INTERCEPT(AI6:AI11,$X6:$X11)),0)</f>
        <v>0</v>
      </c>
      <c r="AJ12" s="1355">
        <f>IF('Рейтинг МКД'!$D$13='классы ЭЭ и выбросы ПГ'!AJ$4,IF($X12&lt;3000,SLOPE(AJ5:AJ6,$X5:$X6)*$X12+INTERCEPT(AJ5:AJ6,$X5:$X6),SLOPE(AJ6:AJ11,$X6:$X11)*$X12+INTERCEPT(AJ6:AJ11,$X6:$X11)),0)</f>
        <v>0</v>
      </c>
      <c r="AK12" s="1355">
        <f>IF('Рейтинг МКД'!$D$13='классы ЭЭ и выбросы ПГ'!AK$4,IF($X12&lt;3000,SLOPE(AK5:AK6,$X5:$X6)*$X12+INTERCEPT(AK5:AK6,$X5:$X6),SLOPE(AK6:AK11,$X6:$X11)*$X12+INTERCEPT(AK6:AK11,$X6:$X11)),0)</f>
        <v>0</v>
      </c>
      <c r="AL12" s="1355">
        <f>IF('Рейтинг МКД'!$D$13='классы ЭЭ и выбросы ПГ'!AL$4,IF($X12&lt;3000,SLOPE(AL5:AL6,$X5:$X6)*$X12+INTERCEPT(AL5:AL6,$X5:$X6),SLOPE(AL6:AL11,$X6:$X11)*$X12+INTERCEPT(AL6:AL11,$X6:$X11)),0)</f>
        <v>0</v>
      </c>
      <c r="AM12" s="1355">
        <f>IF('Рейтинг МКД'!$D$13='классы ЭЭ и выбросы ПГ'!AM$4,IF($X12&lt;3000,SLOPE(AM5:AM6,$X5:$X6)*$X12+INTERCEPT(AM5:AM6,$X5:$X6),SLOPE(AM6:AM11,$X6:$X11)*$X12+INTERCEPT(AM6:AM11,$X6:$X11)),0)</f>
        <v>0</v>
      </c>
      <c r="AN12" s="1355">
        <f>IF('Рейтинг МКД'!$D$13&gt;='классы ЭЭ и выбросы ПГ'!AN$4,IF($X12&lt;3000,SLOPE(AN5:AN6,$X5:$X6)*$X12+INTERCEPT(AN5:AN6,$X5:$X6),SLOPE(AN6:AN11,$X6:$X11)*$X12+INTERCEPT(AN6:AN11,$X6:$X11)),0)</f>
        <v>0</v>
      </c>
      <c r="AO12" s="1357" t="e">
        <f>SUM(Y12:AN12)-IF('Рейтинг МКД'!D15="да",0,3)</f>
        <v>#VALUE!</v>
      </c>
      <c r="AP12" s="1361"/>
      <c r="AQ12" s="1377" t="s">
        <v>1263</v>
      </c>
      <c r="AR12" s="1355" t="str">
        <f ca="1">B12</f>
        <v/>
      </c>
      <c r="AS12" s="1355" t="e">
        <f ca="1">IF('Ввод исходных данных'!$D$19&lt;='классы ЭЭ и выбросы ПГ'!AS$4,IF($AR12&lt;3000,SLOPE(AS5:AS6,$AR5:$AR6)*$AR12+INTERCEPT(AS5:AS6,$AR5:$AR6),SLOPE(AS6:AS11,$AR6:$AR11)*$AR12+INTERCEPT(AS6:AS11,$AR6:$AR11)),0)</f>
        <v>#VALUE!</v>
      </c>
      <c r="AT12" s="1355">
        <f>IF('Ввод исходных данных'!$D$19='классы ЭЭ и выбросы ПГ'!AT$4,IF($AR12&lt;3000,SLOPE(AT5:AT6,$AR5:$AR6)*$AR12+INTERCEPT(AT5:AT6,$AR5:$AR6),SLOPE(AT6:AT11,$AR6:$AR11)*$AR12+INTERCEPT(AT6:AT11,$AR6:$AR11)),0)</f>
        <v>0</v>
      </c>
      <c r="AU12" s="1355">
        <f>IF('Ввод исходных данных'!$D$19='классы ЭЭ и выбросы ПГ'!AU$4,IF($AR12&lt;3000,SLOPE(AU5:AU6,$AR5:$AR6)*$AR12+INTERCEPT(AU5:AU6,$AR5:$AR6),SLOPE(AU6:AU11,$AR6:$AR11)*$AR12+INTERCEPT(AU6:AU11,$AR6:$AR11)),0)</f>
        <v>0</v>
      </c>
      <c r="AV12" s="1355">
        <f>IF('Ввод исходных данных'!$D$19='классы ЭЭ и выбросы ПГ'!AV$4,IF($AR12&lt;3000,SLOPE(AV5:AV6,$AR5:$AR6)*$AR12+INTERCEPT(AV5:AV6,$AR5:$AR6),SLOPE(AV6:AV11,$AR6:$AR11)*$AR12+INTERCEPT(AV6:AV11,$AR6:$AR11)),0)</f>
        <v>0</v>
      </c>
      <c r="AW12" s="1355">
        <f>IF('Ввод исходных данных'!$D$19='классы ЭЭ и выбросы ПГ'!AW$4,IF($AR12&lt;3000,SLOPE(AW5:AW6,$AR5:$AR6)*$AR12+INTERCEPT(AW5:AW6,$AR5:$AR6),SLOPE(AW6:AW11,$AR6:$AR11)*$AR12+INTERCEPT(AW6:AW11,$AR6:$AR11)),0)</f>
        <v>0</v>
      </c>
      <c r="AX12" s="1355">
        <f>IF('Ввод исходных данных'!$D$19='классы ЭЭ и выбросы ПГ'!AX$4,IF($AR12&lt;3000,SLOPE(AX5:AX6,$AR5:$AR6)*$AR12+INTERCEPT(AX5:AX6,$AR5:$AR6),SLOPE(AX6:AX11,$AR6:$AR11)*$AR12+INTERCEPT(AX6:AX11,$AR6:$AR11)),0)</f>
        <v>0</v>
      </c>
      <c r="AY12" s="1355">
        <f>IF('Ввод исходных данных'!$D$19='классы ЭЭ и выбросы ПГ'!AY$4,IF($AR12&lt;3000,SLOPE(AY5:AY6,$AR5:$AR6)*$AR12+INTERCEPT(AY5:AY6,$AR5:$AR6),SLOPE(AY6:AY11,$AR6:$AR11)*$AR12+INTERCEPT(AY6:AY11,$AR6:$AR11)),0)</f>
        <v>0</v>
      </c>
      <c r="AZ12" s="1355">
        <f>IF('Ввод исходных данных'!$D$19='классы ЭЭ и выбросы ПГ'!AZ$4,IF($AR12&lt;3000,SLOPE(AZ5:AZ6,$AR5:$AR6)*$AR12+INTERCEPT(AZ5:AZ6,$AR5:$AR6),SLOPE(AZ6:AZ11,$AR6:$AR11)*$AR12+INTERCEPT(AZ6:AZ11,$AR6:$AR11)),0)</f>
        <v>0</v>
      </c>
      <c r="BA12" s="1355">
        <f>IF('Ввод исходных данных'!$D$19='классы ЭЭ и выбросы ПГ'!BA$4,IF($AR12&lt;3000,SLOPE(BA5:BA6,$AR5:$AR6)*$AR12+INTERCEPT(BA5:BA6,$AR5:$AR6),SLOPE(BA6:BA11,$AR6:$AR11)*$AR12+INTERCEPT(BA6:BA11,$AR6:$AR11)),0)</f>
        <v>0</v>
      </c>
      <c r="BB12" s="1355">
        <f>IF('Ввод исходных данных'!$D$19='классы ЭЭ и выбросы ПГ'!BB$4,IF($AR12&lt;3000,SLOPE(BB5:BB6,$AR5:$AR6)*$AR12+INTERCEPT(BB5:BB6,$AR5:$AR6),SLOPE(BB6:BB11,$AR6:$AR11)*$AR12+INTERCEPT(BB6:BB11,$AR6:$AR11)),0)</f>
        <v>0</v>
      </c>
      <c r="BC12" s="1355">
        <f>IF('Ввод исходных данных'!$D$19='классы ЭЭ и выбросы ПГ'!BC$4,IF($AR12&lt;3000,SLOPE(BC5:BC6,$AR5:$AR6)*$AR12+INTERCEPT(BC5:BC6,$AR5:$AR6),SLOPE(BC6:BC11,$AR6:$AR11)*$AR12+INTERCEPT(BC6:BC11,$AR6:$AR11)),0)</f>
        <v>0</v>
      </c>
      <c r="BD12" s="1355">
        <f>IF('Ввод исходных данных'!$D$19='классы ЭЭ и выбросы ПГ'!BD$4,IF($AR12&lt;3000,SLOPE(BD5:BD6,$AR5:$AR6)*$AR12+INTERCEPT(BD5:BD6,$AR5:$AR6),SLOPE(BD6:BD11,$AR6:$AR11)*$AR12+INTERCEPT(BD6:BD11,$AR6:$AR11)),0)</f>
        <v>0</v>
      </c>
      <c r="BE12" s="1355">
        <f>IF('Ввод исходных данных'!$D$19='классы ЭЭ и выбросы ПГ'!BE$4,IF($AR12&lt;3000,SLOPE(BE5:BE6,$AR5:$AR6)*$AR12+INTERCEPT(BE5:BE6,$AR5:$AR6),SLOPE(BE6:BE11,$AR6:$AR11)*$AR12+INTERCEPT(BE6:BE11,$AR6:$AR11)),0)</f>
        <v>0</v>
      </c>
      <c r="BF12" s="1355">
        <f>IF('Ввод исходных данных'!$D$19='классы ЭЭ и выбросы ПГ'!BF$4,IF($AR12&lt;3000,SLOPE(BF5:BF6,$AR5:$AR6)*$AR12+INTERCEPT(BF5:BF6,$AR5:$AR6),SLOPE(BF6:BF11,$AR6:$AR11)*$AR12+INTERCEPT(BF6:BF11,$AR6:$AR11)),0)</f>
        <v>0</v>
      </c>
      <c r="BG12" s="1355">
        <f>IF('Ввод исходных данных'!$D$19='классы ЭЭ и выбросы ПГ'!BG$4,IF($AR12&lt;3000,SLOPE(BG5:BG6,$AR5:$AR6)*$AR12+INTERCEPT(BG5:BG6,$AR5:$AR6),SLOPE(BG6:BG11,$AR6:$AR11)*$AR12+INTERCEPT(BG6:BG11,$AR6:$AR11)),0)</f>
        <v>0</v>
      </c>
      <c r="BH12" s="1355">
        <f>IF('Ввод исходных данных'!$D$19&gt;='классы ЭЭ и выбросы ПГ'!BH$4,IF($AR12&lt;3000,SLOPE(BH5:BH6,$AR5:$AR6)*$AR12+INTERCEPT(BH5:BH6,$AR5:$AR6),SLOPE(BH6:BH11,$AR6:$AR11)*$AR12+INTERCEPT(BH6:BH11,$AR6:$AR11)),0)</f>
        <v>0</v>
      </c>
      <c r="BI12" s="1357" t="e">
        <f ca="1">SUM(AS12:BH12)-IF('Ввод исходных данных'!D159&gt;0,0,3)</f>
        <v>#VALUE!</v>
      </c>
    </row>
    <row r="13" spans="1:61" ht="16.5" customHeight="1" x14ac:dyDescent="0.25">
      <c r="A13" s="2575" t="s">
        <v>1786</v>
      </c>
      <c r="B13" s="1355">
        <v>2000</v>
      </c>
      <c r="C13" s="1355">
        <v>67</v>
      </c>
      <c r="D13" s="1355">
        <f t="shared" ref="D13:D19" si="26">AVERAGE(C13,E13)</f>
        <v>61.5</v>
      </c>
      <c r="E13" s="1355">
        <v>56</v>
      </c>
      <c r="F13" s="1355">
        <f t="shared" ref="F13:F19" si="27">AVERAGE(E13,G13)</f>
        <v>50</v>
      </c>
      <c r="G13" s="1355">
        <v>44</v>
      </c>
      <c r="H13" s="1355">
        <f t="shared" ref="H13:H19" si="28">AVERAGE(G13,I13)</f>
        <v>43</v>
      </c>
      <c r="I13" s="1355">
        <v>42</v>
      </c>
      <c r="J13" s="1355">
        <f t="shared" ref="J13:J19" si="29">AVERAGE(I13,K13)</f>
        <v>41</v>
      </c>
      <c r="K13" s="1355">
        <v>40</v>
      </c>
      <c r="L13" s="1355">
        <f t="shared" ref="L13:L19" si="30">AVERAGE(K13,M13)</f>
        <v>39.5</v>
      </c>
      <c r="M13" s="1355">
        <v>39</v>
      </c>
      <c r="N13" s="1353">
        <f>M13+(M13-L13)</f>
        <v>38.5</v>
      </c>
      <c r="O13" s="1353">
        <f t="shared" ref="O13:O19" si="31">N13+(N13-M13)</f>
        <v>38</v>
      </c>
      <c r="P13" s="1353">
        <f t="shared" ref="P13:P19" si="32">O13+(O13-N13)</f>
        <v>37.5</v>
      </c>
      <c r="Q13" s="1353">
        <f t="shared" ref="Q13:Q19" si="33">P13+(P13-O13)</f>
        <v>37</v>
      </c>
      <c r="R13" s="1353">
        <f t="shared" ref="R13:R19" si="34">Q13+(Q13-P13)</f>
        <v>36.5</v>
      </c>
      <c r="T13" s="13"/>
      <c r="U13" s="13"/>
      <c r="W13" s="2575" t="s">
        <v>1786</v>
      </c>
      <c r="X13" s="1355">
        <v>2000</v>
      </c>
      <c r="Y13" s="1355">
        <v>67</v>
      </c>
      <c r="Z13" s="1355">
        <f>AVERAGE(Y13,AA13)</f>
        <v>61.5</v>
      </c>
      <c r="AA13" s="1355">
        <v>56</v>
      </c>
      <c r="AB13" s="1355">
        <f>AVERAGE(AA13,AC13)</f>
        <v>50</v>
      </c>
      <c r="AC13" s="1355">
        <v>44</v>
      </c>
      <c r="AD13" s="1355">
        <f>AVERAGE(AC13,AE13)</f>
        <v>43</v>
      </c>
      <c r="AE13" s="1355">
        <v>42</v>
      </c>
      <c r="AF13" s="1355">
        <f>AVERAGE(AE13,AG13)</f>
        <v>41</v>
      </c>
      <c r="AG13" s="1355">
        <v>40</v>
      </c>
      <c r="AH13" s="1355">
        <f>AVERAGE(AG13,AI13)</f>
        <v>39.5</v>
      </c>
      <c r="AI13" s="1355">
        <v>39</v>
      </c>
      <c r="AJ13" s="1353">
        <f>AI13+(AI13-AH13)</f>
        <v>38.5</v>
      </c>
      <c r="AK13" s="1353">
        <f t="shared" ref="AK13:AK19" si="35">AJ13+(AJ13-AI13)</f>
        <v>38</v>
      </c>
      <c r="AL13" s="1353">
        <f t="shared" ref="AL13:AL19" si="36">AK13+(AK13-AJ13)</f>
        <v>37.5</v>
      </c>
      <c r="AM13" s="1353">
        <f t="shared" ref="AM13:AM19" si="37">AL13+(AL13-AK13)</f>
        <v>37</v>
      </c>
      <c r="AN13" s="1353">
        <f t="shared" ref="AN13:AN19" si="38">AM13+(AM13-AL13)</f>
        <v>36.5</v>
      </c>
      <c r="AO13" s="13"/>
      <c r="AP13" s="1427"/>
      <c r="AQ13" s="2575" t="s">
        <v>1786</v>
      </c>
      <c r="AR13" s="1355">
        <v>2000</v>
      </c>
      <c r="AS13" s="1355">
        <v>67</v>
      </c>
      <c r="AT13" s="1355">
        <f>AVERAGE(AS13,AU13)</f>
        <v>61.5</v>
      </c>
      <c r="AU13" s="1355">
        <v>56</v>
      </c>
      <c r="AV13" s="1355">
        <f>AVERAGE(AU13,AW13)</f>
        <v>50</v>
      </c>
      <c r="AW13" s="1355">
        <v>44</v>
      </c>
      <c r="AX13" s="1355">
        <f>AVERAGE(AW13,AY13)</f>
        <v>43</v>
      </c>
      <c r="AY13" s="1355">
        <v>42</v>
      </c>
      <c r="AZ13" s="1355">
        <f>AVERAGE(AY13,BA13)</f>
        <v>41</v>
      </c>
      <c r="BA13" s="1355">
        <v>40</v>
      </c>
      <c r="BB13" s="1355">
        <f>AVERAGE(BA13,BC13)</f>
        <v>39.5</v>
      </c>
      <c r="BC13" s="1355">
        <v>39</v>
      </c>
      <c r="BD13" s="1353">
        <f>BC13+(BC13-BB13)</f>
        <v>38.5</v>
      </c>
      <c r="BE13" s="1353">
        <f t="shared" ref="BE13:BE19" si="39">BD13+(BD13-BC13)</f>
        <v>38</v>
      </c>
      <c r="BF13" s="1353">
        <f t="shared" ref="BF13:BF19" si="40">BE13+(BE13-BD13)</f>
        <v>37.5</v>
      </c>
      <c r="BG13" s="1353">
        <f t="shared" ref="BG13:BG19" si="41">BF13+(BF13-BE13)</f>
        <v>37</v>
      </c>
      <c r="BH13" s="1353">
        <f t="shared" ref="BH13:BH19" si="42">BG13+(BG13-BF13)</f>
        <v>36.5</v>
      </c>
      <c r="BI13" s="13"/>
    </row>
    <row r="14" spans="1:61" ht="16.5" customHeight="1" x14ac:dyDescent="0.25">
      <c r="A14" s="2575"/>
      <c r="B14" s="1355">
        <v>3000</v>
      </c>
      <c r="C14" s="1355">
        <v>100</v>
      </c>
      <c r="D14" s="1355">
        <f t="shared" si="26"/>
        <v>91.5</v>
      </c>
      <c r="E14" s="1355">
        <v>83</v>
      </c>
      <c r="F14" s="1355">
        <f t="shared" si="27"/>
        <v>75</v>
      </c>
      <c r="G14" s="1355">
        <v>67</v>
      </c>
      <c r="H14" s="1355">
        <f t="shared" si="28"/>
        <v>65</v>
      </c>
      <c r="I14" s="1355">
        <v>63</v>
      </c>
      <c r="J14" s="1355">
        <f t="shared" si="29"/>
        <v>61.5</v>
      </c>
      <c r="K14" s="1355">
        <v>60</v>
      </c>
      <c r="L14" s="1355">
        <f t="shared" si="30"/>
        <v>59</v>
      </c>
      <c r="M14" s="1355">
        <v>58</v>
      </c>
      <c r="N14" s="1353">
        <f t="shared" ref="N14:N19" si="43">M14+(M14-L14)</f>
        <v>57</v>
      </c>
      <c r="O14" s="1353">
        <f t="shared" si="31"/>
        <v>56</v>
      </c>
      <c r="P14" s="1353">
        <f t="shared" si="32"/>
        <v>55</v>
      </c>
      <c r="Q14" s="1353">
        <f t="shared" si="33"/>
        <v>54</v>
      </c>
      <c r="R14" s="1353">
        <f t="shared" si="34"/>
        <v>53</v>
      </c>
      <c r="W14" s="2575"/>
      <c r="X14" s="1355">
        <v>3000</v>
      </c>
      <c r="Y14" s="1355">
        <v>100</v>
      </c>
      <c r="Z14" s="1355">
        <f t="shared" ref="Z14:Z19" si="44">AVERAGE(Y14,AA14)</f>
        <v>91.5</v>
      </c>
      <c r="AA14" s="1355">
        <v>83</v>
      </c>
      <c r="AB14" s="1355">
        <f t="shared" ref="AB14:AB19" si="45">AVERAGE(AA14,AC14)</f>
        <v>75</v>
      </c>
      <c r="AC14" s="1355">
        <v>67</v>
      </c>
      <c r="AD14" s="1355">
        <f t="shared" ref="AD14:AD19" si="46">AVERAGE(AC14,AE14)</f>
        <v>65</v>
      </c>
      <c r="AE14" s="1355">
        <v>63</v>
      </c>
      <c r="AF14" s="1355">
        <f t="shared" ref="AF14:AF19" si="47">AVERAGE(AE14,AG14)</f>
        <v>61.5</v>
      </c>
      <c r="AG14" s="1355">
        <v>60</v>
      </c>
      <c r="AH14" s="1355">
        <f t="shared" ref="AH14:AH19" si="48">AVERAGE(AG14,AI14)</f>
        <v>59</v>
      </c>
      <c r="AI14" s="1355">
        <v>58</v>
      </c>
      <c r="AJ14" s="1353">
        <f t="shared" ref="AJ14:AJ19" si="49">AI14+(AI14-AH14)</f>
        <v>57</v>
      </c>
      <c r="AK14" s="1353">
        <f t="shared" si="35"/>
        <v>56</v>
      </c>
      <c r="AL14" s="1353">
        <f t="shared" si="36"/>
        <v>55</v>
      </c>
      <c r="AM14" s="1353">
        <f t="shared" si="37"/>
        <v>54</v>
      </c>
      <c r="AN14" s="1353">
        <f t="shared" si="38"/>
        <v>53</v>
      </c>
      <c r="AO14" s="1399" t="e">
        <f>AO12/X12</f>
        <v>#VALUE!</v>
      </c>
      <c r="AP14" s="1427"/>
      <c r="AQ14" s="2575"/>
      <c r="AR14" s="1355">
        <v>3000</v>
      </c>
      <c r="AS14" s="1355">
        <v>100</v>
      </c>
      <c r="AT14" s="1355">
        <f t="shared" ref="AT14:AT19" si="50">AVERAGE(AS14,AU14)</f>
        <v>91.5</v>
      </c>
      <c r="AU14" s="1355">
        <v>83</v>
      </c>
      <c r="AV14" s="1355">
        <f t="shared" ref="AV14:AV19" si="51">AVERAGE(AU14,AW14)</f>
        <v>75</v>
      </c>
      <c r="AW14" s="1355">
        <v>67</v>
      </c>
      <c r="AX14" s="1355">
        <f t="shared" ref="AX14:AX19" si="52">AVERAGE(AW14,AY14)</f>
        <v>65</v>
      </c>
      <c r="AY14" s="1355">
        <v>63</v>
      </c>
      <c r="AZ14" s="1355">
        <f t="shared" ref="AZ14:AZ19" si="53">AVERAGE(AY14,BA14)</f>
        <v>61.5</v>
      </c>
      <c r="BA14" s="1355">
        <v>60</v>
      </c>
      <c r="BB14" s="1355">
        <f t="shared" ref="BB14:BB19" si="54">AVERAGE(BA14,BC14)</f>
        <v>59</v>
      </c>
      <c r="BC14" s="1355">
        <v>58</v>
      </c>
      <c r="BD14" s="1353">
        <f t="shared" ref="BD14:BD19" si="55">BC14+(BC14-BB14)</f>
        <v>57</v>
      </c>
      <c r="BE14" s="1353">
        <f t="shared" si="39"/>
        <v>56</v>
      </c>
      <c r="BF14" s="1353">
        <f t="shared" si="40"/>
        <v>55</v>
      </c>
      <c r="BG14" s="1353">
        <f t="shared" si="41"/>
        <v>54</v>
      </c>
      <c r="BH14" s="1353">
        <f t="shared" si="42"/>
        <v>53</v>
      </c>
      <c r="BI14" s="13"/>
    </row>
    <row r="15" spans="1:61" ht="16.5" customHeight="1" x14ac:dyDescent="0.25">
      <c r="A15" s="2575"/>
      <c r="B15" s="1355">
        <v>4000</v>
      </c>
      <c r="C15" s="1355">
        <v>133</v>
      </c>
      <c r="D15" s="1355">
        <f t="shared" si="26"/>
        <v>122</v>
      </c>
      <c r="E15" s="1355">
        <v>111</v>
      </c>
      <c r="F15" s="1355">
        <f t="shared" si="27"/>
        <v>100</v>
      </c>
      <c r="G15" s="1355">
        <v>89</v>
      </c>
      <c r="H15" s="1355">
        <f t="shared" si="28"/>
        <v>86.5</v>
      </c>
      <c r="I15" s="1355">
        <v>84</v>
      </c>
      <c r="J15" s="1355">
        <f t="shared" si="29"/>
        <v>82</v>
      </c>
      <c r="K15" s="1355">
        <v>80</v>
      </c>
      <c r="L15" s="1355">
        <f t="shared" si="30"/>
        <v>79</v>
      </c>
      <c r="M15" s="1355">
        <v>78</v>
      </c>
      <c r="N15" s="1353">
        <f t="shared" si="43"/>
        <v>77</v>
      </c>
      <c r="O15" s="1353">
        <f t="shared" si="31"/>
        <v>76</v>
      </c>
      <c r="P15" s="1353">
        <f t="shared" si="32"/>
        <v>75</v>
      </c>
      <c r="Q15" s="1353">
        <f t="shared" si="33"/>
        <v>74</v>
      </c>
      <c r="R15" s="1353">
        <f t="shared" si="34"/>
        <v>73</v>
      </c>
      <c r="W15" s="2575"/>
      <c r="X15" s="1355">
        <v>4000</v>
      </c>
      <c r="Y15" s="1355">
        <v>133</v>
      </c>
      <c r="Z15" s="1355">
        <f t="shared" si="44"/>
        <v>122</v>
      </c>
      <c r="AA15" s="1355">
        <v>111</v>
      </c>
      <c r="AB15" s="1355">
        <f t="shared" si="45"/>
        <v>100</v>
      </c>
      <c r="AC15" s="1355">
        <v>89</v>
      </c>
      <c r="AD15" s="1355">
        <f t="shared" si="46"/>
        <v>86.5</v>
      </c>
      <c r="AE15" s="1355">
        <v>84</v>
      </c>
      <c r="AF15" s="1355">
        <f t="shared" si="47"/>
        <v>82</v>
      </c>
      <c r="AG15" s="1355">
        <v>80</v>
      </c>
      <c r="AH15" s="1355">
        <f t="shared" si="48"/>
        <v>79</v>
      </c>
      <c r="AI15" s="1355">
        <v>78</v>
      </c>
      <c r="AJ15" s="1353">
        <f t="shared" si="49"/>
        <v>77</v>
      </c>
      <c r="AK15" s="1353">
        <f t="shared" si="35"/>
        <v>76</v>
      </c>
      <c r="AL15" s="1353">
        <f t="shared" si="36"/>
        <v>75</v>
      </c>
      <c r="AM15" s="1353">
        <f t="shared" si="37"/>
        <v>74</v>
      </c>
      <c r="AN15" s="1353">
        <f t="shared" si="38"/>
        <v>73</v>
      </c>
      <c r="AO15" s="13"/>
      <c r="AP15" s="1427"/>
      <c r="AQ15" s="2575"/>
      <c r="AR15" s="1355">
        <v>4000</v>
      </c>
      <c r="AS15" s="1355">
        <v>133</v>
      </c>
      <c r="AT15" s="1355">
        <f t="shared" si="50"/>
        <v>122</v>
      </c>
      <c r="AU15" s="1355">
        <v>111</v>
      </c>
      <c r="AV15" s="1355">
        <f t="shared" si="51"/>
        <v>100</v>
      </c>
      <c r="AW15" s="1355">
        <v>89</v>
      </c>
      <c r="AX15" s="1355">
        <f t="shared" si="52"/>
        <v>86.5</v>
      </c>
      <c r="AY15" s="1355">
        <v>84</v>
      </c>
      <c r="AZ15" s="1355">
        <f t="shared" si="53"/>
        <v>82</v>
      </c>
      <c r="BA15" s="1355">
        <v>80</v>
      </c>
      <c r="BB15" s="1355">
        <f t="shared" si="54"/>
        <v>79</v>
      </c>
      <c r="BC15" s="1355">
        <v>78</v>
      </c>
      <c r="BD15" s="1353">
        <f t="shared" si="55"/>
        <v>77</v>
      </c>
      <c r="BE15" s="1353">
        <f t="shared" si="39"/>
        <v>76</v>
      </c>
      <c r="BF15" s="1353">
        <f t="shared" si="40"/>
        <v>75</v>
      </c>
      <c r="BG15" s="1353">
        <f t="shared" si="41"/>
        <v>74</v>
      </c>
      <c r="BH15" s="1353">
        <f t="shared" si="42"/>
        <v>73</v>
      </c>
      <c r="BI15" s="13"/>
    </row>
    <row r="16" spans="1:61" ht="16.5" customHeight="1" x14ac:dyDescent="0.25">
      <c r="A16" s="2575"/>
      <c r="B16" s="1355">
        <v>5000</v>
      </c>
      <c r="C16" s="1355">
        <v>167</v>
      </c>
      <c r="D16" s="1355">
        <f t="shared" si="26"/>
        <v>153</v>
      </c>
      <c r="E16" s="1355">
        <v>139</v>
      </c>
      <c r="F16" s="1355">
        <f t="shared" si="27"/>
        <v>125</v>
      </c>
      <c r="G16" s="1355">
        <v>111</v>
      </c>
      <c r="H16" s="1355">
        <f t="shared" si="28"/>
        <v>108.5</v>
      </c>
      <c r="I16" s="1355">
        <v>106</v>
      </c>
      <c r="J16" s="1355">
        <f t="shared" si="29"/>
        <v>103</v>
      </c>
      <c r="K16" s="1355">
        <v>100</v>
      </c>
      <c r="L16" s="1355">
        <f t="shared" si="30"/>
        <v>98.5</v>
      </c>
      <c r="M16" s="1355">
        <v>97</v>
      </c>
      <c r="N16" s="1353">
        <f t="shared" si="43"/>
        <v>95.5</v>
      </c>
      <c r="O16" s="1353">
        <f t="shared" si="31"/>
        <v>94</v>
      </c>
      <c r="P16" s="1353">
        <f t="shared" si="32"/>
        <v>92.5</v>
      </c>
      <c r="Q16" s="1353">
        <f t="shared" si="33"/>
        <v>91</v>
      </c>
      <c r="R16" s="1353">
        <f t="shared" si="34"/>
        <v>89.5</v>
      </c>
      <c r="W16" s="2575"/>
      <c r="X16" s="1355">
        <v>5000</v>
      </c>
      <c r="Y16" s="1355">
        <v>167</v>
      </c>
      <c r="Z16" s="1355">
        <f t="shared" si="44"/>
        <v>153</v>
      </c>
      <c r="AA16" s="1355">
        <v>139</v>
      </c>
      <c r="AB16" s="1355">
        <f t="shared" si="45"/>
        <v>125</v>
      </c>
      <c r="AC16" s="1355">
        <v>111</v>
      </c>
      <c r="AD16" s="1355">
        <f t="shared" si="46"/>
        <v>108.5</v>
      </c>
      <c r="AE16" s="1355">
        <v>106</v>
      </c>
      <c r="AF16" s="1355">
        <f t="shared" si="47"/>
        <v>103</v>
      </c>
      <c r="AG16" s="1355">
        <v>100</v>
      </c>
      <c r="AH16" s="1355">
        <f t="shared" si="48"/>
        <v>98.5</v>
      </c>
      <c r="AI16" s="1355">
        <v>97</v>
      </c>
      <c r="AJ16" s="1353">
        <f t="shared" si="49"/>
        <v>95.5</v>
      </c>
      <c r="AK16" s="1353">
        <f t="shared" si="35"/>
        <v>94</v>
      </c>
      <c r="AL16" s="1353">
        <f t="shared" si="36"/>
        <v>92.5</v>
      </c>
      <c r="AM16" s="1353">
        <f t="shared" si="37"/>
        <v>91</v>
      </c>
      <c r="AN16" s="1353">
        <f t="shared" si="38"/>
        <v>89.5</v>
      </c>
      <c r="AO16" s="13"/>
      <c r="AP16" s="1427"/>
      <c r="AQ16" s="2575"/>
      <c r="AR16" s="1355">
        <v>5000</v>
      </c>
      <c r="AS16" s="1355">
        <v>167</v>
      </c>
      <c r="AT16" s="1355">
        <f t="shared" si="50"/>
        <v>153</v>
      </c>
      <c r="AU16" s="1355">
        <v>139</v>
      </c>
      <c r="AV16" s="1355">
        <f t="shared" si="51"/>
        <v>125</v>
      </c>
      <c r="AW16" s="1355">
        <v>111</v>
      </c>
      <c r="AX16" s="1355">
        <f t="shared" si="52"/>
        <v>108.5</v>
      </c>
      <c r="AY16" s="1355">
        <v>106</v>
      </c>
      <c r="AZ16" s="1355">
        <f t="shared" si="53"/>
        <v>103</v>
      </c>
      <c r="BA16" s="1355">
        <v>100</v>
      </c>
      <c r="BB16" s="1355">
        <f t="shared" si="54"/>
        <v>98.5</v>
      </c>
      <c r="BC16" s="1355">
        <v>97</v>
      </c>
      <c r="BD16" s="1353">
        <f t="shared" si="55"/>
        <v>95.5</v>
      </c>
      <c r="BE16" s="1353">
        <f t="shared" si="39"/>
        <v>94</v>
      </c>
      <c r="BF16" s="1353">
        <f t="shared" si="40"/>
        <v>92.5</v>
      </c>
      <c r="BG16" s="1353">
        <f t="shared" si="41"/>
        <v>91</v>
      </c>
      <c r="BH16" s="1353">
        <f t="shared" si="42"/>
        <v>89.5</v>
      </c>
      <c r="BI16" s="13"/>
    </row>
    <row r="17" spans="1:61" ht="16.5" customHeight="1" x14ac:dyDescent="0.25">
      <c r="A17" s="2575"/>
      <c r="B17" s="1355">
        <v>6000</v>
      </c>
      <c r="C17" s="1355">
        <v>200</v>
      </c>
      <c r="D17" s="1355">
        <f t="shared" si="26"/>
        <v>183.5</v>
      </c>
      <c r="E17" s="1355">
        <v>167</v>
      </c>
      <c r="F17" s="1355">
        <f t="shared" si="27"/>
        <v>150</v>
      </c>
      <c r="G17" s="1355">
        <v>133</v>
      </c>
      <c r="H17" s="1355">
        <f t="shared" si="28"/>
        <v>130</v>
      </c>
      <c r="I17" s="1355">
        <v>127</v>
      </c>
      <c r="J17" s="1355">
        <f t="shared" si="29"/>
        <v>123.5</v>
      </c>
      <c r="K17" s="1355">
        <v>120</v>
      </c>
      <c r="L17" s="1355">
        <f t="shared" si="30"/>
        <v>118.5</v>
      </c>
      <c r="M17" s="1355">
        <v>117</v>
      </c>
      <c r="N17" s="1353">
        <f t="shared" si="43"/>
        <v>115.5</v>
      </c>
      <c r="O17" s="1353">
        <f t="shared" si="31"/>
        <v>114</v>
      </c>
      <c r="P17" s="1353">
        <f t="shared" si="32"/>
        <v>112.5</v>
      </c>
      <c r="Q17" s="1353">
        <f t="shared" si="33"/>
        <v>111</v>
      </c>
      <c r="R17" s="1353">
        <f t="shared" si="34"/>
        <v>109.5</v>
      </c>
      <c r="W17" s="2575"/>
      <c r="X17" s="1355">
        <v>6000</v>
      </c>
      <c r="Y17" s="1355">
        <v>200</v>
      </c>
      <c r="Z17" s="1355">
        <f t="shared" si="44"/>
        <v>183.5</v>
      </c>
      <c r="AA17" s="1355">
        <v>167</v>
      </c>
      <c r="AB17" s="1355">
        <f t="shared" si="45"/>
        <v>150</v>
      </c>
      <c r="AC17" s="1355">
        <v>133</v>
      </c>
      <c r="AD17" s="1355">
        <f t="shared" si="46"/>
        <v>130</v>
      </c>
      <c r="AE17" s="1355">
        <v>127</v>
      </c>
      <c r="AF17" s="1355">
        <f t="shared" si="47"/>
        <v>123.5</v>
      </c>
      <c r="AG17" s="1355">
        <v>120</v>
      </c>
      <c r="AH17" s="1355">
        <f t="shared" si="48"/>
        <v>118.5</v>
      </c>
      <c r="AI17" s="1355">
        <v>117</v>
      </c>
      <c r="AJ17" s="1353">
        <f t="shared" si="49"/>
        <v>115.5</v>
      </c>
      <c r="AK17" s="1353">
        <f t="shared" si="35"/>
        <v>114</v>
      </c>
      <c r="AL17" s="1353">
        <f t="shared" si="36"/>
        <v>112.5</v>
      </c>
      <c r="AM17" s="1353">
        <f t="shared" si="37"/>
        <v>111</v>
      </c>
      <c r="AN17" s="1353">
        <f t="shared" si="38"/>
        <v>109.5</v>
      </c>
      <c r="AO17" s="13"/>
      <c r="AP17" s="1427"/>
      <c r="AQ17" s="2575"/>
      <c r="AR17" s="1355">
        <v>6000</v>
      </c>
      <c r="AS17" s="1355">
        <v>200</v>
      </c>
      <c r="AT17" s="1355">
        <f t="shared" si="50"/>
        <v>183.5</v>
      </c>
      <c r="AU17" s="1355">
        <v>167</v>
      </c>
      <c r="AV17" s="1355">
        <f t="shared" si="51"/>
        <v>150</v>
      </c>
      <c r="AW17" s="1355">
        <v>133</v>
      </c>
      <c r="AX17" s="1355">
        <f t="shared" si="52"/>
        <v>130</v>
      </c>
      <c r="AY17" s="1355">
        <v>127</v>
      </c>
      <c r="AZ17" s="1355">
        <f t="shared" si="53"/>
        <v>123.5</v>
      </c>
      <c r="BA17" s="1355">
        <v>120</v>
      </c>
      <c r="BB17" s="1355">
        <f t="shared" si="54"/>
        <v>118.5</v>
      </c>
      <c r="BC17" s="1355">
        <v>117</v>
      </c>
      <c r="BD17" s="1353">
        <f t="shared" si="55"/>
        <v>115.5</v>
      </c>
      <c r="BE17" s="1353">
        <f t="shared" si="39"/>
        <v>114</v>
      </c>
      <c r="BF17" s="1353">
        <f t="shared" si="40"/>
        <v>112.5</v>
      </c>
      <c r="BG17" s="1353">
        <f t="shared" si="41"/>
        <v>111</v>
      </c>
      <c r="BH17" s="1353">
        <f t="shared" si="42"/>
        <v>109.5</v>
      </c>
      <c r="BI17" s="13"/>
    </row>
    <row r="18" spans="1:61" ht="16.5" customHeight="1" x14ac:dyDescent="0.25">
      <c r="A18" s="2575"/>
      <c r="B18" s="1355">
        <v>8000</v>
      </c>
      <c r="C18" s="1355">
        <v>253</v>
      </c>
      <c r="D18" s="1355">
        <f t="shared" si="26"/>
        <v>232</v>
      </c>
      <c r="E18" s="1355">
        <v>211</v>
      </c>
      <c r="F18" s="1355">
        <f t="shared" si="27"/>
        <v>190</v>
      </c>
      <c r="G18" s="1355">
        <v>169</v>
      </c>
      <c r="H18" s="1355">
        <f t="shared" si="28"/>
        <v>164.5</v>
      </c>
      <c r="I18" s="1355">
        <v>160</v>
      </c>
      <c r="J18" s="1355">
        <f t="shared" si="29"/>
        <v>156</v>
      </c>
      <c r="K18" s="1355">
        <v>152</v>
      </c>
      <c r="L18" s="1355">
        <f t="shared" si="30"/>
        <v>150</v>
      </c>
      <c r="M18" s="1355">
        <v>148</v>
      </c>
      <c r="N18" s="1353">
        <f t="shared" si="43"/>
        <v>146</v>
      </c>
      <c r="O18" s="1353">
        <f t="shared" si="31"/>
        <v>144</v>
      </c>
      <c r="P18" s="1353">
        <f t="shared" si="32"/>
        <v>142</v>
      </c>
      <c r="Q18" s="1353">
        <f t="shared" si="33"/>
        <v>140</v>
      </c>
      <c r="R18" s="1353">
        <f t="shared" si="34"/>
        <v>138</v>
      </c>
      <c r="W18" s="2575"/>
      <c r="X18" s="1355">
        <v>8000</v>
      </c>
      <c r="Y18" s="1355">
        <v>253</v>
      </c>
      <c r="Z18" s="1355">
        <f t="shared" si="44"/>
        <v>232</v>
      </c>
      <c r="AA18" s="1355">
        <v>211</v>
      </c>
      <c r="AB18" s="1355">
        <f t="shared" si="45"/>
        <v>190</v>
      </c>
      <c r="AC18" s="1355">
        <v>169</v>
      </c>
      <c r="AD18" s="1355">
        <f t="shared" si="46"/>
        <v>164.5</v>
      </c>
      <c r="AE18" s="1355">
        <v>160</v>
      </c>
      <c r="AF18" s="1355">
        <f t="shared" si="47"/>
        <v>156</v>
      </c>
      <c r="AG18" s="1355">
        <v>152</v>
      </c>
      <c r="AH18" s="1355">
        <f t="shared" si="48"/>
        <v>150</v>
      </c>
      <c r="AI18" s="1355">
        <v>148</v>
      </c>
      <c r="AJ18" s="1353">
        <f t="shared" si="49"/>
        <v>146</v>
      </c>
      <c r="AK18" s="1353">
        <f t="shared" si="35"/>
        <v>144</v>
      </c>
      <c r="AL18" s="1353">
        <f t="shared" si="36"/>
        <v>142</v>
      </c>
      <c r="AM18" s="1353">
        <f t="shared" si="37"/>
        <v>140</v>
      </c>
      <c r="AN18" s="1353">
        <f t="shared" si="38"/>
        <v>138</v>
      </c>
      <c r="AO18" s="13"/>
      <c r="AP18" s="1427"/>
      <c r="AQ18" s="2575"/>
      <c r="AR18" s="1355">
        <v>8000</v>
      </c>
      <c r="AS18" s="1355">
        <v>253</v>
      </c>
      <c r="AT18" s="1355">
        <f t="shared" si="50"/>
        <v>232</v>
      </c>
      <c r="AU18" s="1355">
        <v>211</v>
      </c>
      <c r="AV18" s="1355">
        <f t="shared" si="51"/>
        <v>190</v>
      </c>
      <c r="AW18" s="1355">
        <v>169</v>
      </c>
      <c r="AX18" s="1355">
        <f t="shared" si="52"/>
        <v>164.5</v>
      </c>
      <c r="AY18" s="1355">
        <v>160</v>
      </c>
      <c r="AZ18" s="1355">
        <f t="shared" si="53"/>
        <v>156</v>
      </c>
      <c r="BA18" s="1355">
        <v>152</v>
      </c>
      <c r="BB18" s="1355">
        <f t="shared" si="54"/>
        <v>150</v>
      </c>
      <c r="BC18" s="1355">
        <v>148</v>
      </c>
      <c r="BD18" s="1353">
        <f t="shared" si="55"/>
        <v>146</v>
      </c>
      <c r="BE18" s="1353">
        <f t="shared" si="39"/>
        <v>144</v>
      </c>
      <c r="BF18" s="1353">
        <f t="shared" si="40"/>
        <v>142</v>
      </c>
      <c r="BG18" s="1353">
        <f t="shared" si="41"/>
        <v>140</v>
      </c>
      <c r="BH18" s="1353">
        <f t="shared" si="42"/>
        <v>138</v>
      </c>
      <c r="BI18" s="13"/>
    </row>
    <row r="19" spans="1:61" ht="16.5" customHeight="1" x14ac:dyDescent="0.25">
      <c r="A19" s="2575"/>
      <c r="B19" s="1355">
        <v>10000</v>
      </c>
      <c r="C19" s="1355">
        <v>317</v>
      </c>
      <c r="D19" s="1355">
        <f t="shared" si="26"/>
        <v>290.5</v>
      </c>
      <c r="E19" s="1355">
        <v>264</v>
      </c>
      <c r="F19" s="1355">
        <f t="shared" si="27"/>
        <v>237.5</v>
      </c>
      <c r="G19" s="1355">
        <v>211</v>
      </c>
      <c r="H19" s="1355">
        <f t="shared" si="28"/>
        <v>206</v>
      </c>
      <c r="I19" s="1355">
        <v>201</v>
      </c>
      <c r="J19" s="1355">
        <f t="shared" si="29"/>
        <v>195.5</v>
      </c>
      <c r="K19" s="1355">
        <v>190</v>
      </c>
      <c r="L19" s="1355">
        <f t="shared" si="30"/>
        <v>187.5</v>
      </c>
      <c r="M19" s="1355">
        <v>185</v>
      </c>
      <c r="N19" s="1353">
        <f t="shared" si="43"/>
        <v>182.5</v>
      </c>
      <c r="O19" s="1353">
        <f t="shared" si="31"/>
        <v>180</v>
      </c>
      <c r="P19" s="1353">
        <f t="shared" si="32"/>
        <v>177.5</v>
      </c>
      <c r="Q19" s="1353">
        <f t="shared" si="33"/>
        <v>175</v>
      </c>
      <c r="R19" s="1353">
        <f t="shared" si="34"/>
        <v>172.5</v>
      </c>
      <c r="W19" s="2575"/>
      <c r="X19" s="1355">
        <v>10000</v>
      </c>
      <c r="Y19" s="1355">
        <v>317</v>
      </c>
      <c r="Z19" s="1355">
        <f t="shared" si="44"/>
        <v>290.5</v>
      </c>
      <c r="AA19" s="1355">
        <v>264</v>
      </c>
      <c r="AB19" s="1355">
        <f t="shared" si="45"/>
        <v>237.5</v>
      </c>
      <c r="AC19" s="1355">
        <v>211</v>
      </c>
      <c r="AD19" s="1355">
        <f t="shared" si="46"/>
        <v>206</v>
      </c>
      <c r="AE19" s="1355">
        <v>201</v>
      </c>
      <c r="AF19" s="1355">
        <f t="shared" si="47"/>
        <v>195.5</v>
      </c>
      <c r="AG19" s="1355">
        <v>190</v>
      </c>
      <c r="AH19" s="1355">
        <f t="shared" si="48"/>
        <v>187.5</v>
      </c>
      <c r="AI19" s="1355">
        <v>185</v>
      </c>
      <c r="AJ19" s="1353">
        <f t="shared" si="49"/>
        <v>182.5</v>
      </c>
      <c r="AK19" s="1353">
        <f t="shared" si="35"/>
        <v>180</v>
      </c>
      <c r="AL19" s="1353">
        <f t="shared" si="36"/>
        <v>177.5</v>
      </c>
      <c r="AM19" s="1353">
        <f t="shared" si="37"/>
        <v>175</v>
      </c>
      <c r="AN19" s="1353">
        <f t="shared" si="38"/>
        <v>172.5</v>
      </c>
      <c r="AO19" s="13"/>
      <c r="AP19" s="1427"/>
      <c r="AQ19" s="2575"/>
      <c r="AR19" s="1355">
        <v>10000</v>
      </c>
      <c r="AS19" s="1355">
        <v>317</v>
      </c>
      <c r="AT19" s="1355">
        <f t="shared" si="50"/>
        <v>290.5</v>
      </c>
      <c r="AU19" s="1355">
        <v>264</v>
      </c>
      <c r="AV19" s="1355">
        <f t="shared" si="51"/>
        <v>237.5</v>
      </c>
      <c r="AW19" s="1355">
        <v>211</v>
      </c>
      <c r="AX19" s="1355">
        <f t="shared" si="52"/>
        <v>206</v>
      </c>
      <c r="AY19" s="1355">
        <v>201</v>
      </c>
      <c r="AZ19" s="1355">
        <f t="shared" si="53"/>
        <v>195.5</v>
      </c>
      <c r="BA19" s="1355">
        <v>190</v>
      </c>
      <c r="BB19" s="1355">
        <f t="shared" si="54"/>
        <v>187.5</v>
      </c>
      <c r="BC19" s="1355">
        <v>185</v>
      </c>
      <c r="BD19" s="1353">
        <f t="shared" si="55"/>
        <v>182.5</v>
      </c>
      <c r="BE19" s="1353">
        <f t="shared" si="39"/>
        <v>180</v>
      </c>
      <c r="BF19" s="1353">
        <f t="shared" si="40"/>
        <v>177.5</v>
      </c>
      <c r="BG19" s="1353">
        <f t="shared" si="41"/>
        <v>175</v>
      </c>
      <c r="BH19" s="1353">
        <f t="shared" si="42"/>
        <v>172.5</v>
      </c>
      <c r="BI19" s="13"/>
    </row>
    <row r="20" spans="1:61" s="13" customFormat="1" ht="16.5" customHeight="1" x14ac:dyDescent="0.25">
      <c r="A20" s="1356" t="s">
        <v>1263</v>
      </c>
      <c r="B20" s="1355" t="str">
        <f ca="1">'Ввод исходных данных'!G285</f>
        <v/>
      </c>
      <c r="C20" s="1355" t="e">
        <f ca="1">IF('Ввод исходных данных'!$D$19&lt;='классы ЭЭ и выбросы ПГ'!C$4,IF($B20&lt;3000,SLOPE(C13:C14,$B13:$B14)+INTERCEPT(C13:C14,$B13:$B14)*$B20,SLOPE(C14:C19,$B14:$B19)*$B20+INTERCEPT(C14:C19,$B14:$B19)),0)</f>
        <v>#VALUE!</v>
      </c>
      <c r="D20" s="1355">
        <f>IF('Ввод исходных данных'!$D$19='классы ЭЭ и выбросы ПГ'!D$4,IF($B20&lt;3000,SLOPE(D13:D14,$B13:$B14)+INTERCEPT(D13:D14,$B13:$B14)*$B20,SLOPE(D14:D19,$B14:$B19)*$B20+INTERCEPT(D14:D19,$B14:$B19)),0)</f>
        <v>0</v>
      </c>
      <c r="E20" s="1355">
        <f>IF('Ввод исходных данных'!$D$19='классы ЭЭ и выбросы ПГ'!E$4,IF($B20&lt;3000,SLOPE(E13:E14,$B13:$B14)+INTERCEPT(E13:E14,$B13:$B14)*$B20,SLOPE(E14:E19,$B14:$B19)*$B20+INTERCEPT(E14:E19,$B14:$B19)),0)</f>
        <v>0</v>
      </c>
      <c r="F20" s="1355">
        <f>IF('Ввод исходных данных'!$D$19='классы ЭЭ и выбросы ПГ'!F$4,IF($B20&lt;3000,SLOPE(F13:F14,$B13:$B14)+INTERCEPT(F13:F14,$B13:$B14)*$B20,SLOPE(F14:F19,$B14:$B19)*$B20+INTERCEPT(F14:F19,$B14:$B19)),0)</f>
        <v>0</v>
      </c>
      <c r="G20" s="1355">
        <f>IF('Ввод исходных данных'!$D$19='классы ЭЭ и выбросы ПГ'!G$4,IF($B20&lt;3000,SLOPE(G13:G14,$B13:$B14)+INTERCEPT(G13:G14,$B13:$B14)*$B20,SLOPE(G14:G19,$B14:$B19)*$B20+INTERCEPT(G14:G19,$B14:$B19)),0)</f>
        <v>0</v>
      </c>
      <c r="H20" s="1355">
        <f>IF('Ввод исходных данных'!$D$19='классы ЭЭ и выбросы ПГ'!H$4,IF($B20&lt;3000,SLOPE(H13:H14,$B13:$B14)+INTERCEPT(H13:H14,$B13:$B14)*$B20,SLOPE(H14:H19,$B14:$B19)*$B20+INTERCEPT(H14:H19,$B14:$B19)),0)</f>
        <v>0</v>
      </c>
      <c r="I20" s="1355">
        <f>IF('Ввод исходных данных'!$D$19='классы ЭЭ и выбросы ПГ'!I$4,IF($B20&lt;3000,SLOPE(I13:I14,$B13:$B14)+INTERCEPT(I13:I14,$B13:$B14)*$B20,SLOPE(I14:I19,$B14:$B19)*$B20+INTERCEPT(I14:I19,$B14:$B19)),0)</f>
        <v>0</v>
      </c>
      <c r="J20" s="1355">
        <f>IF('Ввод исходных данных'!$D$19='классы ЭЭ и выбросы ПГ'!J$4,IF($B20&lt;3000,SLOPE(J13:J14,$B13:$B14)+INTERCEPT(J13:J14,$B13:$B14)*$B20,SLOPE(J14:J19,$B14:$B19)*$B20+INTERCEPT(J14:J19,$B14:$B19)),0)</f>
        <v>0</v>
      </c>
      <c r="K20" s="1355">
        <f>IF('Ввод исходных данных'!$D$19='классы ЭЭ и выбросы ПГ'!K$4,IF($B20&lt;3000,SLOPE(K13:K14,$B13:$B14)+INTERCEPT(K13:K14,$B13:$B14)*$B20,SLOPE(K14:K19,$B14:$B19)*$B20+INTERCEPT(K14:K19,$B14:$B19)),0)</f>
        <v>0</v>
      </c>
      <c r="L20" s="1355">
        <f>IF('Ввод исходных данных'!$D$19='классы ЭЭ и выбросы ПГ'!L$4,IF($B20&lt;3000,SLOPE(L13:L14,$B13:$B14)+INTERCEPT(L13:L14,$B13:$B14)*$B20,SLOPE(L14:L19,$B14:$B19)*$B20+INTERCEPT(L14:L19,$B14:$B19)),0)</f>
        <v>0</v>
      </c>
      <c r="M20" s="1355">
        <f>IF('Ввод исходных данных'!$D$19='классы ЭЭ и выбросы ПГ'!M$4,IF($B20&lt;3000,SLOPE(M13:M14,$B13:$B14)+INTERCEPT(M13:M14,$B13:$B14)*$B20,SLOPE(M14:M19,$B14:$B19)*$B20+INTERCEPT(M14:M19,$B14:$B19)),0)</f>
        <v>0</v>
      </c>
      <c r="N20" s="1355">
        <f>IF('Ввод исходных данных'!$D$19='классы ЭЭ и выбросы ПГ'!N$4,IF($B20&lt;3000,SLOPE(N13:N14,$B13:$B14)+INTERCEPT(N13:N14,$B13:$B14)*$B20,SLOPE(N14:N19,$B14:$B19)*$B20+INTERCEPT(N14:N19,$B14:$B19)),0)</f>
        <v>0</v>
      </c>
      <c r="O20" s="1355">
        <f>IF('Ввод исходных данных'!$D$19='классы ЭЭ и выбросы ПГ'!O$4,IF($B20&lt;3000,SLOPE(O13:O14,$B13:$B14)+INTERCEPT(O13:O14,$B13:$B14)*$B20,SLOPE(O14:O19,$B14:$B19)*$B20+INTERCEPT(O14:O19,$B14:$B19)),0)</f>
        <v>0</v>
      </c>
      <c r="P20" s="1355">
        <f>IF('Ввод исходных данных'!$D$19='классы ЭЭ и выбросы ПГ'!P$4,IF($B20&lt;3000,SLOPE(P13:P14,$B13:$B14)+INTERCEPT(P13:P14,$B13:$B14)*$B20,SLOPE(P14:P19,$B14:$B19)*$B20+INTERCEPT(P14:P19,$B14:$B19)),0)</f>
        <v>0</v>
      </c>
      <c r="Q20" s="1355">
        <f>IF('Ввод исходных данных'!$D$19='классы ЭЭ и выбросы ПГ'!Q$4,IF($B20&lt;3000,SLOPE(Q13:Q14,$B13:$B14)+INTERCEPT(Q13:Q14,$B13:$B14)*$B20,SLOPE(Q14:Q19,$B14:$B19)*$B20+INTERCEPT(Q14:Q19,$B14:$B19)),0)</f>
        <v>0</v>
      </c>
      <c r="R20" s="1355">
        <f>IF('Ввод исходных данных'!$D$19&gt;='классы ЭЭ и выбросы ПГ'!R$4,IF($B20&lt;3000,SLOPE(R13:R14,$B13:$B14)+INTERCEPT(R13:R14,$B13:$B14)*$B20,SLOPE(R14:R19,$B14:$B19)*$B20+INTERCEPT(R14:R19,$B14:$B19)),0)</f>
        <v>0</v>
      </c>
      <c r="S20" s="1357" t="e">
        <f ca="1">SUM(C20:R20)</f>
        <v>#VALUE!</v>
      </c>
      <c r="W20" s="1375" t="s">
        <v>1263</v>
      </c>
      <c r="X20" s="1355" t="str">
        <f>'Рейтинг МКД'!$D$11</f>
        <v/>
      </c>
      <c r="Y20" s="1355" t="e">
        <f>IF('Рейтинг МКД'!$D$13&lt;='классы ЭЭ и выбросы ПГ'!Y$4,IF($X20&lt;3000,SLOPE(Y13:Y14,$X13:$X14)*$X20+INTERCEPT(Y13:Y14,$X13:$X14),SLOPE(Y14:Y19,$X14:$X19)*$X20+INTERCEPT(Y14:Y19,$X14:$X19)),0)</f>
        <v>#VALUE!</v>
      </c>
      <c r="Z20" s="1355">
        <f>IF('Рейтинг МКД'!$D$13='классы ЭЭ и выбросы ПГ'!Z$4,IF($X20&lt;3000,SLOPE(Z13:Z14,$X13:$X14)*$X20+INTERCEPT(Z13:Z14,$X13:$X14),SLOPE(Z14:Z19,$X14:$X19)*$X20+INTERCEPT(Z14:Z19,$X14:$X19)),0)</f>
        <v>0</v>
      </c>
      <c r="AA20" s="1355">
        <f>IF('Рейтинг МКД'!$D$13='классы ЭЭ и выбросы ПГ'!AA$4,IF($X20&lt;3000,SLOPE(AA13:AA14,$X13:$X14)*$X20+INTERCEPT(AA13:AA14,$X13:$X14),SLOPE(AA14:AA19,$X14:$X19)*$X20+INTERCEPT(AA14:AA19,$X14:$X19)),0)</f>
        <v>0</v>
      </c>
      <c r="AB20" s="1355">
        <f>IF('Рейтинг МКД'!$D$13='классы ЭЭ и выбросы ПГ'!AB$4,IF($X20&lt;3000,SLOPE(AB13:AB14,$X13:$X14)*$X20+INTERCEPT(AB13:AB14,$X13:$X14),SLOPE(AB14:AB19,$X14:$X19)*$X20+INTERCEPT(AB14:AB19,$X14:$X19)),0)</f>
        <v>0</v>
      </c>
      <c r="AC20" s="1355">
        <f>IF('Рейтинг МКД'!$D$13='классы ЭЭ и выбросы ПГ'!AC$4,IF($X20&lt;3000,SLOPE(AC13:AC14,$X13:$X14)*$X20+INTERCEPT(AC13:AC14,$X13:$X14),SLOPE(AC14:AC19,$X14:$X19)*$X20+INTERCEPT(AC14:AC19,$X14:$X19)),0)</f>
        <v>0</v>
      </c>
      <c r="AD20" s="1355">
        <f>IF('Рейтинг МКД'!$D$13='классы ЭЭ и выбросы ПГ'!AD$4,IF($X20&lt;3000,SLOPE(AD13:AD14,$X13:$X14)*$X20+INTERCEPT(AD13:AD14,$X13:$X14),SLOPE(AD14:AD19,$X14:$X19)*$X20+INTERCEPT(AD14:AD19,$X14:$X19)),0)</f>
        <v>0</v>
      </c>
      <c r="AE20" s="1355">
        <f>IF('Рейтинг МКД'!$D$13='классы ЭЭ и выбросы ПГ'!AE$4,IF($X20&lt;3000,SLOPE(AE13:AE14,$X13:$X14)*$X20+INTERCEPT(AE13:AE14,$X13:$X14),SLOPE(AE14:AE19,$X14:$X19)*$X20+INTERCEPT(AE14:AE19,$X14:$X19)),0)</f>
        <v>0</v>
      </c>
      <c r="AF20" s="1355">
        <f>IF('Рейтинг МКД'!$D$13='классы ЭЭ и выбросы ПГ'!AF$4,IF($X20&lt;3000,SLOPE(AF13:AF14,$X13:$X14)*$X20+INTERCEPT(AF13:AF14,$X13:$X14),SLOPE(AF14:AF19,$X14:$X19)*$X20+INTERCEPT(AF14:AF19,$X14:$X19)),0)</f>
        <v>0</v>
      </c>
      <c r="AG20" s="1355">
        <f>IF('Рейтинг МКД'!$D$13='классы ЭЭ и выбросы ПГ'!AG$4,IF($X20&lt;3000,SLOPE(AG13:AG14,$X13:$X14)*$X20+INTERCEPT(AG13:AG14,$X13:$X14),SLOPE(AG14:AG19,$X14:$X19)*$X20+INTERCEPT(AG14:AG19,$X14:$X19)),0)</f>
        <v>0</v>
      </c>
      <c r="AH20" s="1355">
        <f>IF('Рейтинг МКД'!$D$13='классы ЭЭ и выбросы ПГ'!AH$4,IF($X20&lt;3000,SLOPE(AH13:AH14,$X13:$X14)*$X20+INTERCEPT(AH13:AH14,$X13:$X14),SLOPE(AH14:AH19,$X14:$X19)*$X20+INTERCEPT(AH14:AH19,$X14:$X19)),0)</f>
        <v>0</v>
      </c>
      <c r="AI20" s="1355">
        <f>IF('Рейтинг МКД'!$D$13='классы ЭЭ и выбросы ПГ'!AI$4,IF($X20&lt;3000,SLOPE(AI13:AI14,$X13:$X14)*$X20+INTERCEPT(AI13:AI14,$X13:$X14),SLOPE(AI14:AI19,$X14:$X19)*$X20+INTERCEPT(AI14:AI19,$X14:$X19)),0)</f>
        <v>0</v>
      </c>
      <c r="AJ20" s="1355">
        <f>IF('Рейтинг МКД'!$D$13='классы ЭЭ и выбросы ПГ'!AJ$4,IF($X20&lt;3000,SLOPE(AJ13:AJ14,$X13:$X14)*$X20+INTERCEPT(AJ13:AJ14,$X13:$X14),SLOPE(AJ14:AJ19,$X14:$X19)*$X20+INTERCEPT(AJ14:AJ19,$X14:$X19)),0)</f>
        <v>0</v>
      </c>
      <c r="AK20" s="1355">
        <f>IF('Рейтинг МКД'!$D$13='классы ЭЭ и выбросы ПГ'!AK$4,IF($X20&lt;3000,SLOPE(AK13:AK14,$X13:$X14)*$X20+INTERCEPT(AK13:AK14,$X13:$X14),SLOPE(AK14:AK19,$X14:$X19)*$X20+INTERCEPT(AK14:AK19,$X14:$X19)),0)</f>
        <v>0</v>
      </c>
      <c r="AL20" s="1355">
        <f>IF('Рейтинг МКД'!$D$13='классы ЭЭ и выбросы ПГ'!AL$4,IF($X20&lt;3000,SLOPE(AL13:AL14,$X13:$X14)*$X20+INTERCEPT(AL13:AL14,$X13:$X14),SLOPE(AL14:AL19,$X14:$X19)*$X20+INTERCEPT(AL14:AL19,$X14:$X19)),0)</f>
        <v>0</v>
      </c>
      <c r="AM20" s="1355">
        <f>IF('Рейтинг МКД'!$D$13='классы ЭЭ и выбросы ПГ'!AM$4,IF($X20&lt;3000,SLOPE(AM13:AM14,$X13:$X14)*$X20+INTERCEPT(AM13:AM14,$X13:$X14),SLOPE(AM14:AM19,$X14:$X19)*$X20+INTERCEPT(AM14:AM19,$X14:$X19)),0)</f>
        <v>0</v>
      </c>
      <c r="AN20" s="1355">
        <f>IF('Рейтинг МКД'!$D$13&gt;='классы ЭЭ и выбросы ПГ'!AN$4,IF($X20&lt;3000,SLOPE(AN13:AN14,$X13:$X14)*$X20+INTERCEPT(AN13:AN14,$X13:$X14),SLOPE(AN14:AN19,$X14:$X19)*$X20+INTERCEPT(AN14:AN19,$X14:$X19)),0)</f>
        <v>0</v>
      </c>
      <c r="AO20" s="1357" t="e">
        <f>SUM(Y20:AN20)</f>
        <v>#VALUE!</v>
      </c>
      <c r="AQ20" s="1377" t="s">
        <v>1263</v>
      </c>
      <c r="AR20" s="1355" t="str">
        <f ca="1">AR12</f>
        <v/>
      </c>
      <c r="AS20" s="1355" t="e">
        <f ca="1">IF('Ввод исходных данных'!$D$19&lt;='классы ЭЭ и выбросы ПГ'!AS$4,IF($AR20&lt;3000,SLOPE(AS13:AS14,$AR13:$AR14)+INTERCEPT(AS13:AS14,$AR13:$AR14)*$AR20,SLOPE(AS14:AS19,$AR14:$AR19)*$AR20+INTERCEPT(AS14:AS19,$AR14:$AR19)),0)</f>
        <v>#VALUE!</v>
      </c>
      <c r="AT20" s="1355">
        <f>IF('Ввод исходных данных'!$D$19='классы ЭЭ и выбросы ПГ'!AT$4,IF($AR20&lt;3000,SLOPE(AT13:AT14,$AR13:$AR14)+INTERCEPT(AT13:AT14,$AR13:$AR14)*$AR20,SLOPE(AT14:AT19,$AR14:$AR19)*$AR20+INTERCEPT(AT14:AT19,$AR14:$AR19)),0)</f>
        <v>0</v>
      </c>
      <c r="AU20" s="1355">
        <f>IF('Ввод исходных данных'!$D$19='классы ЭЭ и выбросы ПГ'!AU$4,IF($AR20&lt;3000,SLOPE(AU13:AU14,$AR13:$AR14)+INTERCEPT(AU13:AU14,$AR13:$AR14)*$AR20,SLOPE(AU14:AU19,$AR14:$AR19)*$AR20+INTERCEPT(AU14:AU19,$AR14:$AR19)),0)</f>
        <v>0</v>
      </c>
      <c r="AV20" s="1355">
        <f>IF('Ввод исходных данных'!$D$19='классы ЭЭ и выбросы ПГ'!AV$4,IF($AR20&lt;3000,SLOPE(AV13:AV14,$AR13:$AR14)+INTERCEPT(AV13:AV14,$AR13:$AR14)*$AR20,SLOPE(AV14:AV19,$AR14:$AR19)*$AR20+INTERCEPT(AV14:AV19,$AR14:$AR19)),0)</f>
        <v>0</v>
      </c>
      <c r="AW20" s="1355">
        <f>IF('Ввод исходных данных'!$D$19='классы ЭЭ и выбросы ПГ'!AW$4,IF($AR20&lt;3000,SLOPE(AW13:AW14,$AR13:$AR14)+INTERCEPT(AW13:AW14,$AR13:$AR14)*$AR20,SLOPE(AW14:AW19,$AR14:$AR19)*$AR20+INTERCEPT(AW14:AW19,$AR14:$AR19)),0)</f>
        <v>0</v>
      </c>
      <c r="AX20" s="1355">
        <f>IF('Ввод исходных данных'!$D$19='классы ЭЭ и выбросы ПГ'!AX$4,IF($AR20&lt;3000,SLOPE(AX13:AX14,$AR13:$AR14)+INTERCEPT(AX13:AX14,$AR13:$AR14)*$AR20,SLOPE(AX14:AX19,$AR14:$AR19)*$AR20+INTERCEPT(AX14:AX19,$AR14:$AR19)),0)</f>
        <v>0</v>
      </c>
      <c r="AY20" s="1355">
        <f>IF('Ввод исходных данных'!$D$19='классы ЭЭ и выбросы ПГ'!AY$4,IF($AR20&lt;3000,SLOPE(AY13:AY14,$AR13:$AR14)+INTERCEPT(AY13:AY14,$AR13:$AR14)*$AR20,SLOPE(AY14:AY19,$AR14:$AR19)*$AR20+INTERCEPT(AY14:AY19,$AR14:$AR19)),0)</f>
        <v>0</v>
      </c>
      <c r="AZ20" s="1355">
        <f>IF('Ввод исходных данных'!$D$19='классы ЭЭ и выбросы ПГ'!AZ$4,IF($AR20&lt;3000,SLOPE(AZ13:AZ14,$AR13:$AR14)+INTERCEPT(AZ13:AZ14,$AR13:$AR14)*$AR20,SLOPE(AZ14:AZ19,$AR14:$AR19)*$AR20+INTERCEPT(AZ14:AZ19,$AR14:$AR19)),0)</f>
        <v>0</v>
      </c>
      <c r="BA20" s="1355">
        <f>IF('Ввод исходных данных'!$D$19='классы ЭЭ и выбросы ПГ'!BA$4,IF($AR20&lt;3000,SLOPE(BA13:BA14,$AR13:$AR14)+INTERCEPT(BA13:BA14,$AR13:$AR14)*$AR20,SLOPE(BA14:BA19,$AR14:$AR19)*$AR20+INTERCEPT(BA14:BA19,$AR14:$AR19)),0)</f>
        <v>0</v>
      </c>
      <c r="BB20" s="1355">
        <f>IF('Ввод исходных данных'!$D$19='классы ЭЭ и выбросы ПГ'!BB$4,IF($AR20&lt;3000,SLOPE(BB13:BB14,$AR13:$AR14)+INTERCEPT(BB13:BB14,$AR13:$AR14)*$AR20,SLOPE(BB14:BB19,$AR14:$AR19)*$AR20+INTERCEPT(BB14:BB19,$AR14:$AR19)),0)</f>
        <v>0</v>
      </c>
      <c r="BC20" s="1355">
        <f>IF('Ввод исходных данных'!$D$19='классы ЭЭ и выбросы ПГ'!BC$4,IF($AR20&lt;3000,SLOPE(BC13:BC14,$AR13:$AR14)+INTERCEPT(BC13:BC14,$AR13:$AR14)*$AR20,SLOPE(BC14:BC19,$AR14:$AR19)*$AR20+INTERCEPT(BC14:BC19,$AR14:$AR19)),0)</f>
        <v>0</v>
      </c>
      <c r="BD20" s="1355">
        <f>IF('Ввод исходных данных'!$D$19='классы ЭЭ и выбросы ПГ'!BD$4,IF($AR20&lt;3000,SLOPE(BD13:BD14,$AR13:$AR14)+INTERCEPT(BD13:BD14,$AR13:$AR14)*$AR20,SLOPE(BD14:BD19,$AR14:$AR19)*$AR20+INTERCEPT(BD14:BD19,$AR14:$AR19)),0)</f>
        <v>0</v>
      </c>
      <c r="BE20" s="1355">
        <f>IF('Ввод исходных данных'!$D$19='классы ЭЭ и выбросы ПГ'!BE$4,IF($AR20&lt;3000,SLOPE(BE13:BE14,$AR13:$AR14)+INTERCEPT(BE13:BE14,$AR13:$AR14)*$AR20,SLOPE(BE14:BE19,$AR14:$AR19)*$AR20+INTERCEPT(BE14:BE19,$AR14:$AR19)),0)</f>
        <v>0</v>
      </c>
      <c r="BF20" s="1355">
        <f>IF('Ввод исходных данных'!$D$19='классы ЭЭ и выбросы ПГ'!BF$4,IF($AR20&lt;3000,SLOPE(BF13:BF14,$AR13:$AR14)+INTERCEPT(BF13:BF14,$AR13:$AR14)*$AR20,SLOPE(BF14:BF19,$AR14:$AR19)*$AR20+INTERCEPT(BF14:BF19,$AR14:$AR19)),0)</f>
        <v>0</v>
      </c>
      <c r="BG20" s="1355">
        <f>IF('Ввод исходных данных'!$D$19='классы ЭЭ и выбросы ПГ'!BG$4,IF($AR20&lt;3000,SLOPE(BG13:BG14,$AR13:$AR14)+INTERCEPT(BG13:BG14,$AR13:$AR14)*$AR20,SLOPE(BG14:BG19,$AR14:$AR19)*$AR20+INTERCEPT(BG14:BG19,$AR14:$AR19)),0)</f>
        <v>0</v>
      </c>
      <c r="BH20" s="1355">
        <f>IF('Ввод исходных данных'!$D$19&gt;='классы ЭЭ и выбросы ПГ'!BH$4,IF($AR20&lt;3000,SLOPE(BH13:BH14,$AR13:$AR14)+INTERCEPT(BH13:BH14,$AR13:$AR14)*$AR20,SLOPE(BH14:BH19,$AR14:$AR19)*$AR20+INTERCEPT(BH14:BH19,$AR14:$AR19)),0)</f>
        <v>0</v>
      </c>
      <c r="BI20" s="1357" t="e">
        <f ca="1">SUM(AS20:BH20)</f>
        <v>#VALUE!</v>
      </c>
    </row>
    <row r="21" spans="1:61" ht="16.5" customHeight="1" x14ac:dyDescent="0.25">
      <c r="A21" s="1352" t="s">
        <v>1787</v>
      </c>
      <c r="B21" s="1350"/>
      <c r="C21" s="1350"/>
      <c r="D21" s="1350"/>
      <c r="E21" s="1350"/>
      <c r="F21" s="1350"/>
      <c r="G21" s="1350"/>
      <c r="H21" s="1350"/>
      <c r="I21" s="1350"/>
      <c r="J21" s="1350"/>
      <c r="K21" s="1350"/>
      <c r="L21" s="1350"/>
      <c r="M21" s="1350"/>
      <c r="AQ21" s="13"/>
      <c r="AR21" s="13"/>
      <c r="AS21" s="13"/>
      <c r="AT21" s="13"/>
      <c r="AU21" s="13"/>
      <c r="AV21" s="13"/>
      <c r="AW21" s="13"/>
      <c r="AX21" s="13"/>
      <c r="AY21" s="13"/>
      <c r="AZ21" s="13"/>
      <c r="BA21" s="13"/>
      <c r="BB21" s="13"/>
      <c r="BC21" s="13"/>
      <c r="BD21" s="13"/>
      <c r="BE21" s="13"/>
      <c r="BF21" s="13"/>
      <c r="BG21" s="13"/>
      <c r="BH21" s="13"/>
      <c r="BI21" s="13"/>
    </row>
    <row r="22" spans="1:61" ht="16.5" customHeight="1" x14ac:dyDescent="0.25">
      <c r="A22" s="1352" t="s">
        <v>1788</v>
      </c>
      <c r="B22" s="1350"/>
      <c r="C22" s="1350"/>
      <c r="D22" s="1350"/>
      <c r="E22" s="1350"/>
      <c r="F22" s="1350"/>
      <c r="G22" s="1350"/>
      <c r="H22" s="1350"/>
      <c r="I22" s="1350"/>
      <c r="J22" s="1350"/>
      <c r="K22" s="1350"/>
      <c r="L22" s="1350"/>
      <c r="M22" s="1350"/>
      <c r="AQ22" s="13"/>
      <c r="AR22" s="13"/>
      <c r="AS22" s="13" t="e">
        <f ca="1">'Расчет после реализации'!D6/('Ввод исходных данных'!$G$56+'Ввод исходных данных'!$D$23)</f>
        <v>#N/A</v>
      </c>
      <c r="AT22" s="13"/>
      <c r="AU22" s="13"/>
      <c r="AV22" s="13"/>
      <c r="AW22" s="13"/>
      <c r="AX22" s="13"/>
      <c r="AY22" s="13"/>
      <c r="AZ22" s="13"/>
      <c r="BA22" s="13"/>
      <c r="BB22" s="13"/>
      <c r="BC22" s="13"/>
      <c r="BD22" s="13"/>
      <c r="BE22" s="13"/>
      <c r="BF22" s="13"/>
      <c r="BG22" s="13"/>
      <c r="BH22" s="13"/>
      <c r="BI22" s="13"/>
    </row>
    <row r="23" spans="1:61" ht="16.5" customHeight="1" x14ac:dyDescent="0.25">
      <c r="A23" s="1352" t="s">
        <v>1789</v>
      </c>
      <c r="B23" s="1350"/>
      <c r="C23" s="1350"/>
      <c r="D23" s="1350"/>
      <c r="E23" s="1350"/>
      <c r="F23" s="1350"/>
      <c r="G23" s="1350"/>
      <c r="H23" s="1350"/>
      <c r="I23" s="1350"/>
      <c r="J23" s="1350"/>
      <c r="K23" s="1350"/>
      <c r="L23" s="1350"/>
      <c r="M23" s="1350"/>
      <c r="Y23" t="s">
        <v>1844</v>
      </c>
      <c r="AB23" s="1387"/>
      <c r="AQ23" s="13"/>
      <c r="AR23" s="13"/>
      <c r="AS23" s="13" t="s">
        <v>1844</v>
      </c>
      <c r="AT23" s="13"/>
      <c r="AU23" s="13"/>
      <c r="AV23" s="13"/>
      <c r="AW23" s="13"/>
      <c r="AX23" s="13"/>
      <c r="AY23" s="13"/>
      <c r="AZ23" s="13"/>
      <c r="BA23" s="13"/>
      <c r="BB23" s="13"/>
      <c r="BC23" s="13"/>
      <c r="BD23" s="13"/>
      <c r="BE23" s="13"/>
      <c r="BF23" s="13"/>
      <c r="BG23" s="13"/>
      <c r="BH23" s="13"/>
      <c r="BI23" s="13"/>
    </row>
    <row r="24" spans="1:61" ht="16.5" customHeight="1" x14ac:dyDescent="0.25">
      <c r="X24" s="13" t="s">
        <v>1799</v>
      </c>
      <c r="Y24" s="1358" t="e">
        <f>IF('Рейтинг МКД'!$D$27&lt;=0.4*'классы ЭЭ и выбросы ПГ'!$AO$12,"A++","")</f>
        <v>#VALUE!</v>
      </c>
      <c r="Z24" s="1359" t="s">
        <v>1800</v>
      </c>
      <c r="AA24" s="1360" t="s">
        <v>1801</v>
      </c>
      <c r="AQ24" s="13"/>
      <c r="AR24" s="13" t="s">
        <v>1799</v>
      </c>
      <c r="AS24" s="1358" t="e">
        <f ca="1">IF(AS22&lt;=0.4*'классы ЭЭ и выбросы ПГ'!$BI$12,"A++","")</f>
        <v>#N/A</v>
      </c>
      <c r="AT24" s="1359" t="s">
        <v>1800</v>
      </c>
      <c r="AU24" s="1360" t="s">
        <v>1801</v>
      </c>
      <c r="AV24" s="13"/>
      <c r="AW24" s="13"/>
      <c r="AX24" s="13"/>
      <c r="AY24" s="13"/>
      <c r="AZ24" s="13"/>
      <c r="BA24" s="13"/>
      <c r="BB24" s="13"/>
      <c r="BC24" s="13"/>
      <c r="BD24" s="13"/>
      <c r="BE24" s="13"/>
      <c r="BF24" s="13"/>
      <c r="BG24" s="13"/>
      <c r="BH24" s="13"/>
      <c r="BI24" s="13"/>
    </row>
    <row r="25" spans="1:61" ht="16.5" customHeight="1" x14ac:dyDescent="0.25">
      <c r="D25" s="13" t="s">
        <v>893</v>
      </c>
      <c r="E25" s="1358" t="s">
        <v>894</v>
      </c>
      <c r="X25" s="13" t="s">
        <v>1798</v>
      </c>
      <c r="Y25" s="1358" t="e">
        <f>IF(AND('Рейтинг МКД'!$D$27&gt;0.4*'классы ЭЭ и выбросы ПГ'!$AO$12,'Рейтинг МКД'!$D$27&lt;=0.5*'классы ЭЭ и выбросы ПГ'!$AO$12),"A+","")</f>
        <v>#VALUE!</v>
      </c>
      <c r="Z25" s="1359" t="s">
        <v>1800</v>
      </c>
      <c r="AA25" s="1360" t="s">
        <v>1802</v>
      </c>
      <c r="AQ25" s="13"/>
      <c r="AR25" s="13" t="s">
        <v>1798</v>
      </c>
      <c r="AS25" s="1358" t="e">
        <f ca="1">IF(AND(AS22&gt;0.4*'классы ЭЭ и выбросы ПГ'!$BI$12,AS22&lt;=0.5*'классы ЭЭ и выбросы ПГ'!$BI$12),"A+","")</f>
        <v>#N/A</v>
      </c>
      <c r="AT25" s="1359" t="s">
        <v>1800</v>
      </c>
      <c r="AU25" s="1360" t="s">
        <v>1802</v>
      </c>
      <c r="AV25" s="13"/>
      <c r="AW25" s="13"/>
      <c r="AX25" s="13"/>
      <c r="AY25" s="13"/>
      <c r="AZ25" s="13"/>
      <c r="BA25" s="13"/>
      <c r="BB25" s="13"/>
      <c r="BC25" s="13"/>
      <c r="BD25" s="13"/>
      <c r="BE25" s="13"/>
      <c r="BF25" s="13"/>
      <c r="BG25" s="13"/>
      <c r="BH25" s="13"/>
      <c r="BI25" s="13"/>
    </row>
    <row r="26" spans="1:61" ht="16.5" customHeight="1" x14ac:dyDescent="0.25">
      <c r="C26" t="s">
        <v>1799</v>
      </c>
      <c r="D26" s="1358" t="e">
        <f ca="1">IF('Расчет базового уровня'!$D$6/('Ввод исходных данных'!$G$56+'Ввод исходных данных'!$D$23)&lt;=0.4*'классы ЭЭ и выбросы ПГ'!$S$12,1,0)</f>
        <v>#DIV/0!</v>
      </c>
      <c r="E26" s="1358" t="e">
        <f ca="1">IF('Расчет после реализации'!$D$6/('Ввод исходных данных'!$G$56+'Ввод исходных данных'!$D$23)&lt;=0.4*'классы ЭЭ и выбросы ПГ'!$S$12,1,0)</f>
        <v>#N/A</v>
      </c>
      <c r="F26" s="1359" t="s">
        <v>1800</v>
      </c>
      <c r="G26" s="1360" t="s">
        <v>1801</v>
      </c>
      <c r="X26" s="13" t="s">
        <v>1791</v>
      </c>
      <c r="Y26" s="1358" t="e">
        <f>IF(AND('Рейтинг МКД'!$D$27&gt;0.5*'классы ЭЭ и выбросы ПГ'!$AO$12,'Рейтинг МКД'!$D$27&lt;=0.6*'классы ЭЭ и выбросы ПГ'!$AO$12),"A","")</f>
        <v>#VALUE!</v>
      </c>
      <c r="Z26" s="1359" t="s">
        <v>1803</v>
      </c>
      <c r="AA26" s="1360" t="s">
        <v>1804</v>
      </c>
      <c r="AQ26" s="13"/>
      <c r="AR26" s="13" t="s">
        <v>1791</v>
      </c>
      <c r="AS26" s="1358" t="e">
        <f ca="1">IF(AND(AS22&gt;0.5*'классы ЭЭ и выбросы ПГ'!$BI$12,AS22&lt;=0.6*'классы ЭЭ и выбросы ПГ'!$BI$12),"A","")</f>
        <v>#N/A</v>
      </c>
      <c r="AT26" s="1359" t="s">
        <v>1803</v>
      </c>
      <c r="AU26" s="1360" t="s">
        <v>1804</v>
      </c>
      <c r="AV26" s="13"/>
      <c r="AW26" s="13"/>
      <c r="AX26" s="13"/>
      <c r="AY26" s="13"/>
      <c r="AZ26" s="13"/>
      <c r="BA26" s="13"/>
      <c r="BB26" s="13"/>
      <c r="BC26" s="13"/>
      <c r="BD26" s="13"/>
      <c r="BE26" s="13"/>
      <c r="BF26" s="13"/>
      <c r="BG26" s="13"/>
      <c r="BH26" s="13"/>
      <c r="BI26" s="13"/>
    </row>
    <row r="27" spans="1:61" ht="16.5" customHeight="1" x14ac:dyDescent="0.25">
      <c r="C27" t="s">
        <v>1798</v>
      </c>
      <c r="D27" s="1358" t="e">
        <f ca="1">IF(AND('Расчет базового уровня'!$D$6/('Ввод исходных данных'!$G$56+'Ввод исходных данных'!$D$23)&gt;0.4*'классы ЭЭ и выбросы ПГ'!$S$12,'Расчет базового уровня'!$D$6/('Ввод исходных данных'!$G$56+'Ввод исходных данных'!$D$23)&lt;=0.5*'классы ЭЭ и выбросы ПГ'!$S$12),1,0)</f>
        <v>#DIV/0!</v>
      </c>
      <c r="E27" s="1358" t="e">
        <f ca="1">IF(AND('Расчет после реализации'!$D$6/('Ввод исходных данных'!$G$56+'Ввод исходных данных'!$D$23)&gt;0.4*'классы ЭЭ и выбросы ПГ'!$S$12,'Расчет после реализации'!$D$6/('Ввод исходных данных'!$G$56+'Ввод исходных данных'!$D$23)&lt;=0.5*'классы ЭЭ и выбросы ПГ'!$S$12),1,0)</f>
        <v>#N/A</v>
      </c>
      <c r="F27" s="1359" t="s">
        <v>1800</v>
      </c>
      <c r="G27" s="1360" t="s">
        <v>1802</v>
      </c>
      <c r="X27" s="13" t="s">
        <v>1792</v>
      </c>
      <c r="Y27" s="1358" t="e">
        <f>IF(AND('Рейтинг МКД'!$D$27&gt;0.6*'классы ЭЭ и выбросы ПГ'!$AO$12,'Рейтинг МКД'!$D$27&lt;=0.7*'классы ЭЭ и выбросы ПГ'!$AO$12),"B","")</f>
        <v>#VALUE!</v>
      </c>
      <c r="Z27" s="1359" t="s">
        <v>1805</v>
      </c>
      <c r="AA27" s="1360" t="s">
        <v>1806</v>
      </c>
      <c r="AQ27" s="13"/>
      <c r="AR27" s="13" t="s">
        <v>1792</v>
      </c>
      <c r="AS27" s="1358" t="e">
        <f ca="1">IF(AND(AS22&gt;0.6*'классы ЭЭ и выбросы ПГ'!$BI$12,AS22&lt;=0.7*'классы ЭЭ и выбросы ПГ'!$BI$12),"B","")</f>
        <v>#N/A</v>
      </c>
      <c r="AT27" s="1359" t="s">
        <v>1805</v>
      </c>
      <c r="AU27" s="1360" t="s">
        <v>1806</v>
      </c>
      <c r="AV27" s="13"/>
      <c r="AW27" s="13"/>
      <c r="AX27" s="13"/>
      <c r="AY27" s="13"/>
      <c r="AZ27" s="13"/>
      <c r="BA27" s="13"/>
      <c r="BB27" s="13"/>
      <c r="BC27" s="13"/>
      <c r="BD27" s="13"/>
      <c r="BE27" s="13"/>
      <c r="BF27" s="13"/>
      <c r="BG27" s="13"/>
      <c r="BH27" s="13"/>
      <c r="BI27" s="13"/>
    </row>
    <row r="28" spans="1:61" ht="16.5" customHeight="1" x14ac:dyDescent="0.25">
      <c r="C28" t="s">
        <v>1791</v>
      </c>
      <c r="D28" s="1358" t="e">
        <f ca="1">IF(AND('Расчет базового уровня'!$D$6/('Ввод исходных данных'!$G$56+'Ввод исходных данных'!$D$23)&gt;0.5*'классы ЭЭ и выбросы ПГ'!$S$12,'Расчет базового уровня'!$D$6/('Ввод исходных данных'!$G$56+'Ввод исходных данных'!$D$23)&lt;=0.6*'классы ЭЭ и выбросы ПГ'!$S$12),1,0)</f>
        <v>#DIV/0!</v>
      </c>
      <c r="E28" s="1358" t="e">
        <f ca="1">IF(AND('Расчет после реализации'!$D$6/('Ввод исходных данных'!$G$56+'Ввод исходных данных'!$D$23)&gt;0.5*'классы ЭЭ и выбросы ПГ'!$S$12,'Расчет после реализации'!$D$6/('Ввод исходных данных'!$G$56+'Ввод исходных данных'!$D$23)&lt;=0.6*'классы ЭЭ и выбросы ПГ'!$S$12),1,0)</f>
        <v>#N/A</v>
      </c>
      <c r="F28" s="1359" t="s">
        <v>1803</v>
      </c>
      <c r="G28" s="1360" t="s">
        <v>1804</v>
      </c>
      <c r="X28" s="13" t="s">
        <v>1793</v>
      </c>
      <c r="Y28" s="1358" t="e">
        <f>IF(AND('Рейтинг МКД'!$D$27&gt;0.7*'классы ЭЭ и выбросы ПГ'!$AO$12,'Рейтинг МКД'!$D$27&lt;=0.85*'классы ЭЭ и выбросы ПГ'!$AO$12),"C","")</f>
        <v>#VALUE!</v>
      </c>
      <c r="Z28" s="1359" t="s">
        <v>1807</v>
      </c>
      <c r="AA28" s="1360" t="s">
        <v>1808</v>
      </c>
      <c r="AQ28" s="13"/>
      <c r="AR28" s="13" t="s">
        <v>1793</v>
      </c>
      <c r="AS28" s="1358" t="e">
        <f ca="1">IF(AND(AS22&gt;0.7*'классы ЭЭ и выбросы ПГ'!$BI$12,AS22&lt;=0.85*'классы ЭЭ и выбросы ПГ'!$BI$12),"C","")</f>
        <v>#N/A</v>
      </c>
      <c r="AT28" s="1359" t="s">
        <v>1807</v>
      </c>
      <c r="AU28" s="1360" t="s">
        <v>1808</v>
      </c>
      <c r="AV28" s="13"/>
      <c r="AW28" s="13"/>
      <c r="AX28" s="13"/>
      <c r="AY28" s="13"/>
      <c r="AZ28" s="13"/>
      <c r="BA28" s="13"/>
      <c r="BB28" s="13"/>
      <c r="BC28" s="13"/>
      <c r="BD28" s="13"/>
      <c r="BE28" s="13"/>
      <c r="BF28" s="13"/>
      <c r="BG28" s="13"/>
      <c r="BH28" s="13"/>
      <c r="BI28" s="13"/>
    </row>
    <row r="29" spans="1:61" ht="16.5" customHeight="1" x14ac:dyDescent="0.25">
      <c r="C29" t="s">
        <v>1792</v>
      </c>
      <c r="D29" s="1358" t="e">
        <f ca="1">IF(AND('Расчет базового уровня'!$D$6/('Ввод исходных данных'!$G$56+'Ввод исходных данных'!$D$23)&gt;0.6*'классы ЭЭ и выбросы ПГ'!$S$12,'Расчет базового уровня'!$D$6/('Ввод исходных данных'!$G$56+'Ввод исходных данных'!$D$23)&lt;=0.7*'классы ЭЭ и выбросы ПГ'!$S$12),1,0)</f>
        <v>#DIV/0!</v>
      </c>
      <c r="E29" s="1358" t="e">
        <f ca="1">IF(AND('Расчет после реализации'!$D$6/('Ввод исходных данных'!$G$56+'Ввод исходных данных'!$D$23)&gt;0.6*'классы ЭЭ и выбросы ПГ'!$S$12,'Расчет после реализации'!$D$6/('Ввод исходных данных'!$G$56+'Ввод исходных данных'!$D$23)&lt;=0.7*'классы ЭЭ и выбросы ПГ'!$S$12),1,0)</f>
        <v>#N/A</v>
      </c>
      <c r="F29" s="1359" t="s">
        <v>1805</v>
      </c>
      <c r="G29" s="1360" t="s">
        <v>1806</v>
      </c>
      <c r="X29" s="13" t="s">
        <v>1794</v>
      </c>
      <c r="Y29" s="1358" t="e">
        <f>IF(AND('Рейтинг МКД'!$D$27&gt;0.85*'классы ЭЭ и выбросы ПГ'!$AO$12,'Рейтинг МКД'!$D$27&lt;=1*'классы ЭЭ и выбросы ПГ'!$AO$12),"D","")</f>
        <v>#VALUE!</v>
      </c>
      <c r="Z29" s="1359" t="s">
        <v>1809</v>
      </c>
      <c r="AA29" s="1360" t="s">
        <v>1810</v>
      </c>
      <c r="AQ29" s="13"/>
      <c r="AR29" s="13" t="s">
        <v>1794</v>
      </c>
      <c r="AS29" s="1358" t="e">
        <f ca="1">IF(AND(AS22&gt;0.85*'классы ЭЭ и выбросы ПГ'!$BI$12,AS22&lt;=1*'классы ЭЭ и выбросы ПГ'!$BI$12),"D","")</f>
        <v>#N/A</v>
      </c>
      <c r="AT29" s="1359" t="s">
        <v>1809</v>
      </c>
      <c r="AU29" s="1360" t="s">
        <v>1810</v>
      </c>
      <c r="AV29" s="13"/>
      <c r="AW29" s="13"/>
      <c r="AX29" s="13"/>
      <c r="AY29" s="13"/>
      <c r="AZ29" s="13"/>
      <c r="BA29" s="13"/>
      <c r="BB29" s="13"/>
      <c r="BC29" s="13"/>
      <c r="BD29" s="13"/>
      <c r="BE29" s="13"/>
      <c r="BF29" s="13"/>
      <c r="BG29" s="13"/>
      <c r="BH29" s="13"/>
      <c r="BI29" s="13"/>
    </row>
    <row r="30" spans="1:61" ht="16.5" customHeight="1" x14ac:dyDescent="0.25">
      <c r="C30" t="s">
        <v>1793</v>
      </c>
      <c r="D30" s="1358" t="e">
        <f ca="1">IF(AND('Расчет базового уровня'!$D$6/('Ввод исходных данных'!$G$56+'Ввод исходных данных'!$D$23)&gt;0.7*'классы ЭЭ и выбросы ПГ'!$S$12,'Расчет базового уровня'!$D$6/('Ввод исходных данных'!$G$56+'Ввод исходных данных'!$D$23)&lt;=0.85*'классы ЭЭ и выбросы ПГ'!$S$12),1,0)</f>
        <v>#DIV/0!</v>
      </c>
      <c r="E30" s="1358" t="e">
        <f ca="1">IF(AND('Расчет после реализации'!$D$6/('Ввод исходных данных'!$G$56+'Ввод исходных данных'!$D$23)&gt;0.7*'классы ЭЭ и выбросы ПГ'!$S$12,'Расчет после реализации'!$D$6/('Ввод исходных данных'!$G$56+'Ввод исходных данных'!$D$23)&lt;=0.85*'классы ЭЭ и выбросы ПГ'!$S$12),1,0)</f>
        <v>#N/A</v>
      </c>
      <c r="F30" s="1359" t="s">
        <v>1807</v>
      </c>
      <c r="G30" s="1360" t="s">
        <v>1808</v>
      </c>
      <c r="X30" s="13" t="s">
        <v>1795</v>
      </c>
      <c r="Y30" s="1358" t="e">
        <f>IF(AND('Рейтинг МКД'!$D$27&gt;1*'классы ЭЭ и выбросы ПГ'!$AO$12,'Рейтинг МКД'!$D$27&lt;=1.25*'классы ЭЭ и выбросы ПГ'!$AO$12),"E","")</f>
        <v>#VALUE!</v>
      </c>
      <c r="Z30" s="1359" t="s">
        <v>1811</v>
      </c>
      <c r="AA30" s="1360" t="s">
        <v>1812</v>
      </c>
      <c r="AQ30" s="13"/>
      <c r="AR30" s="13" t="s">
        <v>1795</v>
      </c>
      <c r="AS30" s="1358" t="e">
        <f ca="1">IF(AND(AS22&gt;1*'классы ЭЭ и выбросы ПГ'!$BI$12,AS22&lt;=1.25*'классы ЭЭ и выбросы ПГ'!$BI$12),"E","")</f>
        <v>#N/A</v>
      </c>
      <c r="AT30" s="1359" t="s">
        <v>1811</v>
      </c>
      <c r="AU30" s="1360" t="s">
        <v>1812</v>
      </c>
      <c r="AV30" s="13"/>
      <c r="AW30" s="13"/>
      <c r="AX30" s="13"/>
      <c r="AY30" s="13"/>
      <c r="AZ30" s="13"/>
      <c r="BA30" s="13"/>
      <c r="BB30" s="13"/>
      <c r="BC30" s="13"/>
      <c r="BD30" s="13"/>
      <c r="BE30" s="13"/>
      <c r="BF30" s="13"/>
      <c r="BG30" s="13"/>
      <c r="BH30" s="13"/>
      <c r="BI30" s="13"/>
    </row>
    <row r="31" spans="1:61" ht="16.5" customHeight="1" x14ac:dyDescent="0.25">
      <c r="C31" t="s">
        <v>1794</v>
      </c>
      <c r="D31" s="1358" t="e">
        <f ca="1">IF(AND('Расчет базового уровня'!$D$6/('Ввод исходных данных'!$G$56+'Ввод исходных данных'!$D$23)&gt;0.85*'классы ЭЭ и выбросы ПГ'!$S$12,'Расчет базового уровня'!$D$6/('Ввод исходных данных'!$G$56+'Ввод исходных данных'!$D$23)&lt;=1*'классы ЭЭ и выбросы ПГ'!$S$12),1,0)</f>
        <v>#DIV/0!</v>
      </c>
      <c r="E31" s="1358" t="e">
        <f ca="1">IF(AND('Расчет после реализации'!$D$6/('Ввод исходных данных'!$G$56+'Ввод исходных данных'!$D$23)&gt;0.85*'классы ЭЭ и выбросы ПГ'!$S$12,'Расчет после реализации'!$D$6/('Ввод исходных данных'!$G$56+'Ввод исходных данных'!$D$23)&lt;=1*'классы ЭЭ и выбросы ПГ'!$S$12),1,0)</f>
        <v>#N/A</v>
      </c>
      <c r="F31" s="1359" t="s">
        <v>1809</v>
      </c>
      <c r="G31" s="1360" t="s">
        <v>1810</v>
      </c>
      <c r="X31" s="13" t="s">
        <v>1796</v>
      </c>
      <c r="Y31" s="1358" t="e">
        <f>IF(AND('Рейтинг МКД'!$D$27&gt;1.25*'классы ЭЭ и выбросы ПГ'!$AO$12,'Рейтинг МКД'!$D$27&lt;=1.5*'классы ЭЭ и выбросы ПГ'!$AO$12),"F","")</f>
        <v>#VALUE!</v>
      </c>
      <c r="Z31" s="1359" t="s">
        <v>1813</v>
      </c>
      <c r="AA31" s="1360" t="s">
        <v>1814</v>
      </c>
      <c r="AQ31" s="13"/>
      <c r="AR31" s="13" t="s">
        <v>1796</v>
      </c>
      <c r="AS31" s="1358" t="e">
        <f ca="1">IF(AND(AS22&gt;1.25*'классы ЭЭ и выбросы ПГ'!$BI$12,AS22&lt;=1.5*'классы ЭЭ и выбросы ПГ'!$BI$12),"F","")</f>
        <v>#N/A</v>
      </c>
      <c r="AT31" s="1359" t="s">
        <v>1813</v>
      </c>
      <c r="AU31" s="1360" t="s">
        <v>1814</v>
      </c>
      <c r="AV31" s="13"/>
      <c r="AW31" s="13"/>
      <c r="AX31" s="13"/>
      <c r="AY31" s="13"/>
      <c r="AZ31" s="13"/>
      <c r="BA31" s="13"/>
      <c r="BB31" s="13"/>
      <c r="BC31" s="13"/>
      <c r="BD31" s="13"/>
      <c r="BE31" s="13"/>
      <c r="BF31" s="13"/>
      <c r="BG31" s="13"/>
      <c r="BH31" s="13"/>
      <c r="BI31" s="13"/>
    </row>
    <row r="32" spans="1:61" ht="16.5" customHeight="1" x14ac:dyDescent="0.25">
      <c r="C32" t="s">
        <v>1795</v>
      </c>
      <c r="D32" s="1358" t="e">
        <f ca="1">IF(AND('Расчет базового уровня'!$D$6/('Ввод исходных данных'!$G$56+'Ввод исходных данных'!$D$23)&gt;1*'классы ЭЭ и выбросы ПГ'!$S$12,'Расчет базового уровня'!$D$6/('Ввод исходных данных'!$G$56+'Ввод исходных данных'!$D$23)&lt;=1.25*'классы ЭЭ и выбросы ПГ'!$S$12),1,0)</f>
        <v>#DIV/0!</v>
      </c>
      <c r="E32" s="1358" t="e">
        <f ca="1">IF(AND('Расчет после реализации'!$D$6/('Ввод исходных данных'!$G$56+'Ввод исходных данных'!$D$23)&gt;1*'классы ЭЭ и выбросы ПГ'!$S$12,'Расчет после реализации'!$D$6/('Ввод исходных данных'!$G$56+'Ввод исходных данных'!$D$23)&lt;=1.25*'классы ЭЭ и выбросы ПГ'!$S$12),1,0)</f>
        <v>#N/A</v>
      </c>
      <c r="F32" s="1359" t="s">
        <v>1811</v>
      </c>
      <c r="G32" s="1360" t="s">
        <v>1812</v>
      </c>
      <c r="X32" s="13" t="s">
        <v>1797</v>
      </c>
      <c r="Y32" s="1353" t="e">
        <f>IF('Рейтинг МКД'!$D$27&gt;1.5*'классы ЭЭ и выбросы ПГ'!$AO$12,"G","")</f>
        <v>#VALUE!</v>
      </c>
      <c r="Z32" s="1359" t="s">
        <v>1815</v>
      </c>
      <c r="AA32" s="1360" t="s">
        <v>1816</v>
      </c>
      <c r="AQ32" s="13"/>
      <c r="AR32" s="13" t="s">
        <v>1797</v>
      </c>
      <c r="AS32" s="1353" t="e">
        <f ca="1">IF(AS22&gt;1.5*'классы ЭЭ и выбросы ПГ'!$BI$12,"G","")</f>
        <v>#N/A</v>
      </c>
      <c r="AT32" s="1359" t="s">
        <v>1815</v>
      </c>
      <c r="AU32" s="1360" t="s">
        <v>1816</v>
      </c>
      <c r="AV32" s="13"/>
      <c r="AW32" s="13"/>
      <c r="AX32" s="13"/>
      <c r="AY32" s="13"/>
      <c r="AZ32" s="13"/>
      <c r="BA32" s="13"/>
      <c r="BB32" s="13"/>
      <c r="BC32" s="13"/>
      <c r="BD32" s="13"/>
      <c r="BE32" s="13"/>
      <c r="BF32" s="13"/>
      <c r="BG32" s="13"/>
      <c r="BH32" s="13"/>
      <c r="BI32" s="13"/>
    </row>
    <row r="33" spans="1:61" ht="16.5" customHeight="1" x14ac:dyDescent="0.25">
      <c r="C33" t="s">
        <v>1796</v>
      </c>
      <c r="D33" s="1358" t="e">
        <f ca="1">IF(AND('Расчет базового уровня'!$D$6/('Ввод исходных данных'!$G$56+'Ввод исходных данных'!$D$23)&gt;1.25*'классы ЭЭ и выбросы ПГ'!$S$12,'Расчет базового уровня'!$D$6/('Ввод исходных данных'!$G$56+'Ввод исходных данных'!$D$23)&lt;=1.5*'классы ЭЭ и выбросы ПГ'!$S$12),1,0)</f>
        <v>#DIV/0!</v>
      </c>
      <c r="E33" s="1358" t="e">
        <f ca="1">IF(AND('Расчет после реализации'!$D$6/('Ввод исходных данных'!$G$56+'Ввод исходных данных'!$D$23)&gt;1.25*'классы ЭЭ и выбросы ПГ'!$S$12,'Расчет после реализации'!$D$6/('Ввод исходных данных'!$G$56+'Ввод исходных данных'!$D$23)&lt;=1.5*'классы ЭЭ и выбросы ПГ'!$S$12),1,0)</f>
        <v>#N/A</v>
      </c>
      <c r="F33" s="1359" t="s">
        <v>1813</v>
      </c>
      <c r="G33" s="1360" t="s">
        <v>1814</v>
      </c>
      <c r="AQ33" s="13"/>
      <c r="AR33" s="13"/>
      <c r="AS33" s="13"/>
      <c r="AT33" s="13"/>
      <c r="AU33" s="13"/>
      <c r="AV33" s="13"/>
      <c r="AW33" s="13"/>
      <c r="AX33" s="13"/>
      <c r="AY33" s="13"/>
      <c r="AZ33" s="13"/>
      <c r="BA33" s="13"/>
      <c r="BB33" s="13"/>
      <c r="BC33" s="13"/>
      <c r="BD33" s="13"/>
      <c r="BE33" s="13"/>
      <c r="BF33" s="13"/>
      <c r="BG33" s="13"/>
      <c r="BH33" s="13"/>
      <c r="BI33" s="13"/>
    </row>
    <row r="34" spans="1:61" ht="16.5" customHeight="1" x14ac:dyDescent="0.25">
      <c r="C34" t="s">
        <v>1797</v>
      </c>
      <c r="D34" s="13" t="e">
        <f ca="1">IF('Расчет базового уровня'!$D$6/('Ввод исходных данных'!$G$56+'Ввод исходных данных'!$D$23)&gt;1.5*'классы ЭЭ и выбросы ПГ'!$S$12,1,0)</f>
        <v>#DIV/0!</v>
      </c>
      <c r="E34" s="13" t="e">
        <f ca="1">IF('Расчет после реализации'!$D$6/('Ввод исходных данных'!$G$56+'Ввод исходных данных'!$D$23)&gt;1.5*'классы ЭЭ и выбросы ПГ'!$S$12,1,0)</f>
        <v>#N/A</v>
      </c>
      <c r="F34" s="1359" t="s">
        <v>1815</v>
      </c>
      <c r="G34" s="1360" t="s">
        <v>1816</v>
      </c>
      <c r="Y34" t="s">
        <v>541</v>
      </c>
      <c r="AQ34" s="13"/>
      <c r="AR34" s="13"/>
      <c r="AS34" s="13"/>
      <c r="AT34" s="13"/>
      <c r="AU34" s="13"/>
      <c r="AV34" s="13"/>
      <c r="AW34" s="13"/>
      <c r="AX34" s="13"/>
      <c r="AY34" s="13"/>
      <c r="AZ34" s="13"/>
      <c r="BA34" s="13"/>
      <c r="BB34" s="13"/>
      <c r="BC34" s="13"/>
      <c r="BD34" s="13"/>
      <c r="BE34" s="13"/>
      <c r="BF34" s="13"/>
      <c r="BG34" s="13"/>
      <c r="BH34" s="13"/>
      <c r="BI34" s="13"/>
    </row>
    <row r="35" spans="1:61" ht="16.5" customHeight="1" x14ac:dyDescent="0.25">
      <c r="D35" s="1361"/>
    </row>
    <row r="36" spans="1:61" ht="16.5" customHeight="1" x14ac:dyDescent="0.25">
      <c r="X36" s="1355">
        <v>2000</v>
      </c>
      <c r="Y36">
        <f>Y5-Y13-10</f>
        <v>138</v>
      </c>
      <c r="Z36" s="13">
        <f t="shared" ref="Z36:AN36" si="56">Z5-Z13-10</f>
        <v>139</v>
      </c>
      <c r="AA36" s="13">
        <f t="shared" si="56"/>
        <v>140</v>
      </c>
      <c r="AB36" s="13">
        <f t="shared" si="56"/>
        <v>144.5</v>
      </c>
      <c r="AC36" s="13">
        <f t="shared" si="56"/>
        <v>149</v>
      </c>
      <c r="AD36" s="13">
        <f t="shared" si="56"/>
        <v>149</v>
      </c>
      <c r="AE36" s="13">
        <f t="shared" si="56"/>
        <v>149</v>
      </c>
      <c r="AF36" s="13">
        <f t="shared" si="56"/>
        <v>149</v>
      </c>
      <c r="AG36" s="13">
        <f t="shared" si="56"/>
        <v>149</v>
      </c>
      <c r="AH36" s="13">
        <f t="shared" si="56"/>
        <v>149</v>
      </c>
      <c r="AI36" s="13">
        <f t="shared" si="56"/>
        <v>149</v>
      </c>
      <c r="AJ36" s="13">
        <f t="shared" si="56"/>
        <v>149</v>
      </c>
      <c r="AK36" s="13">
        <f t="shared" si="56"/>
        <v>149</v>
      </c>
      <c r="AL36" s="13">
        <f t="shared" si="56"/>
        <v>149</v>
      </c>
      <c r="AM36" s="13">
        <f t="shared" si="56"/>
        <v>149</v>
      </c>
      <c r="AN36" s="13">
        <f t="shared" si="56"/>
        <v>149</v>
      </c>
    </row>
    <row r="37" spans="1:61" ht="16.5" customHeight="1" x14ac:dyDescent="0.25">
      <c r="A37" t="s">
        <v>1820</v>
      </c>
      <c r="X37" s="1355">
        <v>3000</v>
      </c>
      <c r="Y37" s="13">
        <f t="shared" ref="Y37:AN42" si="57">Y6-Y14-10</f>
        <v>118</v>
      </c>
      <c r="Z37" s="13">
        <f t="shared" si="57"/>
        <v>120.5</v>
      </c>
      <c r="AA37" s="13">
        <f t="shared" si="57"/>
        <v>123</v>
      </c>
      <c r="AB37" s="13">
        <f t="shared" si="57"/>
        <v>129</v>
      </c>
      <c r="AC37" s="13">
        <f t="shared" si="57"/>
        <v>135</v>
      </c>
      <c r="AD37" s="13">
        <f t="shared" si="57"/>
        <v>135</v>
      </c>
      <c r="AE37" s="13">
        <f t="shared" si="57"/>
        <v>135</v>
      </c>
      <c r="AF37" s="13">
        <f t="shared" si="57"/>
        <v>135</v>
      </c>
      <c r="AG37" s="13">
        <f t="shared" si="57"/>
        <v>135</v>
      </c>
      <c r="AH37" s="13">
        <f t="shared" si="57"/>
        <v>135</v>
      </c>
      <c r="AI37" s="13">
        <f t="shared" si="57"/>
        <v>135</v>
      </c>
      <c r="AJ37" s="13">
        <f t="shared" si="57"/>
        <v>135</v>
      </c>
      <c r="AK37" s="13">
        <f t="shared" si="57"/>
        <v>135</v>
      </c>
      <c r="AL37" s="13">
        <f t="shared" si="57"/>
        <v>135</v>
      </c>
      <c r="AM37" s="13">
        <f t="shared" si="57"/>
        <v>135</v>
      </c>
      <c r="AN37" s="13">
        <f t="shared" si="57"/>
        <v>135</v>
      </c>
    </row>
    <row r="38" spans="1:61" s="13" customFormat="1" ht="16.5" customHeight="1" x14ac:dyDescent="0.25">
      <c r="A38" s="13" t="s">
        <v>1824</v>
      </c>
      <c r="E38" s="13" t="s">
        <v>1828</v>
      </c>
      <c r="G38" s="13" t="s">
        <v>1830</v>
      </c>
      <c r="X38" s="1355">
        <v>4000</v>
      </c>
      <c r="Y38" s="13">
        <f t="shared" si="57"/>
        <v>113</v>
      </c>
      <c r="Z38" s="13">
        <f t="shared" si="57"/>
        <v>115.5</v>
      </c>
      <c r="AA38" s="13">
        <f t="shared" si="57"/>
        <v>118</v>
      </c>
      <c r="AB38" s="13">
        <f t="shared" si="57"/>
        <v>126.5</v>
      </c>
      <c r="AC38" s="13">
        <f t="shared" si="57"/>
        <v>135</v>
      </c>
      <c r="AD38" s="13">
        <f t="shared" si="57"/>
        <v>135</v>
      </c>
      <c r="AE38" s="13">
        <f t="shared" si="57"/>
        <v>135</v>
      </c>
      <c r="AF38" s="13">
        <f t="shared" si="57"/>
        <v>135</v>
      </c>
      <c r="AG38" s="13">
        <f t="shared" si="57"/>
        <v>135</v>
      </c>
      <c r="AH38" s="13">
        <f t="shared" si="57"/>
        <v>135</v>
      </c>
      <c r="AI38" s="13">
        <f t="shared" si="57"/>
        <v>135</v>
      </c>
      <c r="AJ38" s="13">
        <f t="shared" si="57"/>
        <v>135</v>
      </c>
      <c r="AK38" s="13">
        <f t="shared" si="57"/>
        <v>135</v>
      </c>
      <c r="AL38" s="13">
        <f t="shared" si="57"/>
        <v>135</v>
      </c>
      <c r="AM38" s="13">
        <f t="shared" si="57"/>
        <v>135</v>
      </c>
      <c r="AN38" s="13">
        <f t="shared" si="57"/>
        <v>135</v>
      </c>
    </row>
    <row r="39" spans="1:61" ht="16.5" customHeight="1" x14ac:dyDescent="0.25">
      <c r="B39" t="s">
        <v>1288</v>
      </c>
      <c r="C39" t="s">
        <v>1289</v>
      </c>
      <c r="E39" s="13" t="s">
        <v>1288</v>
      </c>
      <c r="F39" s="13" t="s">
        <v>1289</v>
      </c>
      <c r="G39" s="13" t="s">
        <v>1288</v>
      </c>
      <c r="H39" s="13" t="s">
        <v>1289</v>
      </c>
      <c r="X39" s="1355">
        <v>5000</v>
      </c>
      <c r="Y39" s="13">
        <f t="shared" si="57"/>
        <v>107</v>
      </c>
      <c r="Z39" s="13">
        <f t="shared" si="57"/>
        <v>110.5</v>
      </c>
      <c r="AA39" s="13">
        <f t="shared" si="57"/>
        <v>114</v>
      </c>
      <c r="AB39" s="13">
        <f t="shared" si="57"/>
        <v>124.5</v>
      </c>
      <c r="AC39" s="13">
        <f t="shared" si="57"/>
        <v>135</v>
      </c>
      <c r="AD39" s="13">
        <f t="shared" si="57"/>
        <v>135</v>
      </c>
      <c r="AE39" s="13">
        <f t="shared" si="57"/>
        <v>135</v>
      </c>
      <c r="AF39" s="13">
        <f t="shared" si="57"/>
        <v>135</v>
      </c>
      <c r="AG39" s="13">
        <f t="shared" si="57"/>
        <v>135</v>
      </c>
      <c r="AH39" s="13">
        <f t="shared" si="57"/>
        <v>135</v>
      </c>
      <c r="AI39" s="13">
        <f t="shared" si="57"/>
        <v>135</v>
      </c>
      <c r="AJ39" s="13">
        <f t="shared" si="57"/>
        <v>135</v>
      </c>
      <c r="AK39" s="13">
        <f t="shared" si="57"/>
        <v>135</v>
      </c>
      <c r="AL39" s="13">
        <f t="shared" si="57"/>
        <v>135</v>
      </c>
      <c r="AM39" s="13">
        <f t="shared" si="57"/>
        <v>135</v>
      </c>
      <c r="AN39" s="13">
        <f t="shared" si="57"/>
        <v>135</v>
      </c>
    </row>
    <row r="40" spans="1:61" s="13" customFormat="1" ht="16.5" customHeight="1" x14ac:dyDescent="0.25">
      <c r="B40" s="13" t="s">
        <v>1825</v>
      </c>
      <c r="C40" s="13" t="s">
        <v>1826</v>
      </c>
      <c r="E40" s="13" t="s">
        <v>1829</v>
      </c>
      <c r="F40" s="13" t="s">
        <v>1829</v>
      </c>
      <c r="G40" s="13" t="s">
        <v>1829</v>
      </c>
      <c r="H40" s="13" t="s">
        <v>1829</v>
      </c>
      <c r="X40" s="1355">
        <v>6000</v>
      </c>
      <c r="Y40" s="13">
        <f t="shared" si="57"/>
        <v>102</v>
      </c>
      <c r="Z40" s="13">
        <f t="shared" si="57"/>
        <v>106</v>
      </c>
      <c r="AA40" s="13">
        <f t="shared" si="57"/>
        <v>110</v>
      </c>
      <c r="AB40" s="13">
        <f t="shared" si="57"/>
        <v>122.5</v>
      </c>
      <c r="AC40" s="13">
        <f t="shared" si="57"/>
        <v>135</v>
      </c>
      <c r="AD40" s="13">
        <f t="shared" si="57"/>
        <v>135</v>
      </c>
      <c r="AE40" s="13">
        <f t="shared" si="57"/>
        <v>135</v>
      </c>
      <c r="AF40" s="13">
        <f t="shared" si="57"/>
        <v>135</v>
      </c>
      <c r="AG40" s="13">
        <f t="shared" si="57"/>
        <v>135</v>
      </c>
      <c r="AH40" s="13">
        <f t="shared" si="57"/>
        <v>135</v>
      </c>
      <c r="AI40" s="13">
        <f t="shared" si="57"/>
        <v>135</v>
      </c>
      <c r="AJ40" s="13">
        <f t="shared" si="57"/>
        <v>135</v>
      </c>
      <c r="AK40" s="13">
        <f t="shared" si="57"/>
        <v>135</v>
      </c>
      <c r="AL40" s="13">
        <f t="shared" si="57"/>
        <v>135</v>
      </c>
      <c r="AM40" s="13">
        <f t="shared" si="57"/>
        <v>135</v>
      </c>
      <c r="AN40" s="13">
        <f t="shared" si="57"/>
        <v>135</v>
      </c>
    </row>
    <row r="41" spans="1:61" ht="16.5" customHeight="1" x14ac:dyDescent="0.25">
      <c r="A41" t="s">
        <v>1821</v>
      </c>
      <c r="G41" s="13"/>
      <c r="X41" s="1355">
        <v>8000</v>
      </c>
      <c r="Y41" s="13">
        <f t="shared" si="57"/>
        <v>107</v>
      </c>
      <c r="Z41" s="13">
        <f t="shared" si="57"/>
        <v>111.5</v>
      </c>
      <c r="AA41" s="13">
        <f t="shared" si="57"/>
        <v>116</v>
      </c>
      <c r="AB41" s="13">
        <f t="shared" si="57"/>
        <v>131.5</v>
      </c>
      <c r="AC41" s="13">
        <f t="shared" si="57"/>
        <v>147</v>
      </c>
      <c r="AD41" s="13">
        <f t="shared" si="57"/>
        <v>147</v>
      </c>
      <c r="AE41" s="13">
        <f t="shared" si="57"/>
        <v>147</v>
      </c>
      <c r="AF41" s="13">
        <f t="shared" si="57"/>
        <v>146.5</v>
      </c>
      <c r="AG41" s="13">
        <f t="shared" si="57"/>
        <v>146</v>
      </c>
      <c r="AH41" s="13">
        <f t="shared" si="57"/>
        <v>146</v>
      </c>
      <c r="AI41" s="13">
        <f t="shared" si="57"/>
        <v>146</v>
      </c>
      <c r="AJ41" s="13">
        <f t="shared" si="57"/>
        <v>146</v>
      </c>
      <c r="AK41" s="13">
        <f t="shared" si="57"/>
        <v>146</v>
      </c>
      <c r="AL41" s="13">
        <f t="shared" si="57"/>
        <v>146</v>
      </c>
      <c r="AM41" s="13">
        <f t="shared" si="57"/>
        <v>146</v>
      </c>
      <c r="AN41" s="13">
        <f t="shared" si="57"/>
        <v>146</v>
      </c>
    </row>
    <row r="42" spans="1:61" ht="16.5" customHeight="1" x14ac:dyDescent="0.25">
      <c r="A42" t="s">
        <v>1822</v>
      </c>
      <c r="G42" s="13"/>
      <c r="X42" s="1355">
        <v>10000</v>
      </c>
      <c r="Y42" s="13">
        <f t="shared" si="57"/>
        <v>99</v>
      </c>
      <c r="Z42" s="13">
        <f t="shared" si="57"/>
        <v>104.5</v>
      </c>
      <c r="AA42" s="13">
        <f t="shared" si="57"/>
        <v>110</v>
      </c>
      <c r="AB42" s="13">
        <f t="shared" si="57"/>
        <v>129.5</v>
      </c>
      <c r="AC42" s="13">
        <f t="shared" si="57"/>
        <v>149</v>
      </c>
      <c r="AD42" s="13">
        <f t="shared" si="57"/>
        <v>148.5</v>
      </c>
      <c r="AE42" s="13">
        <f t="shared" si="57"/>
        <v>148</v>
      </c>
      <c r="AF42" s="13">
        <f t="shared" si="57"/>
        <v>148</v>
      </c>
      <c r="AG42" s="13">
        <f t="shared" si="57"/>
        <v>148</v>
      </c>
      <c r="AH42" s="13">
        <f t="shared" si="57"/>
        <v>147.5</v>
      </c>
      <c r="AI42" s="13">
        <f t="shared" si="57"/>
        <v>147</v>
      </c>
      <c r="AJ42" s="13">
        <f t="shared" si="57"/>
        <v>146.5</v>
      </c>
      <c r="AK42" s="13">
        <f t="shared" si="57"/>
        <v>146</v>
      </c>
      <c r="AL42" s="13">
        <f t="shared" si="57"/>
        <v>145.5</v>
      </c>
      <c r="AM42" s="13">
        <f t="shared" si="57"/>
        <v>145</v>
      </c>
      <c r="AN42" s="13">
        <f t="shared" si="57"/>
        <v>144.5</v>
      </c>
    </row>
    <row r="43" spans="1:61" ht="16.5" customHeight="1" x14ac:dyDescent="0.25">
      <c r="A43" t="s">
        <v>1823</v>
      </c>
      <c r="G43" s="13"/>
    </row>
    <row r="44" spans="1:61" ht="16.5" customHeight="1" x14ac:dyDescent="0.25">
      <c r="A44" t="s">
        <v>1827</v>
      </c>
      <c r="B44">
        <v>0.40910419999999997</v>
      </c>
      <c r="C44" s="1364">
        <v>0.61675190000000002</v>
      </c>
      <c r="E44">
        <f ca="1">'Расчет базового уровня'!D10*'классы ЭЭ и выбросы ПГ'!B44</f>
        <v>0</v>
      </c>
      <c r="F44" s="13">
        <f>C44*'Расчет базового уровня'!D18/1000</f>
        <v>0</v>
      </c>
      <c r="G44" s="13" t="e">
        <f ca="1">'Расчет после реализации'!D9*0.86/1000*'классы ЭЭ и выбросы ПГ'!B44</f>
        <v>#N/A</v>
      </c>
      <c r="H44" s="13" t="e">
        <f ca="1">C44*'Расчет после реализации'!D18/1000</f>
        <v>#N/A</v>
      </c>
      <c r="W44" t="s">
        <v>2028</v>
      </c>
      <c r="X44" s="1425" t="str">
        <f>X12</f>
        <v/>
      </c>
      <c r="Y44" t="e">
        <f>IF($X44&lt;3000,SLOPE(Y5:Y6,$X5:$X6)*$X44+INTERCEPT(Y5:Y6,$X5:$X6),$X44*SLOPE(Y$6:Y$11,$X$6:$X$11)+INTERCEPT(Y$6:Y$11,$X$6:$X$11))</f>
        <v>#VALUE!</v>
      </c>
      <c r="Z44" s="13" t="e">
        <f t="shared" ref="Z44:AN44" si="58">IF($X44&lt;3000,SLOPE(Z5:Z6,$X5:$X6)*$X44+INTERCEPT(Z5:Z6,$X5:$X6),$X44*SLOPE(Z$6:Z$11,$X$6:$X$11)+INTERCEPT(Z$6:Z$11,$X$6:$X$11))</f>
        <v>#VALUE!</v>
      </c>
      <c r="AA44" s="13" t="e">
        <f t="shared" si="58"/>
        <v>#VALUE!</v>
      </c>
      <c r="AB44" s="13" t="e">
        <f t="shared" si="58"/>
        <v>#VALUE!</v>
      </c>
      <c r="AC44" s="13" t="e">
        <f t="shared" si="58"/>
        <v>#VALUE!</v>
      </c>
      <c r="AD44" s="13" t="e">
        <f t="shared" si="58"/>
        <v>#VALUE!</v>
      </c>
      <c r="AE44" s="13" t="e">
        <f t="shared" si="58"/>
        <v>#VALUE!</v>
      </c>
      <c r="AF44" s="13" t="e">
        <f t="shared" si="58"/>
        <v>#VALUE!</v>
      </c>
      <c r="AG44" s="13" t="e">
        <f t="shared" si="58"/>
        <v>#VALUE!</v>
      </c>
      <c r="AH44" s="13" t="e">
        <f t="shared" si="58"/>
        <v>#VALUE!</v>
      </c>
      <c r="AI44" s="13" t="e">
        <f t="shared" si="58"/>
        <v>#VALUE!</v>
      </c>
      <c r="AJ44" s="13" t="e">
        <f t="shared" si="58"/>
        <v>#VALUE!</v>
      </c>
      <c r="AK44" s="13" t="e">
        <f t="shared" si="58"/>
        <v>#VALUE!</v>
      </c>
      <c r="AL44" s="13" t="e">
        <f t="shared" si="58"/>
        <v>#VALUE!</v>
      </c>
      <c r="AM44" s="13" t="e">
        <f t="shared" si="58"/>
        <v>#VALUE!</v>
      </c>
      <c r="AN44" s="13" t="e">
        <f t="shared" si="58"/>
        <v>#VALUE!</v>
      </c>
    </row>
    <row r="45" spans="1:61" s="13" customFormat="1" ht="16.5" customHeight="1" x14ac:dyDescent="0.25">
      <c r="C45" s="1364"/>
      <c r="X45" s="1425"/>
      <c r="Y45" s="13" t="e">
        <f>Y44/$X$44</f>
        <v>#VALUE!</v>
      </c>
      <c r="Z45" s="13" t="e">
        <f t="shared" ref="Z45:AN45" si="59">Z44/$X$44</f>
        <v>#VALUE!</v>
      </c>
      <c r="AA45" s="13" t="e">
        <f t="shared" si="59"/>
        <v>#VALUE!</v>
      </c>
      <c r="AB45" s="13" t="e">
        <f t="shared" si="59"/>
        <v>#VALUE!</v>
      </c>
      <c r="AC45" s="13" t="e">
        <f t="shared" si="59"/>
        <v>#VALUE!</v>
      </c>
      <c r="AD45" s="13" t="e">
        <f t="shared" si="59"/>
        <v>#VALUE!</v>
      </c>
      <c r="AE45" s="13" t="e">
        <f t="shared" si="59"/>
        <v>#VALUE!</v>
      </c>
      <c r="AF45" s="13" t="e">
        <f t="shared" si="59"/>
        <v>#VALUE!</v>
      </c>
      <c r="AG45" s="13" t="e">
        <f t="shared" si="59"/>
        <v>#VALUE!</v>
      </c>
      <c r="AH45" s="13" t="e">
        <f t="shared" si="59"/>
        <v>#VALUE!</v>
      </c>
      <c r="AI45" s="13" t="e">
        <f t="shared" si="59"/>
        <v>#VALUE!</v>
      </c>
      <c r="AJ45" s="13" t="e">
        <f t="shared" si="59"/>
        <v>#VALUE!</v>
      </c>
      <c r="AK45" s="13" t="e">
        <f t="shared" si="59"/>
        <v>#VALUE!</v>
      </c>
      <c r="AL45" s="13" t="e">
        <f t="shared" si="59"/>
        <v>#VALUE!</v>
      </c>
      <c r="AM45" s="13" t="e">
        <f t="shared" si="59"/>
        <v>#VALUE!</v>
      </c>
      <c r="AN45" s="13" t="e">
        <f t="shared" si="59"/>
        <v>#VALUE!</v>
      </c>
    </row>
    <row r="46" spans="1:61" ht="16.5" customHeight="1" x14ac:dyDescent="0.25">
      <c r="X46" s="1425" t="str">
        <f>X44</f>
        <v/>
      </c>
      <c r="Y46" s="13" t="e">
        <f>IF($X$46&lt;3000,SLOPE(Y13:Y14,$X13:$X14)*$X$46+INTERCEPT(Y13:Y14,$X13:$X14),$X$46*SLOPE(Y$14:Y$19,$X$14:$X$19)+INTERCEPT(Y$14:Y$19,$X$14:$X$19))</f>
        <v>#VALUE!</v>
      </c>
      <c r="Z46" s="13" t="e">
        <f t="shared" ref="Z46:AN46" si="60">IF($X$46&lt;3000,SLOPE(Z13:Z14,$X13:$X14)*$X$46+INTERCEPT(Z13:Z14,$X13:$X14),$X$46*SLOPE(Z$14:Z$19,$X$14:$X$19)+INTERCEPT(Z$14:Z$19,$X$14:$X$19))</f>
        <v>#VALUE!</v>
      </c>
      <c r="AA46" s="13" t="e">
        <f t="shared" si="60"/>
        <v>#VALUE!</v>
      </c>
      <c r="AB46" s="13" t="e">
        <f t="shared" si="60"/>
        <v>#VALUE!</v>
      </c>
      <c r="AC46" s="13" t="e">
        <f t="shared" si="60"/>
        <v>#VALUE!</v>
      </c>
      <c r="AD46" s="13" t="e">
        <f t="shared" si="60"/>
        <v>#VALUE!</v>
      </c>
      <c r="AE46" s="13" t="e">
        <f t="shared" si="60"/>
        <v>#VALUE!</v>
      </c>
      <c r="AF46" s="13" t="e">
        <f t="shared" si="60"/>
        <v>#VALUE!</v>
      </c>
      <c r="AG46" s="13" t="e">
        <f t="shared" si="60"/>
        <v>#VALUE!</v>
      </c>
      <c r="AH46" s="13" t="e">
        <f t="shared" si="60"/>
        <v>#VALUE!</v>
      </c>
      <c r="AI46" s="13" t="e">
        <f t="shared" si="60"/>
        <v>#VALUE!</v>
      </c>
      <c r="AJ46" s="13" t="e">
        <f t="shared" si="60"/>
        <v>#VALUE!</v>
      </c>
      <c r="AK46" s="13" t="e">
        <f t="shared" si="60"/>
        <v>#VALUE!</v>
      </c>
      <c r="AL46" s="13" t="e">
        <f t="shared" si="60"/>
        <v>#VALUE!</v>
      </c>
      <c r="AM46" s="13" t="e">
        <f t="shared" si="60"/>
        <v>#VALUE!</v>
      </c>
      <c r="AN46" s="13" t="e">
        <f t="shared" si="60"/>
        <v>#VALUE!</v>
      </c>
    </row>
    <row r="47" spans="1:61" s="13" customFormat="1" ht="16.5" customHeight="1" x14ac:dyDescent="0.25">
      <c r="X47" s="1425"/>
      <c r="Y47" s="13" t="e">
        <f t="shared" ref="Y47:AN47" si="61">Y46/$X$44</f>
        <v>#VALUE!</v>
      </c>
      <c r="Z47" s="13" t="e">
        <f t="shared" si="61"/>
        <v>#VALUE!</v>
      </c>
      <c r="AA47" s="13" t="e">
        <f t="shared" si="61"/>
        <v>#VALUE!</v>
      </c>
      <c r="AB47" s="13" t="e">
        <f t="shared" si="61"/>
        <v>#VALUE!</v>
      </c>
      <c r="AC47" s="13" t="e">
        <f t="shared" si="61"/>
        <v>#VALUE!</v>
      </c>
      <c r="AD47" s="13" t="e">
        <f t="shared" si="61"/>
        <v>#VALUE!</v>
      </c>
      <c r="AE47" s="13" t="e">
        <f t="shared" si="61"/>
        <v>#VALUE!</v>
      </c>
      <c r="AF47" s="13" t="e">
        <f t="shared" si="61"/>
        <v>#VALUE!</v>
      </c>
      <c r="AG47" s="13" t="e">
        <f t="shared" si="61"/>
        <v>#VALUE!</v>
      </c>
      <c r="AH47" s="13" t="e">
        <f t="shared" si="61"/>
        <v>#VALUE!</v>
      </c>
      <c r="AI47" s="13" t="e">
        <f t="shared" si="61"/>
        <v>#VALUE!</v>
      </c>
      <c r="AJ47" s="13" t="e">
        <f t="shared" si="61"/>
        <v>#VALUE!</v>
      </c>
      <c r="AK47" s="13" t="e">
        <f t="shared" si="61"/>
        <v>#VALUE!</v>
      </c>
      <c r="AL47" s="13" t="e">
        <f t="shared" si="61"/>
        <v>#VALUE!</v>
      </c>
      <c r="AM47" s="13" t="e">
        <f t="shared" si="61"/>
        <v>#VALUE!</v>
      </c>
      <c r="AN47" s="13" t="e">
        <f t="shared" si="61"/>
        <v>#VALUE!</v>
      </c>
    </row>
    <row r="48" spans="1:61" ht="16.5" customHeight="1" x14ac:dyDescent="0.25">
      <c r="X48" s="1425" t="str">
        <f>X46</f>
        <v/>
      </c>
      <c r="Y48" t="e">
        <f>Y44-Y46-10</f>
        <v>#VALUE!</v>
      </c>
      <c r="Z48" s="13" t="e">
        <f t="shared" ref="Z48:AN48" si="62">Z44-Z46-10</f>
        <v>#VALUE!</v>
      </c>
      <c r="AA48" s="13" t="e">
        <f t="shared" si="62"/>
        <v>#VALUE!</v>
      </c>
      <c r="AB48" s="13" t="e">
        <f t="shared" si="62"/>
        <v>#VALUE!</v>
      </c>
      <c r="AC48" s="13" t="e">
        <f t="shared" si="62"/>
        <v>#VALUE!</v>
      </c>
      <c r="AD48" s="13" t="e">
        <f t="shared" si="62"/>
        <v>#VALUE!</v>
      </c>
      <c r="AE48" s="13" t="e">
        <f t="shared" si="62"/>
        <v>#VALUE!</v>
      </c>
      <c r="AF48" s="13" t="e">
        <f t="shared" si="62"/>
        <v>#VALUE!</v>
      </c>
      <c r="AG48" s="13" t="e">
        <f t="shared" si="62"/>
        <v>#VALUE!</v>
      </c>
      <c r="AH48" s="13" t="e">
        <f t="shared" si="62"/>
        <v>#VALUE!</v>
      </c>
      <c r="AI48" s="13" t="e">
        <f t="shared" si="62"/>
        <v>#VALUE!</v>
      </c>
      <c r="AJ48" s="13" t="e">
        <f t="shared" si="62"/>
        <v>#VALUE!</v>
      </c>
      <c r="AK48" s="13" t="e">
        <f t="shared" si="62"/>
        <v>#VALUE!</v>
      </c>
      <c r="AL48" s="13" t="e">
        <f t="shared" si="62"/>
        <v>#VALUE!</v>
      </c>
      <c r="AM48" s="13" t="e">
        <f t="shared" si="62"/>
        <v>#VALUE!</v>
      </c>
      <c r="AN48" s="13" t="e">
        <f t="shared" si="62"/>
        <v>#VALUE!</v>
      </c>
    </row>
    <row r="50" spans="23:40" ht="16.5" customHeight="1" x14ac:dyDescent="0.25">
      <c r="W50" t="s">
        <v>2029</v>
      </c>
      <c r="X50" s="1425" t="str">
        <f ca="1">B12</f>
        <v/>
      </c>
      <c r="Y50" s="13" t="e">
        <f ca="1">IF($X50&lt;3000,SLOPE(Y5:Y6,$X5:$X6)*$X50+INTERCEPT(Y5:Y6,$X5:$X6),$X50*SLOPE(Y$6:Y$11,$X$6:$X$11)+INTERCEPT(Y$6:Y$11,$X$6:$X$11))</f>
        <v>#VALUE!</v>
      </c>
      <c r="Z50" s="13" t="e">
        <f t="shared" ref="Z50:AN50" ca="1" si="63">IF($X50&lt;3000,SLOPE(Z5:Z6,$X5:$X6)*$X50+INTERCEPT(Z5:Z6,$X5:$X6),$X50*SLOPE(Z$6:Z$11,$X$6:$X$11)+INTERCEPT(Z$6:Z$11,$X$6:$X$11))</f>
        <v>#VALUE!</v>
      </c>
      <c r="AA50" s="13" t="e">
        <f t="shared" ca="1" si="63"/>
        <v>#VALUE!</v>
      </c>
      <c r="AB50" s="13" t="e">
        <f t="shared" ca="1" si="63"/>
        <v>#VALUE!</v>
      </c>
      <c r="AC50" s="13" t="e">
        <f t="shared" ca="1" si="63"/>
        <v>#VALUE!</v>
      </c>
      <c r="AD50" s="13" t="e">
        <f t="shared" ca="1" si="63"/>
        <v>#VALUE!</v>
      </c>
      <c r="AE50" s="13" t="e">
        <f t="shared" ca="1" si="63"/>
        <v>#VALUE!</v>
      </c>
      <c r="AF50" s="13" t="e">
        <f t="shared" ca="1" si="63"/>
        <v>#VALUE!</v>
      </c>
      <c r="AG50" s="13" t="e">
        <f t="shared" ca="1" si="63"/>
        <v>#VALUE!</v>
      </c>
      <c r="AH50" s="13" t="e">
        <f t="shared" ca="1" si="63"/>
        <v>#VALUE!</v>
      </c>
      <c r="AI50" s="13" t="e">
        <f t="shared" ca="1" si="63"/>
        <v>#VALUE!</v>
      </c>
      <c r="AJ50" s="13" t="e">
        <f t="shared" ca="1" si="63"/>
        <v>#VALUE!</v>
      </c>
      <c r="AK50" s="13" t="e">
        <f t="shared" ca="1" si="63"/>
        <v>#VALUE!</v>
      </c>
      <c r="AL50" s="13" t="e">
        <f t="shared" ca="1" si="63"/>
        <v>#VALUE!</v>
      </c>
      <c r="AM50" s="13" t="e">
        <f t="shared" ca="1" si="63"/>
        <v>#VALUE!</v>
      </c>
      <c r="AN50" s="13" t="e">
        <f t="shared" ca="1" si="63"/>
        <v>#VALUE!</v>
      </c>
    </row>
    <row r="51" spans="23:40" ht="16.5" customHeight="1" x14ac:dyDescent="0.25">
      <c r="X51" s="1425"/>
      <c r="Y51" s="13" t="e">
        <f ca="1">Y50/$X$50</f>
        <v>#VALUE!</v>
      </c>
      <c r="Z51" s="13" t="e">
        <f t="shared" ref="Z51:AN51" ca="1" si="64">Z50/$X$50</f>
        <v>#VALUE!</v>
      </c>
      <c r="AA51" s="13" t="e">
        <f t="shared" ca="1" si="64"/>
        <v>#VALUE!</v>
      </c>
      <c r="AB51" s="13" t="e">
        <f t="shared" ca="1" si="64"/>
        <v>#VALUE!</v>
      </c>
      <c r="AC51" s="13" t="e">
        <f t="shared" ca="1" si="64"/>
        <v>#VALUE!</v>
      </c>
      <c r="AD51" s="13" t="e">
        <f t="shared" ca="1" si="64"/>
        <v>#VALUE!</v>
      </c>
      <c r="AE51" s="13" t="e">
        <f t="shared" ca="1" si="64"/>
        <v>#VALUE!</v>
      </c>
      <c r="AF51" s="13" t="e">
        <f t="shared" ca="1" si="64"/>
        <v>#VALUE!</v>
      </c>
      <c r="AG51" s="13" t="e">
        <f t="shared" ca="1" si="64"/>
        <v>#VALUE!</v>
      </c>
      <c r="AH51" s="13" t="e">
        <f t="shared" ca="1" si="64"/>
        <v>#VALUE!</v>
      </c>
      <c r="AI51" s="13" t="e">
        <f t="shared" ca="1" si="64"/>
        <v>#VALUE!</v>
      </c>
      <c r="AJ51" s="13" t="e">
        <f t="shared" ca="1" si="64"/>
        <v>#VALUE!</v>
      </c>
      <c r="AK51" s="13" t="e">
        <f t="shared" ca="1" si="64"/>
        <v>#VALUE!</v>
      </c>
      <c r="AL51" s="13" t="e">
        <f t="shared" ca="1" si="64"/>
        <v>#VALUE!</v>
      </c>
      <c r="AM51" s="13" t="e">
        <f t="shared" ca="1" si="64"/>
        <v>#VALUE!</v>
      </c>
      <c r="AN51" s="13" t="e">
        <f t="shared" ca="1" si="64"/>
        <v>#VALUE!</v>
      </c>
    </row>
    <row r="52" spans="23:40" ht="16.5" customHeight="1" x14ac:dyDescent="0.25">
      <c r="X52" s="1425" t="str">
        <f ca="1">X50</f>
        <v/>
      </c>
      <c r="Y52" s="13" t="e">
        <f ca="1">IF($X52&lt;3000,SLOPE(Y13:Y14,$X13:$X14)*$X52+INTERCEPT(Y13:Y14,$X13:$X14),$X52*SLOPE(Y$14:Y$19,$X$14:$X$19)+INTERCEPT(Y$14:Y$19,$X$14:$X$19))</f>
        <v>#VALUE!</v>
      </c>
      <c r="Z52" s="13" t="e">
        <f t="shared" ref="Z52:AN52" ca="1" si="65">IF($X52&lt;3000,SLOPE(Z13:Z14,$X13:$X14)*$X52+INTERCEPT(Z13:Z14,$X13:$X14),$X52*SLOPE(Z$14:Z$19,$X$14:$X$19)+INTERCEPT(Z$14:Z$19,$X$14:$X$19))</f>
        <v>#VALUE!</v>
      </c>
      <c r="AA52" s="13" t="e">
        <f t="shared" ca="1" si="65"/>
        <v>#VALUE!</v>
      </c>
      <c r="AB52" s="13" t="e">
        <f t="shared" ca="1" si="65"/>
        <v>#VALUE!</v>
      </c>
      <c r="AC52" s="13" t="e">
        <f t="shared" ca="1" si="65"/>
        <v>#VALUE!</v>
      </c>
      <c r="AD52" s="13" t="e">
        <f t="shared" ca="1" si="65"/>
        <v>#VALUE!</v>
      </c>
      <c r="AE52" s="13" t="e">
        <f t="shared" ca="1" si="65"/>
        <v>#VALUE!</v>
      </c>
      <c r="AF52" s="13" t="e">
        <f t="shared" ca="1" si="65"/>
        <v>#VALUE!</v>
      </c>
      <c r="AG52" s="13" t="e">
        <f t="shared" ca="1" si="65"/>
        <v>#VALUE!</v>
      </c>
      <c r="AH52" s="13" t="e">
        <f t="shared" ca="1" si="65"/>
        <v>#VALUE!</v>
      </c>
      <c r="AI52" s="13" t="e">
        <f t="shared" ca="1" si="65"/>
        <v>#VALUE!</v>
      </c>
      <c r="AJ52" s="13" t="e">
        <f t="shared" ca="1" si="65"/>
        <v>#VALUE!</v>
      </c>
      <c r="AK52" s="13" t="e">
        <f t="shared" ca="1" si="65"/>
        <v>#VALUE!</v>
      </c>
      <c r="AL52" s="13" t="e">
        <f t="shared" ca="1" si="65"/>
        <v>#VALUE!</v>
      </c>
      <c r="AM52" s="13" t="e">
        <f t="shared" ca="1" si="65"/>
        <v>#VALUE!</v>
      </c>
      <c r="AN52" s="13" t="e">
        <f t="shared" ca="1" si="65"/>
        <v>#VALUE!</v>
      </c>
    </row>
    <row r="53" spans="23:40" ht="16.5" customHeight="1" x14ac:dyDescent="0.25">
      <c r="X53" s="1425"/>
      <c r="Y53" s="13" t="e">
        <f ca="1">Y52/$X$52</f>
        <v>#VALUE!</v>
      </c>
      <c r="Z53" s="13" t="e">
        <f t="shared" ref="Z53:AN53" ca="1" si="66">Z52/$X$52</f>
        <v>#VALUE!</v>
      </c>
      <c r="AA53" s="13" t="e">
        <f t="shared" ca="1" si="66"/>
        <v>#VALUE!</v>
      </c>
      <c r="AB53" s="13" t="e">
        <f t="shared" ca="1" si="66"/>
        <v>#VALUE!</v>
      </c>
      <c r="AC53" s="13" t="e">
        <f t="shared" ca="1" si="66"/>
        <v>#VALUE!</v>
      </c>
      <c r="AD53" s="13" t="e">
        <f t="shared" ca="1" si="66"/>
        <v>#VALUE!</v>
      </c>
      <c r="AE53" s="13" t="e">
        <f t="shared" ca="1" si="66"/>
        <v>#VALUE!</v>
      </c>
      <c r="AF53" s="13" t="e">
        <f t="shared" ca="1" si="66"/>
        <v>#VALUE!</v>
      </c>
      <c r="AG53" s="13" t="e">
        <f t="shared" ca="1" si="66"/>
        <v>#VALUE!</v>
      </c>
      <c r="AH53" s="13" t="e">
        <f t="shared" ca="1" si="66"/>
        <v>#VALUE!</v>
      </c>
      <c r="AI53" s="13" t="e">
        <f t="shared" ca="1" si="66"/>
        <v>#VALUE!</v>
      </c>
      <c r="AJ53" s="13" t="e">
        <f t="shared" ca="1" si="66"/>
        <v>#VALUE!</v>
      </c>
      <c r="AK53" s="13" t="e">
        <f t="shared" ca="1" si="66"/>
        <v>#VALUE!</v>
      </c>
      <c r="AL53" s="13" t="e">
        <f t="shared" ca="1" si="66"/>
        <v>#VALUE!</v>
      </c>
      <c r="AM53" s="13" t="e">
        <f t="shared" ca="1" si="66"/>
        <v>#VALUE!</v>
      </c>
      <c r="AN53" s="13" t="e">
        <f t="shared" ca="1" si="66"/>
        <v>#VALUE!</v>
      </c>
    </row>
    <row r="54" spans="23:40" ht="16.5" customHeight="1" x14ac:dyDescent="0.25">
      <c r="X54" s="1425" t="str">
        <f ca="1">X52</f>
        <v/>
      </c>
      <c r="Y54" s="13" t="e">
        <f t="shared" ref="Y54:AN54" ca="1" si="67">Y50-Y52-10</f>
        <v>#VALUE!</v>
      </c>
      <c r="Z54" s="13" t="e">
        <f t="shared" ca="1" si="67"/>
        <v>#VALUE!</v>
      </c>
      <c r="AA54" s="13" t="e">
        <f t="shared" ca="1" si="67"/>
        <v>#VALUE!</v>
      </c>
      <c r="AB54" s="13" t="e">
        <f t="shared" ca="1" si="67"/>
        <v>#VALUE!</v>
      </c>
      <c r="AC54" s="13" t="e">
        <f t="shared" ca="1" si="67"/>
        <v>#VALUE!</v>
      </c>
      <c r="AD54" s="13" t="e">
        <f t="shared" ca="1" si="67"/>
        <v>#VALUE!</v>
      </c>
      <c r="AE54" s="13" t="e">
        <f t="shared" ca="1" si="67"/>
        <v>#VALUE!</v>
      </c>
      <c r="AF54" s="13" t="e">
        <f t="shared" ca="1" si="67"/>
        <v>#VALUE!</v>
      </c>
      <c r="AG54" s="13" t="e">
        <f t="shared" ca="1" si="67"/>
        <v>#VALUE!</v>
      </c>
      <c r="AH54" s="13" t="e">
        <f t="shared" ca="1" si="67"/>
        <v>#VALUE!</v>
      </c>
      <c r="AI54" s="13" t="e">
        <f t="shared" ca="1" si="67"/>
        <v>#VALUE!</v>
      </c>
      <c r="AJ54" s="13" t="e">
        <f t="shared" ca="1" si="67"/>
        <v>#VALUE!</v>
      </c>
      <c r="AK54" s="13" t="e">
        <f t="shared" ca="1" si="67"/>
        <v>#VALUE!</v>
      </c>
      <c r="AL54" s="13" t="e">
        <f t="shared" ca="1" si="67"/>
        <v>#VALUE!</v>
      </c>
      <c r="AM54" s="13" t="e">
        <f t="shared" ca="1" si="67"/>
        <v>#VALUE!</v>
      </c>
      <c r="AN54" s="13" t="e">
        <f t="shared" ca="1" si="67"/>
        <v>#VALUE!</v>
      </c>
    </row>
    <row r="56" spans="23:40" ht="16.5" customHeight="1" x14ac:dyDescent="0.25">
      <c r="X56" s="1425">
        <v>4824</v>
      </c>
      <c r="Y56" s="13">
        <f>IF($X56&lt;3000,SLOPE(Y5:Y6,$X5:$X6)*$X56+INTERCEPT(Y5:Y6,$X5:$X6),$X56*SLOPE(Y$6:Y$11,$X$6:$X$11)+INTERCEPT(Y$6:Y$11,$X$6:$X$11))</f>
        <v>279.32360784313727</v>
      </c>
      <c r="Z56" s="13">
        <f t="shared" ref="Z56:AN56" si="68">IF($X56&lt;3000,SLOPE(Z5:Z6,$X5:$X6)*$X56+INTERCEPT(Z5:Z6,$X5:$X6),$X56*SLOPE(Z$6:Z$11,$X$6:$X$11)+INTERCEPT(Z$6:Z$11,$X$6:$X$11))</f>
        <v>269.29666666666668</v>
      </c>
      <c r="AA56" s="13">
        <f t="shared" si="68"/>
        <v>259.26972549019609</v>
      </c>
      <c r="AB56" s="13">
        <f t="shared" si="68"/>
        <v>255.95047058823531</v>
      </c>
      <c r="AC56" s="13">
        <f t="shared" si="68"/>
        <v>252.63121568627446</v>
      </c>
      <c r="AD56" s="13">
        <f t="shared" si="68"/>
        <v>249.90317647058822</v>
      </c>
      <c r="AE56" s="13">
        <f t="shared" si="68"/>
        <v>247.17513725490198</v>
      </c>
      <c r="AF56" s="13">
        <f t="shared" si="68"/>
        <v>244.51627450980391</v>
      </c>
      <c r="AG56" s="13">
        <f t="shared" si="68"/>
        <v>241.85741176470589</v>
      </c>
      <c r="AH56" s="13">
        <f t="shared" si="68"/>
        <v>240.51933333333332</v>
      </c>
      <c r="AI56" s="13">
        <f t="shared" si="68"/>
        <v>239.18125490196081</v>
      </c>
      <c r="AJ56" s="13">
        <f t="shared" si="68"/>
        <v>237.84317647058822</v>
      </c>
      <c r="AK56" s="13">
        <f t="shared" si="68"/>
        <v>236.50509803921562</v>
      </c>
      <c r="AL56" s="13">
        <f t="shared" si="68"/>
        <v>235.16701960784314</v>
      </c>
      <c r="AM56" s="13">
        <f t="shared" si="68"/>
        <v>233.82894117647061</v>
      </c>
      <c r="AN56" s="13">
        <f t="shared" si="68"/>
        <v>232.49086274509801</v>
      </c>
    </row>
    <row r="57" spans="23:40" ht="16.5" customHeight="1" x14ac:dyDescent="0.25">
      <c r="X57" s="1425"/>
      <c r="Y57" s="13">
        <f>Y56/$X$56</f>
        <v>5.7902903781744876E-2</v>
      </c>
      <c r="Z57" s="13">
        <f t="shared" ref="Z57:AN57" si="69">Z56/$X$56</f>
        <v>5.5824350469872858E-2</v>
      </c>
      <c r="AA57" s="13">
        <f t="shared" si="69"/>
        <v>5.3745797158000846E-2</v>
      </c>
      <c r="AB57" s="13">
        <f t="shared" si="69"/>
        <v>5.3057726075504831E-2</v>
      </c>
      <c r="AC57" s="13">
        <f t="shared" si="69"/>
        <v>5.2369654993008802E-2</v>
      </c>
      <c r="AD57" s="13">
        <f t="shared" si="69"/>
        <v>5.1804141059408837E-2</v>
      </c>
      <c r="AE57" s="13">
        <f t="shared" si="69"/>
        <v>5.1238627125808872E-2</v>
      </c>
      <c r="AF57" s="13">
        <f t="shared" si="69"/>
        <v>5.0687453256592852E-2</v>
      </c>
      <c r="AG57" s="13">
        <f t="shared" si="69"/>
        <v>5.0136279387376845E-2</v>
      </c>
      <c r="AH57" s="13">
        <f t="shared" si="69"/>
        <v>4.9858899944720834E-2</v>
      </c>
      <c r="AI57" s="13">
        <f t="shared" si="69"/>
        <v>4.9581520502064845E-2</v>
      </c>
      <c r="AJ57" s="13">
        <f t="shared" si="69"/>
        <v>4.9304141059408835E-2</v>
      </c>
      <c r="AK57" s="13">
        <f t="shared" si="69"/>
        <v>4.9026761616752824E-2</v>
      </c>
      <c r="AL57" s="13">
        <f t="shared" si="69"/>
        <v>4.8749382174096835E-2</v>
      </c>
      <c r="AM57" s="13">
        <f t="shared" si="69"/>
        <v>4.8472002731440839E-2</v>
      </c>
      <c r="AN57" s="13">
        <f t="shared" si="69"/>
        <v>4.8194623288784828E-2</v>
      </c>
    </row>
    <row r="58" spans="23:40" ht="16.5" customHeight="1" x14ac:dyDescent="0.25">
      <c r="X58" s="1425">
        <f>X56</f>
        <v>4824</v>
      </c>
      <c r="Y58" s="13">
        <f>IF($X58&lt;3000,SLOPE(Y13:Y14,$X13:$X14)*$X58+INTERCEPT(Y13:Y14,$X13:$X14),$X58*SLOPE(Y$14:Y$19,$X$14:$X$19)+INTERCEPT(Y$14:Y$19,$X$14:$X$19))</f>
        <v>158.99364705882351</v>
      </c>
      <c r="Z58" s="13">
        <f t="shared" ref="Z58:AN58" si="70">IF($X58&lt;3000,SLOPE(Z13:Z14,$X13:$X14)*$X58+INTERCEPT(Z13:Z14,$X13:$X14),$X58*SLOPE(Z$14:Z$19,$X$14:$X$19)+INTERCEPT(Z$14:Z$19,$X$14:$X$19))</f>
        <v>145.7355294117647</v>
      </c>
      <c r="AA58" s="13">
        <f t="shared" si="70"/>
        <v>132.47741176470589</v>
      </c>
      <c r="AB58" s="13">
        <f t="shared" si="70"/>
        <v>119.27117647058823</v>
      </c>
      <c r="AC58" s="13">
        <f t="shared" si="70"/>
        <v>106.0649411764706</v>
      </c>
      <c r="AD58" s="13">
        <f t="shared" si="70"/>
        <v>103.35105882352941</v>
      </c>
      <c r="AE58" s="13">
        <f t="shared" si="70"/>
        <v>100.63717647058823</v>
      </c>
      <c r="AF58" s="13">
        <f t="shared" si="70"/>
        <v>98.027058823529401</v>
      </c>
      <c r="AG58" s="13">
        <f t="shared" si="70"/>
        <v>95.416941176470587</v>
      </c>
      <c r="AH58" s="13">
        <f t="shared" si="70"/>
        <v>94.093019607843146</v>
      </c>
      <c r="AI58" s="13">
        <f t="shared" si="70"/>
        <v>92.769098039215677</v>
      </c>
      <c r="AJ58" s="13">
        <f t="shared" si="70"/>
        <v>91.445176470588237</v>
      </c>
      <c r="AK58" s="13">
        <f t="shared" si="70"/>
        <v>90.121254901960796</v>
      </c>
      <c r="AL58" s="13">
        <f t="shared" si="70"/>
        <v>88.797333333333327</v>
      </c>
      <c r="AM58" s="13">
        <f t="shared" si="70"/>
        <v>87.473411764705872</v>
      </c>
      <c r="AN58" s="13">
        <f t="shared" si="70"/>
        <v>86.149490196078432</v>
      </c>
    </row>
    <row r="59" spans="23:40" ht="16.5" customHeight="1" x14ac:dyDescent="0.25">
      <c r="X59" s="1425"/>
      <c r="Y59" s="13">
        <f>Y58/$X$58</f>
        <v>3.2958882060286798E-2</v>
      </c>
      <c r="Z59" s="13">
        <f t="shared" ref="Z59:AN59" si="71">Z58/$X$58</f>
        <v>3.0210516047214905E-2</v>
      </c>
      <c r="AA59" s="13">
        <f t="shared" si="71"/>
        <v>2.7462150034143012E-2</v>
      </c>
      <c r="AB59" s="13">
        <f t="shared" si="71"/>
        <v>2.4724539069359085E-2</v>
      </c>
      <c r="AC59" s="13">
        <f t="shared" si="71"/>
        <v>2.1986928104575164E-2</v>
      </c>
      <c r="AD59" s="13">
        <f t="shared" si="71"/>
        <v>2.1424348844015218E-2</v>
      </c>
      <c r="AE59" s="13">
        <f t="shared" si="71"/>
        <v>2.0861769583455272E-2</v>
      </c>
      <c r="AF59" s="13">
        <f t="shared" si="71"/>
        <v>2.0320700419471267E-2</v>
      </c>
      <c r="AG59" s="13">
        <f t="shared" si="71"/>
        <v>1.9779631255487269E-2</v>
      </c>
      <c r="AH59" s="13">
        <f t="shared" si="71"/>
        <v>1.9505186485871299E-2</v>
      </c>
      <c r="AI59" s="13">
        <f t="shared" si="71"/>
        <v>1.9230741716255322E-2</v>
      </c>
      <c r="AJ59" s="13">
        <f t="shared" si="71"/>
        <v>1.8956296946639351E-2</v>
      </c>
      <c r="AK59" s="13">
        <f t="shared" si="71"/>
        <v>1.8681852177023381E-2</v>
      </c>
      <c r="AL59" s="13">
        <f t="shared" si="71"/>
        <v>1.8407407407407407E-2</v>
      </c>
      <c r="AM59" s="13">
        <f t="shared" si="71"/>
        <v>1.8132962637791433E-2</v>
      </c>
      <c r="AN59" s="13">
        <f t="shared" si="71"/>
        <v>1.7858517868175463E-2</v>
      </c>
    </row>
    <row r="60" spans="23:40" ht="16.5" customHeight="1" x14ac:dyDescent="0.25">
      <c r="X60" s="1425">
        <f>X58</f>
        <v>4824</v>
      </c>
      <c r="Y60" s="13">
        <f>Y56-Y58-10</f>
        <v>110.32996078431376</v>
      </c>
      <c r="Z60" s="13">
        <f t="shared" ref="Z60:AN60" si="72">Z56-Z58-10</f>
        <v>113.56113725490198</v>
      </c>
      <c r="AA60" s="13">
        <f t="shared" si="72"/>
        <v>116.7923137254902</v>
      </c>
      <c r="AB60" s="13">
        <f t="shared" si="72"/>
        <v>126.67929411764709</v>
      </c>
      <c r="AC60" s="13">
        <f t="shared" si="72"/>
        <v>136.56627450980386</v>
      </c>
      <c r="AD60" s="13">
        <f t="shared" si="72"/>
        <v>136.55211764705882</v>
      </c>
      <c r="AE60" s="13">
        <f t="shared" si="72"/>
        <v>136.53796078431375</v>
      </c>
      <c r="AF60" s="13">
        <f t="shared" si="72"/>
        <v>136.48921568627452</v>
      </c>
      <c r="AG60" s="13">
        <f t="shared" si="72"/>
        <v>136.44047058823531</v>
      </c>
      <c r="AH60" s="13">
        <f t="shared" si="72"/>
        <v>136.42631372549016</v>
      </c>
      <c r="AI60" s="13">
        <f t="shared" si="72"/>
        <v>136.41215686274512</v>
      </c>
      <c r="AJ60" s="13">
        <f t="shared" si="72"/>
        <v>136.39799999999997</v>
      </c>
      <c r="AK60" s="13">
        <f t="shared" si="72"/>
        <v>136.38384313725481</v>
      </c>
      <c r="AL60" s="13">
        <f t="shared" si="72"/>
        <v>136.36968627450983</v>
      </c>
      <c r="AM60" s="13">
        <f t="shared" si="72"/>
        <v>136.35552941176473</v>
      </c>
      <c r="AN60" s="13">
        <f t="shared" si="72"/>
        <v>136.34137254901958</v>
      </c>
    </row>
  </sheetData>
  <sheetProtection password="ECB1" sheet="1" objects="1" scenarios="1"/>
  <mergeCells count="15">
    <mergeCell ref="AQ3:AQ4"/>
    <mergeCell ref="AR3:AR4"/>
    <mergeCell ref="AS3:BC3"/>
    <mergeCell ref="AQ5:AQ11"/>
    <mergeCell ref="AQ13:AQ19"/>
    <mergeCell ref="A3:A4"/>
    <mergeCell ref="B3:B4"/>
    <mergeCell ref="C3:M3"/>
    <mergeCell ref="A5:A11"/>
    <mergeCell ref="A13:A19"/>
    <mergeCell ref="W3:W4"/>
    <mergeCell ref="X3:X4"/>
    <mergeCell ref="Y3:AI3"/>
    <mergeCell ref="W5:W11"/>
    <mergeCell ref="W13:W1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AA431"/>
  <sheetViews>
    <sheetView zoomScale="80" zoomScaleNormal="80" workbookViewId="0">
      <selection sqref="A1:XFD1048576"/>
    </sheetView>
  </sheetViews>
  <sheetFormatPr defaultRowHeight="15" x14ac:dyDescent="0.25"/>
  <cols>
    <col min="2" max="2" width="13.5703125" customWidth="1"/>
    <col min="3" max="3" width="11.7109375" style="13" customWidth="1"/>
    <col min="4" max="4" width="11.7109375" customWidth="1"/>
    <col min="9" max="9" width="9.140625" style="1369"/>
  </cols>
  <sheetData>
    <row r="1" spans="1:27" ht="21" x14ac:dyDescent="0.25">
      <c r="A1" s="1365"/>
      <c r="B1" s="1365"/>
      <c r="C1" s="1365"/>
      <c r="D1" s="1365"/>
      <c r="E1" s="1365"/>
      <c r="F1" s="1365"/>
      <c r="G1" s="1365"/>
      <c r="H1" s="1365"/>
      <c r="I1" s="1365"/>
      <c r="J1" s="1365"/>
      <c r="K1" s="1365"/>
      <c r="L1" s="1365"/>
      <c r="M1" s="1367"/>
      <c r="N1" s="1365" t="s">
        <v>1857</v>
      </c>
      <c r="O1" s="1365"/>
      <c r="P1" s="1365"/>
      <c r="Q1" s="1365" t="s">
        <v>1858</v>
      </c>
      <c r="R1" s="1365"/>
      <c r="S1" s="1365"/>
      <c r="U1" t="s">
        <v>1860</v>
      </c>
      <c r="Y1" s="13" t="s">
        <v>894</v>
      </c>
      <c r="Z1" s="13"/>
      <c r="AA1" s="13"/>
    </row>
    <row r="2" spans="1:27" ht="42" x14ac:dyDescent="0.25">
      <c r="A2" s="1365" t="s">
        <v>1842</v>
      </c>
      <c r="B2" s="1365" t="s">
        <v>982</v>
      </c>
      <c r="C2" s="1365" t="s">
        <v>541</v>
      </c>
      <c r="D2" s="1365" t="s">
        <v>1292</v>
      </c>
      <c r="E2" s="1365"/>
      <c r="F2" s="1365"/>
      <c r="G2" s="1365"/>
      <c r="H2" s="1365"/>
      <c r="I2" s="1365"/>
      <c r="J2" s="1365"/>
      <c r="K2" s="1365"/>
      <c r="L2" s="1365"/>
      <c r="M2" s="1367"/>
      <c r="N2" s="1365" t="s">
        <v>982</v>
      </c>
      <c r="O2" s="1365" t="s">
        <v>541</v>
      </c>
      <c r="P2" s="1365" t="s">
        <v>1292</v>
      </c>
      <c r="Q2" s="1365" t="s">
        <v>982</v>
      </c>
      <c r="R2" s="1365" t="s">
        <v>541</v>
      </c>
      <c r="S2" s="1365" t="s">
        <v>1292</v>
      </c>
      <c r="U2" s="1365" t="s">
        <v>982</v>
      </c>
      <c r="V2" s="1365" t="s">
        <v>541</v>
      </c>
      <c r="W2" s="1365" t="s">
        <v>1292</v>
      </c>
      <c r="Y2" s="1365" t="s">
        <v>982</v>
      </c>
      <c r="Z2" s="1365" t="s">
        <v>541</v>
      </c>
      <c r="AA2" s="1365" t="s">
        <v>1292</v>
      </c>
    </row>
    <row r="3" spans="1:27" ht="21" x14ac:dyDescent="0.25">
      <c r="A3" s="1365" t="s">
        <v>1165</v>
      </c>
      <c r="B3" s="1365" t="s">
        <v>1843</v>
      </c>
      <c r="C3" s="1365" t="s">
        <v>1843</v>
      </c>
      <c r="D3" s="1365" t="s">
        <v>1843</v>
      </c>
      <c r="E3" s="1365" t="s">
        <v>1799</v>
      </c>
      <c r="F3" s="1365" t="s">
        <v>1798</v>
      </c>
      <c r="G3" s="1365" t="s">
        <v>1791</v>
      </c>
      <c r="H3" s="1365" t="s">
        <v>1792</v>
      </c>
      <c r="I3" s="1365" t="s">
        <v>1793</v>
      </c>
      <c r="J3" s="1365" t="s">
        <v>1794</v>
      </c>
      <c r="K3" s="1365" t="s">
        <v>1795</v>
      </c>
      <c r="L3" s="1365" t="s">
        <v>1796</v>
      </c>
      <c r="M3" s="1365" t="s">
        <v>1797</v>
      </c>
      <c r="N3" s="1365"/>
      <c r="O3" s="1365"/>
      <c r="P3" s="1365"/>
      <c r="Q3" s="1365"/>
      <c r="R3" s="1365"/>
      <c r="S3" s="1365"/>
      <c r="U3" t="e">
        <f ca="1">'Расчет базового уровня'!D12/('Ввод исходных данных'!$G$56+'Ввод исходных данных'!$D$23)/'Ввод исходных данных'!G285</f>
        <v>#DIV/0!</v>
      </c>
      <c r="V3" s="1370" t="e">
        <f ca="1">'Расчет базового уровня'!D15/('Ввод исходных данных'!$G$56+'Ввод исходных данных'!$D$23)</f>
        <v>#DIV/0!</v>
      </c>
      <c r="W3" s="1370" t="e">
        <f ca="1">'Расчет базового уровня'!D6/('Ввод исходных данных'!$G$56+'Ввод исходных данных'!$D$23)</f>
        <v>#DIV/0!</v>
      </c>
      <c r="Y3" s="13" t="e">
        <f ca="1">'Расчет после реализации'!D12/('Ввод исходных данных'!$G$56+'Ввод исходных данных'!$D$23)/'Ввод исходных данных'!G285</f>
        <v>#N/A</v>
      </c>
      <c r="Z3" s="1370" t="e">
        <f ca="1">'Расчет после реализации'!D15/('Ввод исходных данных'!$G$56+'Ввод исходных данных'!$D$23)</f>
        <v>#DIV/0!</v>
      </c>
      <c r="AA3" s="1370" t="e">
        <f ca="1">'Расчет после реализации'!D6/('Ввод исходных данных'!$G$56+'Ввод исходных данных'!$D$23)</f>
        <v>#N/A</v>
      </c>
    </row>
    <row r="4" spans="1:27" x14ac:dyDescent="0.25">
      <c r="A4" s="1365"/>
      <c r="B4" s="1365"/>
      <c r="C4" s="1365"/>
      <c r="D4" s="1365"/>
      <c r="E4" s="1365"/>
      <c r="F4" s="1365"/>
      <c r="G4" s="1365"/>
      <c r="H4" s="1365"/>
      <c r="I4" s="1365"/>
      <c r="J4" s="1365"/>
      <c r="K4" s="1365"/>
      <c r="L4" s="1365"/>
      <c r="M4" s="1365"/>
      <c r="N4" s="1365"/>
      <c r="O4" s="1365"/>
      <c r="P4" s="1365"/>
      <c r="Q4" s="1365"/>
      <c r="R4" s="1365"/>
      <c r="S4" s="1365"/>
      <c r="Y4" s="13"/>
      <c r="Z4" s="13"/>
      <c r="AA4" s="13"/>
    </row>
    <row r="5" spans="1:27" x14ac:dyDescent="0.25">
      <c r="A5" s="1366">
        <v>0.01</v>
      </c>
      <c r="B5">
        <f>$B$106*B108+$C$106*C108+$D$106*D108+$E$106*E108+$F$106*F108+$G$106*G108+$H$106*H108+$I$106*I108+$J$106*J108+$K$106*K108+$L$106*L108+$M$106*M108</f>
        <v>0</v>
      </c>
      <c r="C5" s="1367">
        <f>$B$106*B213+$C$106*C213+$D$106*D213+$E$106*E213+$F$106*F213+$G$106*G213+$H$106*H213+$I$106*I213+$J$106*J213+$K$106*K213+$L$106*L213+$M$106*M213</f>
        <v>0</v>
      </c>
      <c r="D5" s="1367" t="e">
        <f ca="1">B5*'Ввод исходных данных'!$G$285+C5+IF('Ввод исходных данных'!$D$159=0,7,10)</f>
        <v>#VALUE!</v>
      </c>
      <c r="E5" s="1434" t="e">
        <f ca="1">IF(D5&lt;=$N$423,D5,"")</f>
        <v>#VALUE!</v>
      </c>
      <c r="F5" s="1367" t="e">
        <f ca="1">IF(AND($D5&lt;=$N$424,$D5&gt;$N$423),$D5,"")</f>
        <v>#VALUE!</v>
      </c>
      <c r="G5" s="1367" t="e">
        <f ca="1">IF(AND($D5&lt;=$N$425,$D5&gt;$N$424),$D5,"")</f>
        <v>#VALUE!</v>
      </c>
      <c r="H5" s="1367" t="e">
        <f ca="1">IF(AND($D5&lt;=$N$426,$D5&gt;$N$425),$D5,"")</f>
        <v>#VALUE!</v>
      </c>
      <c r="I5" s="1367" t="e">
        <f ca="1">IF(AND($D5&lt;=$N$427,$D5&gt;$N$426),$D5,"")</f>
        <v>#VALUE!</v>
      </c>
      <c r="J5" s="1367" t="e">
        <f ca="1">IF(AND($D5&lt;=$N$428,$D5&gt;$N$427),$D5,"")</f>
        <v>#VALUE!</v>
      </c>
      <c r="K5" s="1367" t="e">
        <f ca="1">IF(AND($D5&lt;=$N$429,$D5&gt;$N$428),$D5,"")</f>
        <v>#VALUE!</v>
      </c>
      <c r="L5" s="1367" t="e">
        <f ca="1">IF(AND($D5&lt;=$N$430,$D5&gt;$N$429),$D5,"")</f>
        <v>#VALUE!</v>
      </c>
      <c r="M5" s="1367" t="e">
        <f ca="1">IF(AND($D5&gt;$N$430),$D5,"")</f>
        <v>#VALUE!</v>
      </c>
      <c r="N5" t="e">
        <f ca="1">$B$106*B210+$C$106*C210+$D$106*D210+$E$106*E210+$F$106*F210+$G$106*G210+$H$106*H210+$I$106*I210+$J$106*J210+$K$106*K210+$L$106*L210+$M$106*M210</f>
        <v>#VALUE!</v>
      </c>
      <c r="O5" t="e">
        <f ca="1">$B$106*B315+$C$106*C315+$D$106*D315+$E$106*E315+$F$106*F315+$G$106*G315+$H$106*H315+$I$106*I315+$J$106*J315+$K$106*K315+$L$106*L315+$M$106*M315</f>
        <v>#VALUE!</v>
      </c>
      <c r="P5" s="1369" t="e">
        <f ca="1">'Ввод исходных данных'!$G$285*($B$106*B420+$C$106*C420+$D$106*D420+$E$106*E420+$F$106*F420+$G$106*G420+$H$106*H420+$I$106*I420+$J$106*J420+$K$106*K420+$L$106*L420+$M$106*M420)</f>
        <v>#VALUE!</v>
      </c>
      <c r="Q5" t="e">
        <f ca="1">$B$106*B211+$C$106*C211+$D$106*D211+$E$106*E211+$F$106*F211+$G$106*G211+$H$106*H211+$I$106*I211+$J$106*J211+$K$106*K211+$L$106*L211+$M$106*M211</f>
        <v>#VALUE!</v>
      </c>
      <c r="R5" t="e">
        <f ca="1">$B$106*B316+$C$106*C316+$D$106*D316+$E$106*E316+$F$106*F316+$G$106*G316+$H$106*H316+$I$106*I316+$J$106*J316+$K$106*K316+$L$106*L316+$M$106*M316</f>
        <v>#VALUE!</v>
      </c>
      <c r="S5" t="e">
        <f ca="1">($B$106*B421+$C$106*C421+$D$106*D421+$E$106*E421+$F$106*F421+$G$106*G421+$H$106*H421+$I$106*I421+$J$106*J421+$K$106*K421+$L$106*L421+$M$106*M421)*'Ввод исходных данных'!$G$285</f>
        <v>#VALUE!</v>
      </c>
      <c r="U5" t="e">
        <f t="shared" ref="U5:U36" ca="1" si="0">IF(AND($U$3&gt;=B5,$U$3&lt;B6),$U$3,"")</f>
        <v>#DIV/0!</v>
      </c>
      <c r="V5" t="e">
        <f t="shared" ref="V5:V36" ca="1" si="1">IF(AND($V$3&gt;=C5,$V$3&lt;C6),$V$3,"")</f>
        <v>#DIV/0!</v>
      </c>
      <c r="W5" s="13" t="e">
        <f ca="1">IF(AND($W$3&gt;=SUM(E5:M5),$W$3&lt;SUM(E6:M6)),$W$3,"")</f>
        <v>#DIV/0!</v>
      </c>
      <c r="Y5" s="13" t="e">
        <f t="shared" ref="Y5:Y36" ca="1" si="2">IF(AND($Y$3&gt;=B5,$Y$3&lt;B6),$Y$3,"")</f>
        <v>#N/A</v>
      </c>
      <c r="Z5" s="13" t="e">
        <f t="shared" ref="Z5:Z36" ca="1" si="3">IF(AND($Z$3&gt;=C5,$Z$3&lt;C6),$Z$3,"")</f>
        <v>#DIV/0!</v>
      </c>
      <c r="AA5" s="13" t="e">
        <f ca="1">IF(AND($AA$3&gt;=SUM(E5:M5),$AA$3&lt;SUM(E6:M6)),$AA$3,"")</f>
        <v>#N/A</v>
      </c>
    </row>
    <row r="6" spans="1:27" x14ac:dyDescent="0.25">
      <c r="A6" s="1366">
        <v>0.02</v>
      </c>
      <c r="B6" s="13">
        <f t="shared" ref="B6:B69" si="4">$B$106*B109+$C$106*C109+$D$106*D109+$E$106*E109+$F$106*F109+$G$106*G109+$H$106*H109+$I$106*I109+$J$106*J109+$K$106*K109+$L$106*L109+$M$106*M109</f>
        <v>0</v>
      </c>
      <c r="C6" s="1367">
        <f t="shared" ref="C6:C69" si="5">$B$106*B214+$C$106*C214+$D$106*D214+$E$106*E214+$F$106*F214+$G$106*G214+$H$106*H214+$I$106*I214+$J$106*J214+$K$106*K214+$L$106*L214+$M$106*M214</f>
        <v>0</v>
      </c>
      <c r="D6" s="1367" t="e">
        <f ca="1">B6*'Ввод исходных данных'!$G$285+C6+IF('Ввод исходных данных'!$D$159=0,7,10)</f>
        <v>#VALUE!</v>
      </c>
      <c r="E6" s="1434" t="e">
        <f t="shared" ref="E6:E69" ca="1" si="6">IF(D6&lt;=$N$423,D6,"")</f>
        <v>#VALUE!</v>
      </c>
      <c r="F6" s="1367" t="e">
        <f t="shared" ref="F6:F69" ca="1" si="7">IF(AND($D6&lt;=$N$424,$D6&gt;$N$423),$D6,"")</f>
        <v>#VALUE!</v>
      </c>
      <c r="G6" s="1367" t="e">
        <f t="shared" ref="G6:G69" ca="1" si="8">IF(AND($D6&lt;=$N$425,$D6&gt;$N$424),$D6,"")</f>
        <v>#VALUE!</v>
      </c>
      <c r="H6" s="1367" t="e">
        <f t="shared" ref="H6:H69" ca="1" si="9">IF(AND($D6&lt;=$N$426,$D6&gt;$N$425),$D6,"")</f>
        <v>#VALUE!</v>
      </c>
      <c r="I6" s="1367" t="e">
        <f t="shared" ref="I6:I69" ca="1" si="10">IF(AND($D6&lt;=$N$427,$D6&gt;$N$426),$D6,"")</f>
        <v>#VALUE!</v>
      </c>
      <c r="J6" s="1367" t="e">
        <f t="shared" ref="J6:J69" ca="1" si="11">IF(AND($D6&lt;=$N$428,$D6&gt;$N$427),$D6,"")</f>
        <v>#VALUE!</v>
      </c>
      <c r="K6" s="1367" t="e">
        <f t="shared" ref="K6:K69" ca="1" si="12">IF(AND($D6&lt;=$N$429,$D6&gt;$N$428),$D6,"")</f>
        <v>#VALUE!</v>
      </c>
      <c r="L6" s="1367" t="e">
        <f t="shared" ref="L6:L69" ca="1" si="13">IF(AND($D6&lt;=$N$430,$D6&gt;$N$429),$D6,"")</f>
        <v>#VALUE!</v>
      </c>
      <c r="M6" s="1367" t="e">
        <f t="shared" ref="M6:M69" ca="1" si="14">IF(AND($D6&gt;$N$430),$D6,"")</f>
        <v>#VALUE!</v>
      </c>
      <c r="N6" t="e">
        <f t="shared" ref="N6:S6" ca="1" si="15">N5</f>
        <v>#VALUE!</v>
      </c>
      <c r="O6" s="13" t="e">
        <f t="shared" ca="1" si="15"/>
        <v>#VALUE!</v>
      </c>
      <c r="P6" s="1369" t="e">
        <f t="shared" ca="1" si="15"/>
        <v>#VALUE!</v>
      </c>
      <c r="Q6" s="13" t="e">
        <f t="shared" ca="1" si="15"/>
        <v>#VALUE!</v>
      </c>
      <c r="R6" s="13" t="e">
        <f t="shared" ca="1" si="15"/>
        <v>#VALUE!</v>
      </c>
      <c r="S6" s="1369" t="e">
        <f t="shared" ca="1" si="15"/>
        <v>#VALUE!</v>
      </c>
      <c r="U6" s="13" t="e">
        <f t="shared" ca="1" si="0"/>
        <v>#DIV/0!</v>
      </c>
      <c r="V6" s="13" t="e">
        <f t="shared" ca="1" si="1"/>
        <v>#DIV/0!</v>
      </c>
      <c r="W6" s="13" t="e">
        <f t="shared" ref="W6:W69" ca="1" si="16">IF(AND($W$3&gt;=SUM(E6:M6),$W$3&lt;SUM(E7:M7)),$W$3,"")</f>
        <v>#DIV/0!</v>
      </c>
      <c r="Y6" s="13" t="e">
        <f t="shared" ca="1" si="2"/>
        <v>#N/A</v>
      </c>
      <c r="Z6" s="13" t="e">
        <f t="shared" ca="1" si="3"/>
        <v>#DIV/0!</v>
      </c>
      <c r="AA6" s="13" t="e">
        <f t="shared" ref="AA6:AA69" ca="1" si="17">IF(AND($AA$3&gt;=SUM(E6:M6),$AA$3&lt;SUM(E7:M7)),$AA$3,"")</f>
        <v>#N/A</v>
      </c>
    </row>
    <row r="7" spans="1:27" x14ac:dyDescent="0.25">
      <c r="A7" s="1366">
        <v>0.03</v>
      </c>
      <c r="B7" s="13">
        <f t="shared" si="4"/>
        <v>0</v>
      </c>
      <c r="C7" s="1367">
        <f t="shared" si="5"/>
        <v>0</v>
      </c>
      <c r="D7" s="1367" t="e">
        <f ca="1">B7*'Ввод исходных данных'!$G$285+C7+IF('Ввод исходных данных'!$D$159=0,7,10)</f>
        <v>#VALUE!</v>
      </c>
      <c r="E7" s="1434" t="e">
        <f t="shared" ca="1" si="6"/>
        <v>#VALUE!</v>
      </c>
      <c r="F7" s="1367" t="e">
        <f t="shared" ca="1" si="7"/>
        <v>#VALUE!</v>
      </c>
      <c r="G7" s="1367" t="e">
        <f t="shared" ca="1" si="8"/>
        <v>#VALUE!</v>
      </c>
      <c r="H7" s="1367" t="e">
        <f t="shared" ca="1" si="9"/>
        <v>#VALUE!</v>
      </c>
      <c r="I7" s="1367" t="e">
        <f t="shared" ca="1" si="10"/>
        <v>#VALUE!</v>
      </c>
      <c r="J7" s="1367" t="e">
        <f t="shared" ca="1" si="11"/>
        <v>#VALUE!</v>
      </c>
      <c r="K7" s="1367" t="e">
        <f t="shared" ca="1" si="12"/>
        <v>#VALUE!</v>
      </c>
      <c r="L7" s="1367" t="e">
        <f t="shared" ca="1" si="13"/>
        <v>#VALUE!</v>
      </c>
      <c r="M7" s="1367" t="e">
        <f t="shared" ca="1" si="14"/>
        <v>#VALUE!</v>
      </c>
      <c r="N7" s="13" t="e">
        <f t="shared" ref="N7:N70" ca="1" si="18">N6</f>
        <v>#VALUE!</v>
      </c>
      <c r="O7" s="13" t="e">
        <f t="shared" ref="O7:P70" ca="1" si="19">O6</f>
        <v>#VALUE!</v>
      </c>
      <c r="P7" s="1369" t="e">
        <f t="shared" ca="1" si="19"/>
        <v>#VALUE!</v>
      </c>
      <c r="Q7" s="13" t="e">
        <f t="shared" ref="Q7:Q70" ca="1" si="20">Q6</f>
        <v>#VALUE!</v>
      </c>
      <c r="R7" s="13" t="e">
        <f t="shared" ref="R7:S70" ca="1" si="21">R6</f>
        <v>#VALUE!</v>
      </c>
      <c r="S7" s="1369" t="e">
        <f t="shared" ca="1" si="21"/>
        <v>#VALUE!</v>
      </c>
      <c r="U7" s="13" t="e">
        <f t="shared" ca="1" si="0"/>
        <v>#DIV/0!</v>
      </c>
      <c r="V7" s="13" t="e">
        <f t="shared" ca="1" si="1"/>
        <v>#DIV/0!</v>
      </c>
      <c r="W7" s="13" t="e">
        <f t="shared" ca="1" si="16"/>
        <v>#DIV/0!</v>
      </c>
      <c r="Y7" s="13" t="e">
        <f t="shared" ca="1" si="2"/>
        <v>#N/A</v>
      </c>
      <c r="Z7" s="13" t="e">
        <f t="shared" ca="1" si="3"/>
        <v>#DIV/0!</v>
      </c>
      <c r="AA7" s="13" t="e">
        <f t="shared" ca="1" si="17"/>
        <v>#N/A</v>
      </c>
    </row>
    <row r="8" spans="1:27" x14ac:dyDescent="0.25">
      <c r="A8" s="1366">
        <v>0.04</v>
      </c>
      <c r="B8" s="13">
        <f t="shared" si="4"/>
        <v>0</v>
      </c>
      <c r="C8" s="1367">
        <f t="shared" si="5"/>
        <v>0</v>
      </c>
      <c r="D8" s="1367" t="e">
        <f ca="1">B8*'Ввод исходных данных'!$G$285+C8+IF('Ввод исходных данных'!$D$159=0,7,10)</f>
        <v>#VALUE!</v>
      </c>
      <c r="E8" s="1434" t="e">
        <f t="shared" ca="1" si="6"/>
        <v>#VALUE!</v>
      </c>
      <c r="F8" s="1367" t="e">
        <f t="shared" ca="1" si="7"/>
        <v>#VALUE!</v>
      </c>
      <c r="G8" s="1367" t="e">
        <f t="shared" ca="1" si="8"/>
        <v>#VALUE!</v>
      </c>
      <c r="H8" s="1367" t="e">
        <f t="shared" ca="1" si="9"/>
        <v>#VALUE!</v>
      </c>
      <c r="I8" s="1367" t="e">
        <f t="shared" ca="1" si="10"/>
        <v>#VALUE!</v>
      </c>
      <c r="J8" s="1367" t="e">
        <f t="shared" ca="1" si="11"/>
        <v>#VALUE!</v>
      </c>
      <c r="K8" s="1367" t="e">
        <f t="shared" ca="1" si="12"/>
        <v>#VALUE!</v>
      </c>
      <c r="L8" s="1367" t="e">
        <f t="shared" ca="1" si="13"/>
        <v>#VALUE!</v>
      </c>
      <c r="M8" s="1367" t="e">
        <f t="shared" ca="1" si="14"/>
        <v>#VALUE!</v>
      </c>
      <c r="N8" s="13" t="e">
        <f t="shared" ca="1" si="18"/>
        <v>#VALUE!</v>
      </c>
      <c r="O8" s="13" t="e">
        <f t="shared" ca="1" si="19"/>
        <v>#VALUE!</v>
      </c>
      <c r="P8" s="1369" t="e">
        <f t="shared" ca="1" si="19"/>
        <v>#VALUE!</v>
      </c>
      <c r="Q8" s="13" t="e">
        <f t="shared" ca="1" si="20"/>
        <v>#VALUE!</v>
      </c>
      <c r="R8" s="13" t="e">
        <f t="shared" ca="1" si="21"/>
        <v>#VALUE!</v>
      </c>
      <c r="S8" s="1369" t="e">
        <f t="shared" ca="1" si="21"/>
        <v>#VALUE!</v>
      </c>
      <c r="U8" s="13" t="e">
        <f t="shared" ca="1" si="0"/>
        <v>#DIV/0!</v>
      </c>
      <c r="V8" s="13" t="e">
        <f t="shared" ca="1" si="1"/>
        <v>#DIV/0!</v>
      </c>
      <c r="W8" s="13" t="e">
        <f t="shared" ca="1" si="16"/>
        <v>#DIV/0!</v>
      </c>
      <c r="Y8" s="13" t="e">
        <f t="shared" ca="1" si="2"/>
        <v>#N/A</v>
      </c>
      <c r="Z8" s="13" t="e">
        <f t="shared" ca="1" si="3"/>
        <v>#DIV/0!</v>
      </c>
      <c r="AA8" s="13" t="e">
        <f t="shared" ca="1" si="17"/>
        <v>#N/A</v>
      </c>
    </row>
    <row r="9" spans="1:27" x14ac:dyDescent="0.25">
      <c r="A9" s="1366">
        <v>0.05</v>
      </c>
      <c r="B9" s="13">
        <f t="shared" si="4"/>
        <v>0</v>
      </c>
      <c r="C9" s="1367">
        <f t="shared" si="5"/>
        <v>0</v>
      </c>
      <c r="D9" s="1367" t="e">
        <f ca="1">B9*'Ввод исходных данных'!$G$285+C9+IF('Ввод исходных данных'!$D$159=0,7,10)</f>
        <v>#VALUE!</v>
      </c>
      <c r="E9" s="1434" t="e">
        <f t="shared" ca="1" si="6"/>
        <v>#VALUE!</v>
      </c>
      <c r="F9" s="1367" t="e">
        <f t="shared" ca="1" si="7"/>
        <v>#VALUE!</v>
      </c>
      <c r="G9" s="1367" t="e">
        <f t="shared" ca="1" si="8"/>
        <v>#VALUE!</v>
      </c>
      <c r="H9" s="1367" t="e">
        <f t="shared" ca="1" si="9"/>
        <v>#VALUE!</v>
      </c>
      <c r="I9" s="1367" t="e">
        <f t="shared" ca="1" si="10"/>
        <v>#VALUE!</v>
      </c>
      <c r="J9" s="1367" t="e">
        <f t="shared" ca="1" si="11"/>
        <v>#VALUE!</v>
      </c>
      <c r="K9" s="1367" t="e">
        <f t="shared" ca="1" si="12"/>
        <v>#VALUE!</v>
      </c>
      <c r="L9" s="1367" t="e">
        <f t="shared" ca="1" si="13"/>
        <v>#VALUE!</v>
      </c>
      <c r="M9" s="1367" t="e">
        <f t="shared" ca="1" si="14"/>
        <v>#VALUE!</v>
      </c>
      <c r="N9" s="13" t="e">
        <f t="shared" ca="1" si="18"/>
        <v>#VALUE!</v>
      </c>
      <c r="O9" s="13" t="e">
        <f t="shared" ca="1" si="19"/>
        <v>#VALUE!</v>
      </c>
      <c r="P9" s="1369" t="e">
        <f t="shared" ca="1" si="19"/>
        <v>#VALUE!</v>
      </c>
      <c r="Q9" s="13" t="e">
        <f t="shared" ca="1" si="20"/>
        <v>#VALUE!</v>
      </c>
      <c r="R9" s="13" t="e">
        <f t="shared" ca="1" si="21"/>
        <v>#VALUE!</v>
      </c>
      <c r="S9" s="1369" t="e">
        <f t="shared" ca="1" si="21"/>
        <v>#VALUE!</v>
      </c>
      <c r="U9" s="13" t="e">
        <f t="shared" ca="1" si="0"/>
        <v>#DIV/0!</v>
      </c>
      <c r="V9" s="13" t="e">
        <f t="shared" ca="1" si="1"/>
        <v>#DIV/0!</v>
      </c>
      <c r="W9" s="13" t="e">
        <f t="shared" ca="1" si="16"/>
        <v>#DIV/0!</v>
      </c>
      <c r="Y9" s="13" t="e">
        <f t="shared" ca="1" si="2"/>
        <v>#N/A</v>
      </c>
      <c r="Z9" s="13" t="e">
        <f t="shared" ca="1" si="3"/>
        <v>#DIV/0!</v>
      </c>
      <c r="AA9" s="13" t="e">
        <f t="shared" ca="1" si="17"/>
        <v>#N/A</v>
      </c>
    </row>
    <row r="10" spans="1:27" x14ac:dyDescent="0.25">
      <c r="A10" s="1366">
        <v>0.06</v>
      </c>
      <c r="B10" s="13">
        <f t="shared" si="4"/>
        <v>0</v>
      </c>
      <c r="C10" s="1367">
        <f t="shared" si="5"/>
        <v>0</v>
      </c>
      <c r="D10" s="1367" t="e">
        <f ca="1">B10*'Ввод исходных данных'!$G$285+C10+IF('Ввод исходных данных'!$D$159=0,7,10)</f>
        <v>#VALUE!</v>
      </c>
      <c r="E10" s="1434" t="e">
        <f t="shared" ca="1" si="6"/>
        <v>#VALUE!</v>
      </c>
      <c r="F10" s="1367" t="e">
        <f t="shared" ca="1" si="7"/>
        <v>#VALUE!</v>
      </c>
      <c r="G10" s="1367" t="e">
        <f t="shared" ca="1" si="8"/>
        <v>#VALUE!</v>
      </c>
      <c r="H10" s="1367" t="e">
        <f t="shared" ca="1" si="9"/>
        <v>#VALUE!</v>
      </c>
      <c r="I10" s="1367" t="e">
        <f t="shared" ca="1" si="10"/>
        <v>#VALUE!</v>
      </c>
      <c r="J10" s="1367" t="e">
        <f t="shared" ca="1" si="11"/>
        <v>#VALUE!</v>
      </c>
      <c r="K10" s="1367" t="e">
        <f t="shared" ca="1" si="12"/>
        <v>#VALUE!</v>
      </c>
      <c r="L10" s="1367" t="e">
        <f t="shared" ca="1" si="13"/>
        <v>#VALUE!</v>
      </c>
      <c r="M10" s="1367" t="e">
        <f t="shared" ca="1" si="14"/>
        <v>#VALUE!</v>
      </c>
      <c r="N10" s="13" t="e">
        <f t="shared" ca="1" si="18"/>
        <v>#VALUE!</v>
      </c>
      <c r="O10" s="13" t="e">
        <f t="shared" ca="1" si="19"/>
        <v>#VALUE!</v>
      </c>
      <c r="P10" s="1369" t="e">
        <f t="shared" ca="1" si="19"/>
        <v>#VALUE!</v>
      </c>
      <c r="Q10" s="13" t="e">
        <f t="shared" ca="1" si="20"/>
        <v>#VALUE!</v>
      </c>
      <c r="R10" s="13" t="e">
        <f t="shared" ca="1" si="21"/>
        <v>#VALUE!</v>
      </c>
      <c r="S10" s="1369" t="e">
        <f t="shared" ca="1" si="21"/>
        <v>#VALUE!</v>
      </c>
      <c r="U10" s="13" t="e">
        <f t="shared" ca="1" si="0"/>
        <v>#DIV/0!</v>
      </c>
      <c r="V10" s="13" t="e">
        <f t="shared" ca="1" si="1"/>
        <v>#DIV/0!</v>
      </c>
      <c r="W10" s="13" t="e">
        <f t="shared" ca="1" si="16"/>
        <v>#DIV/0!</v>
      </c>
      <c r="Y10" s="13" t="e">
        <f t="shared" ca="1" si="2"/>
        <v>#N/A</v>
      </c>
      <c r="Z10" s="13" t="e">
        <f t="shared" ca="1" si="3"/>
        <v>#DIV/0!</v>
      </c>
      <c r="AA10" s="13" t="e">
        <f t="shared" ca="1" si="17"/>
        <v>#N/A</v>
      </c>
    </row>
    <row r="11" spans="1:27" x14ac:dyDescent="0.25">
      <c r="A11" s="1366">
        <v>7.0000000000000007E-2</v>
      </c>
      <c r="B11" s="13">
        <f t="shared" si="4"/>
        <v>0</v>
      </c>
      <c r="C11" s="1367">
        <f t="shared" si="5"/>
        <v>0</v>
      </c>
      <c r="D11" s="1367" t="e">
        <f ca="1">B11*'Ввод исходных данных'!$G$285+C11+IF('Ввод исходных данных'!$D$159=0,7,10)</f>
        <v>#VALUE!</v>
      </c>
      <c r="E11" s="1434" t="e">
        <f t="shared" ca="1" si="6"/>
        <v>#VALUE!</v>
      </c>
      <c r="F11" s="1367" t="e">
        <f t="shared" ca="1" si="7"/>
        <v>#VALUE!</v>
      </c>
      <c r="G11" s="1367" t="e">
        <f t="shared" ca="1" si="8"/>
        <v>#VALUE!</v>
      </c>
      <c r="H11" s="1367" t="e">
        <f t="shared" ca="1" si="9"/>
        <v>#VALUE!</v>
      </c>
      <c r="I11" s="1367" t="e">
        <f t="shared" ca="1" si="10"/>
        <v>#VALUE!</v>
      </c>
      <c r="J11" s="1367" t="e">
        <f t="shared" ca="1" si="11"/>
        <v>#VALUE!</v>
      </c>
      <c r="K11" s="1367" t="e">
        <f t="shared" ca="1" si="12"/>
        <v>#VALUE!</v>
      </c>
      <c r="L11" s="1367" t="e">
        <f t="shared" ca="1" si="13"/>
        <v>#VALUE!</v>
      </c>
      <c r="M11" s="1367" t="e">
        <f t="shared" ca="1" si="14"/>
        <v>#VALUE!</v>
      </c>
      <c r="N11" s="13" t="e">
        <f t="shared" ca="1" si="18"/>
        <v>#VALUE!</v>
      </c>
      <c r="O11" s="13" t="e">
        <f t="shared" ca="1" si="19"/>
        <v>#VALUE!</v>
      </c>
      <c r="P11" s="1369" t="e">
        <f t="shared" ca="1" si="19"/>
        <v>#VALUE!</v>
      </c>
      <c r="Q11" s="13" t="e">
        <f t="shared" ca="1" si="20"/>
        <v>#VALUE!</v>
      </c>
      <c r="R11" s="13" t="e">
        <f t="shared" ca="1" si="21"/>
        <v>#VALUE!</v>
      </c>
      <c r="S11" s="1369" t="e">
        <f t="shared" ca="1" si="21"/>
        <v>#VALUE!</v>
      </c>
      <c r="U11" s="13" t="e">
        <f t="shared" ca="1" si="0"/>
        <v>#DIV/0!</v>
      </c>
      <c r="V11" s="13" t="e">
        <f t="shared" ca="1" si="1"/>
        <v>#DIV/0!</v>
      </c>
      <c r="W11" s="13" t="e">
        <f t="shared" ca="1" si="16"/>
        <v>#DIV/0!</v>
      </c>
      <c r="Y11" s="13" t="e">
        <f t="shared" ca="1" si="2"/>
        <v>#N/A</v>
      </c>
      <c r="Z11" s="13" t="e">
        <f t="shared" ca="1" si="3"/>
        <v>#DIV/0!</v>
      </c>
      <c r="AA11" s="13" t="e">
        <f t="shared" ca="1" si="17"/>
        <v>#N/A</v>
      </c>
    </row>
    <row r="12" spans="1:27" x14ac:dyDescent="0.25">
      <c r="A12" s="1366">
        <v>0.08</v>
      </c>
      <c r="B12" s="13">
        <f t="shared" si="4"/>
        <v>0</v>
      </c>
      <c r="C12" s="1367">
        <f t="shared" si="5"/>
        <v>0</v>
      </c>
      <c r="D12" s="1367" t="e">
        <f ca="1">B12*'Ввод исходных данных'!$G$285+C12+IF('Ввод исходных данных'!$D$159=0,7,10)</f>
        <v>#VALUE!</v>
      </c>
      <c r="E12" s="1434" t="e">
        <f t="shared" ca="1" si="6"/>
        <v>#VALUE!</v>
      </c>
      <c r="F12" s="1367" t="e">
        <f t="shared" ca="1" si="7"/>
        <v>#VALUE!</v>
      </c>
      <c r="G12" s="1367" t="e">
        <f t="shared" ca="1" si="8"/>
        <v>#VALUE!</v>
      </c>
      <c r="H12" s="1367" t="e">
        <f t="shared" ca="1" si="9"/>
        <v>#VALUE!</v>
      </c>
      <c r="I12" s="1367" t="e">
        <f t="shared" ca="1" si="10"/>
        <v>#VALUE!</v>
      </c>
      <c r="J12" s="1367" t="e">
        <f t="shared" ca="1" si="11"/>
        <v>#VALUE!</v>
      </c>
      <c r="K12" s="1367" t="e">
        <f t="shared" ca="1" si="12"/>
        <v>#VALUE!</v>
      </c>
      <c r="L12" s="1367" t="e">
        <f t="shared" ca="1" si="13"/>
        <v>#VALUE!</v>
      </c>
      <c r="M12" s="1367" t="e">
        <f t="shared" ca="1" si="14"/>
        <v>#VALUE!</v>
      </c>
      <c r="N12" s="13" t="e">
        <f t="shared" ca="1" si="18"/>
        <v>#VALUE!</v>
      </c>
      <c r="O12" s="13" t="e">
        <f t="shared" ca="1" si="19"/>
        <v>#VALUE!</v>
      </c>
      <c r="P12" s="1369" t="e">
        <f t="shared" ca="1" si="19"/>
        <v>#VALUE!</v>
      </c>
      <c r="Q12" s="13" t="e">
        <f t="shared" ca="1" si="20"/>
        <v>#VALUE!</v>
      </c>
      <c r="R12" s="13" t="e">
        <f t="shared" ca="1" si="21"/>
        <v>#VALUE!</v>
      </c>
      <c r="S12" s="1369" t="e">
        <f t="shared" ca="1" si="21"/>
        <v>#VALUE!</v>
      </c>
      <c r="U12" s="13" t="e">
        <f t="shared" ca="1" si="0"/>
        <v>#DIV/0!</v>
      </c>
      <c r="V12" s="13" t="e">
        <f t="shared" ca="1" si="1"/>
        <v>#DIV/0!</v>
      </c>
      <c r="W12" s="13" t="e">
        <f t="shared" ca="1" si="16"/>
        <v>#DIV/0!</v>
      </c>
      <c r="Y12" s="13" t="e">
        <f t="shared" ca="1" si="2"/>
        <v>#N/A</v>
      </c>
      <c r="Z12" s="13" t="e">
        <f t="shared" ca="1" si="3"/>
        <v>#DIV/0!</v>
      </c>
      <c r="AA12" s="13" t="e">
        <f t="shared" ca="1" si="17"/>
        <v>#N/A</v>
      </c>
    </row>
    <row r="13" spans="1:27" x14ac:dyDescent="0.25">
      <c r="A13" s="1366">
        <v>0.09</v>
      </c>
      <c r="B13" s="13">
        <f t="shared" si="4"/>
        <v>0</v>
      </c>
      <c r="C13" s="1367">
        <f t="shared" si="5"/>
        <v>0</v>
      </c>
      <c r="D13" s="1367" t="e">
        <f ca="1">B13*'Ввод исходных данных'!$G$285+C13+IF('Ввод исходных данных'!$D$159=0,7,10)</f>
        <v>#VALUE!</v>
      </c>
      <c r="E13" s="1434" t="e">
        <f t="shared" ca="1" si="6"/>
        <v>#VALUE!</v>
      </c>
      <c r="F13" s="1367" t="e">
        <f t="shared" ca="1" si="7"/>
        <v>#VALUE!</v>
      </c>
      <c r="G13" s="1367" t="e">
        <f t="shared" ca="1" si="8"/>
        <v>#VALUE!</v>
      </c>
      <c r="H13" s="1367" t="e">
        <f t="shared" ca="1" si="9"/>
        <v>#VALUE!</v>
      </c>
      <c r="I13" s="1367" t="e">
        <f t="shared" ca="1" si="10"/>
        <v>#VALUE!</v>
      </c>
      <c r="J13" s="1367" t="e">
        <f t="shared" ca="1" si="11"/>
        <v>#VALUE!</v>
      </c>
      <c r="K13" s="1367" t="e">
        <f t="shared" ca="1" si="12"/>
        <v>#VALUE!</v>
      </c>
      <c r="L13" s="1367" t="e">
        <f t="shared" ca="1" si="13"/>
        <v>#VALUE!</v>
      </c>
      <c r="M13" s="1367" t="e">
        <f t="shared" ca="1" si="14"/>
        <v>#VALUE!</v>
      </c>
      <c r="N13" s="13" t="e">
        <f t="shared" ca="1" si="18"/>
        <v>#VALUE!</v>
      </c>
      <c r="O13" s="13" t="e">
        <f t="shared" ca="1" si="19"/>
        <v>#VALUE!</v>
      </c>
      <c r="P13" s="1369" t="e">
        <f t="shared" ca="1" si="19"/>
        <v>#VALUE!</v>
      </c>
      <c r="Q13" s="13" t="e">
        <f t="shared" ca="1" si="20"/>
        <v>#VALUE!</v>
      </c>
      <c r="R13" s="13" t="e">
        <f t="shared" ca="1" si="21"/>
        <v>#VALUE!</v>
      </c>
      <c r="S13" s="1369" t="e">
        <f t="shared" ca="1" si="21"/>
        <v>#VALUE!</v>
      </c>
      <c r="U13" s="13" t="e">
        <f t="shared" ca="1" si="0"/>
        <v>#DIV/0!</v>
      </c>
      <c r="V13" s="13" t="e">
        <f t="shared" ca="1" si="1"/>
        <v>#DIV/0!</v>
      </c>
      <c r="W13" s="13" t="e">
        <f t="shared" ca="1" si="16"/>
        <v>#DIV/0!</v>
      </c>
      <c r="Y13" s="13" t="e">
        <f t="shared" ca="1" si="2"/>
        <v>#N/A</v>
      </c>
      <c r="Z13" s="13" t="e">
        <f t="shared" ca="1" si="3"/>
        <v>#DIV/0!</v>
      </c>
      <c r="AA13" s="13" t="e">
        <f t="shared" ca="1" si="17"/>
        <v>#N/A</v>
      </c>
    </row>
    <row r="14" spans="1:27" x14ac:dyDescent="0.25">
      <c r="A14" s="1366">
        <v>0.1</v>
      </c>
      <c r="B14" s="13">
        <f t="shared" si="4"/>
        <v>0</v>
      </c>
      <c r="C14" s="1367">
        <f t="shared" si="5"/>
        <v>0</v>
      </c>
      <c r="D14" s="1367" t="e">
        <f ca="1">B14*'Ввод исходных данных'!$G$285+C14+IF('Ввод исходных данных'!$D$159=0,7,10)</f>
        <v>#VALUE!</v>
      </c>
      <c r="E14" s="1434" t="e">
        <f t="shared" ca="1" si="6"/>
        <v>#VALUE!</v>
      </c>
      <c r="F14" s="1367" t="e">
        <f t="shared" ca="1" si="7"/>
        <v>#VALUE!</v>
      </c>
      <c r="G14" s="1367" t="e">
        <f t="shared" ca="1" si="8"/>
        <v>#VALUE!</v>
      </c>
      <c r="H14" s="1367" t="e">
        <f t="shared" ca="1" si="9"/>
        <v>#VALUE!</v>
      </c>
      <c r="I14" s="1367" t="e">
        <f t="shared" ca="1" si="10"/>
        <v>#VALUE!</v>
      </c>
      <c r="J14" s="1367" t="e">
        <f t="shared" ca="1" si="11"/>
        <v>#VALUE!</v>
      </c>
      <c r="K14" s="1367" t="e">
        <f t="shared" ca="1" si="12"/>
        <v>#VALUE!</v>
      </c>
      <c r="L14" s="1367" t="e">
        <f t="shared" ca="1" si="13"/>
        <v>#VALUE!</v>
      </c>
      <c r="M14" s="1367" t="e">
        <f t="shared" ca="1" si="14"/>
        <v>#VALUE!</v>
      </c>
      <c r="N14" s="13" t="e">
        <f t="shared" ca="1" si="18"/>
        <v>#VALUE!</v>
      </c>
      <c r="O14" s="13" t="e">
        <f t="shared" ca="1" si="19"/>
        <v>#VALUE!</v>
      </c>
      <c r="P14" s="1369" t="e">
        <f t="shared" ca="1" si="19"/>
        <v>#VALUE!</v>
      </c>
      <c r="Q14" s="13" t="e">
        <f t="shared" ca="1" si="20"/>
        <v>#VALUE!</v>
      </c>
      <c r="R14" s="13" t="e">
        <f t="shared" ca="1" si="21"/>
        <v>#VALUE!</v>
      </c>
      <c r="S14" s="1369" t="e">
        <f t="shared" ca="1" si="21"/>
        <v>#VALUE!</v>
      </c>
      <c r="U14" s="13" t="e">
        <f t="shared" ca="1" si="0"/>
        <v>#DIV/0!</v>
      </c>
      <c r="V14" s="13" t="e">
        <f t="shared" ca="1" si="1"/>
        <v>#DIV/0!</v>
      </c>
      <c r="W14" s="13" t="e">
        <f t="shared" ca="1" si="16"/>
        <v>#DIV/0!</v>
      </c>
      <c r="Y14" s="13" t="e">
        <f t="shared" ca="1" si="2"/>
        <v>#N/A</v>
      </c>
      <c r="Z14" s="13" t="e">
        <f t="shared" ca="1" si="3"/>
        <v>#DIV/0!</v>
      </c>
      <c r="AA14" s="13" t="e">
        <f t="shared" ca="1" si="17"/>
        <v>#N/A</v>
      </c>
    </row>
    <row r="15" spans="1:27" x14ac:dyDescent="0.25">
      <c r="A15" s="1366">
        <v>0.11</v>
      </c>
      <c r="B15" s="13">
        <f t="shared" si="4"/>
        <v>0</v>
      </c>
      <c r="C15" s="1367">
        <f t="shared" si="5"/>
        <v>0</v>
      </c>
      <c r="D15" s="1367" t="e">
        <f ca="1">B15*'Ввод исходных данных'!$G$285+C15+IF('Ввод исходных данных'!$D$159=0,7,10)</f>
        <v>#VALUE!</v>
      </c>
      <c r="E15" s="1434" t="e">
        <f t="shared" ca="1" si="6"/>
        <v>#VALUE!</v>
      </c>
      <c r="F15" s="1367" t="e">
        <f t="shared" ca="1" si="7"/>
        <v>#VALUE!</v>
      </c>
      <c r="G15" s="1367" t="e">
        <f t="shared" ca="1" si="8"/>
        <v>#VALUE!</v>
      </c>
      <c r="H15" s="1367" t="e">
        <f t="shared" ca="1" si="9"/>
        <v>#VALUE!</v>
      </c>
      <c r="I15" s="1367" t="e">
        <f t="shared" ca="1" si="10"/>
        <v>#VALUE!</v>
      </c>
      <c r="J15" s="1367" t="e">
        <f t="shared" ca="1" si="11"/>
        <v>#VALUE!</v>
      </c>
      <c r="K15" s="1367" t="e">
        <f t="shared" ca="1" si="12"/>
        <v>#VALUE!</v>
      </c>
      <c r="L15" s="1367" t="e">
        <f t="shared" ca="1" si="13"/>
        <v>#VALUE!</v>
      </c>
      <c r="M15" s="1367" t="e">
        <f t="shared" ca="1" si="14"/>
        <v>#VALUE!</v>
      </c>
      <c r="N15" s="13" t="e">
        <f t="shared" ca="1" si="18"/>
        <v>#VALUE!</v>
      </c>
      <c r="O15" s="13" t="e">
        <f t="shared" ca="1" si="19"/>
        <v>#VALUE!</v>
      </c>
      <c r="P15" s="1369" t="e">
        <f t="shared" ca="1" si="19"/>
        <v>#VALUE!</v>
      </c>
      <c r="Q15" s="13" t="e">
        <f t="shared" ca="1" si="20"/>
        <v>#VALUE!</v>
      </c>
      <c r="R15" s="13" t="e">
        <f t="shared" ca="1" si="21"/>
        <v>#VALUE!</v>
      </c>
      <c r="S15" s="1369" t="e">
        <f t="shared" ca="1" si="21"/>
        <v>#VALUE!</v>
      </c>
      <c r="U15" s="13" t="e">
        <f t="shared" ca="1" si="0"/>
        <v>#DIV/0!</v>
      </c>
      <c r="V15" s="13" t="e">
        <f t="shared" ca="1" si="1"/>
        <v>#DIV/0!</v>
      </c>
      <c r="W15" s="13" t="e">
        <f t="shared" ca="1" si="16"/>
        <v>#DIV/0!</v>
      </c>
      <c r="Y15" s="13" t="e">
        <f t="shared" ca="1" si="2"/>
        <v>#N/A</v>
      </c>
      <c r="Z15" s="13" t="e">
        <f t="shared" ca="1" si="3"/>
        <v>#DIV/0!</v>
      </c>
      <c r="AA15" s="13" t="e">
        <f t="shared" ca="1" si="17"/>
        <v>#N/A</v>
      </c>
    </row>
    <row r="16" spans="1:27" x14ac:dyDescent="0.25">
      <c r="A16" s="1366">
        <v>0.12</v>
      </c>
      <c r="B16" s="13">
        <f t="shared" si="4"/>
        <v>0</v>
      </c>
      <c r="C16" s="1367">
        <f t="shared" si="5"/>
        <v>0</v>
      </c>
      <c r="D16" s="1367" t="e">
        <f ca="1">B16*'Ввод исходных данных'!$G$285+C16+IF('Ввод исходных данных'!$D$159=0,7,10)</f>
        <v>#VALUE!</v>
      </c>
      <c r="E16" s="1434" t="e">
        <f t="shared" ca="1" si="6"/>
        <v>#VALUE!</v>
      </c>
      <c r="F16" s="1367" t="e">
        <f t="shared" ca="1" si="7"/>
        <v>#VALUE!</v>
      </c>
      <c r="G16" s="1367" t="e">
        <f t="shared" ca="1" si="8"/>
        <v>#VALUE!</v>
      </c>
      <c r="H16" s="1367" t="e">
        <f t="shared" ca="1" si="9"/>
        <v>#VALUE!</v>
      </c>
      <c r="I16" s="1367" t="e">
        <f t="shared" ca="1" si="10"/>
        <v>#VALUE!</v>
      </c>
      <c r="J16" s="1367" t="e">
        <f t="shared" ca="1" si="11"/>
        <v>#VALUE!</v>
      </c>
      <c r="K16" s="1367" t="e">
        <f t="shared" ca="1" si="12"/>
        <v>#VALUE!</v>
      </c>
      <c r="L16" s="1367" t="e">
        <f t="shared" ca="1" si="13"/>
        <v>#VALUE!</v>
      </c>
      <c r="M16" s="1367" t="e">
        <f t="shared" ca="1" si="14"/>
        <v>#VALUE!</v>
      </c>
      <c r="N16" s="13" t="e">
        <f t="shared" ca="1" si="18"/>
        <v>#VALUE!</v>
      </c>
      <c r="O16" s="13" t="e">
        <f t="shared" ca="1" si="19"/>
        <v>#VALUE!</v>
      </c>
      <c r="P16" s="1369" t="e">
        <f t="shared" ca="1" si="19"/>
        <v>#VALUE!</v>
      </c>
      <c r="Q16" s="13" t="e">
        <f t="shared" ca="1" si="20"/>
        <v>#VALUE!</v>
      </c>
      <c r="R16" s="13" t="e">
        <f t="shared" ca="1" si="21"/>
        <v>#VALUE!</v>
      </c>
      <c r="S16" s="1369" t="e">
        <f t="shared" ca="1" si="21"/>
        <v>#VALUE!</v>
      </c>
      <c r="U16" s="13" t="e">
        <f t="shared" ca="1" si="0"/>
        <v>#DIV/0!</v>
      </c>
      <c r="V16" s="13" t="e">
        <f t="shared" ca="1" si="1"/>
        <v>#DIV/0!</v>
      </c>
      <c r="W16" s="13" t="e">
        <f t="shared" ca="1" si="16"/>
        <v>#DIV/0!</v>
      </c>
      <c r="Y16" s="13" t="e">
        <f t="shared" ca="1" si="2"/>
        <v>#N/A</v>
      </c>
      <c r="Z16" s="13" t="e">
        <f t="shared" ca="1" si="3"/>
        <v>#DIV/0!</v>
      </c>
      <c r="AA16" s="13" t="e">
        <f t="shared" ca="1" si="17"/>
        <v>#N/A</v>
      </c>
    </row>
    <row r="17" spans="1:27" x14ac:dyDescent="0.25">
      <c r="A17" s="1366">
        <v>0.13</v>
      </c>
      <c r="B17" s="13">
        <f t="shared" si="4"/>
        <v>0</v>
      </c>
      <c r="C17" s="1367">
        <f t="shared" si="5"/>
        <v>0</v>
      </c>
      <c r="D17" s="1367" t="e">
        <f ca="1">B17*'Ввод исходных данных'!$G$285+C17+IF('Ввод исходных данных'!$D$159=0,7,10)</f>
        <v>#VALUE!</v>
      </c>
      <c r="E17" s="1434" t="e">
        <f t="shared" ca="1" si="6"/>
        <v>#VALUE!</v>
      </c>
      <c r="F17" s="1367" t="e">
        <f t="shared" ca="1" si="7"/>
        <v>#VALUE!</v>
      </c>
      <c r="G17" s="1367" t="e">
        <f t="shared" ca="1" si="8"/>
        <v>#VALUE!</v>
      </c>
      <c r="H17" s="1367" t="e">
        <f t="shared" ca="1" si="9"/>
        <v>#VALUE!</v>
      </c>
      <c r="I17" s="1367" t="e">
        <f t="shared" ca="1" si="10"/>
        <v>#VALUE!</v>
      </c>
      <c r="J17" s="1367" t="e">
        <f t="shared" ca="1" si="11"/>
        <v>#VALUE!</v>
      </c>
      <c r="K17" s="1367" t="e">
        <f t="shared" ca="1" si="12"/>
        <v>#VALUE!</v>
      </c>
      <c r="L17" s="1367" t="e">
        <f t="shared" ca="1" si="13"/>
        <v>#VALUE!</v>
      </c>
      <c r="M17" s="1367" t="e">
        <f t="shared" ca="1" si="14"/>
        <v>#VALUE!</v>
      </c>
      <c r="N17" s="13" t="e">
        <f t="shared" ca="1" si="18"/>
        <v>#VALUE!</v>
      </c>
      <c r="O17" s="13" t="e">
        <f t="shared" ca="1" si="19"/>
        <v>#VALUE!</v>
      </c>
      <c r="P17" s="1369" t="e">
        <f t="shared" ca="1" si="19"/>
        <v>#VALUE!</v>
      </c>
      <c r="Q17" s="13" t="e">
        <f t="shared" ca="1" si="20"/>
        <v>#VALUE!</v>
      </c>
      <c r="R17" s="13" t="e">
        <f t="shared" ca="1" si="21"/>
        <v>#VALUE!</v>
      </c>
      <c r="S17" s="1369" t="e">
        <f t="shared" ca="1" si="21"/>
        <v>#VALUE!</v>
      </c>
      <c r="U17" s="13" t="e">
        <f t="shared" ca="1" si="0"/>
        <v>#DIV/0!</v>
      </c>
      <c r="V17" s="13" t="e">
        <f t="shared" ca="1" si="1"/>
        <v>#DIV/0!</v>
      </c>
      <c r="W17" s="13" t="e">
        <f t="shared" ca="1" si="16"/>
        <v>#DIV/0!</v>
      </c>
      <c r="Y17" s="13" t="e">
        <f t="shared" ca="1" si="2"/>
        <v>#N/A</v>
      </c>
      <c r="Z17" s="13" t="e">
        <f t="shared" ca="1" si="3"/>
        <v>#DIV/0!</v>
      </c>
      <c r="AA17" s="13" t="e">
        <f t="shared" ca="1" si="17"/>
        <v>#N/A</v>
      </c>
    </row>
    <row r="18" spans="1:27" x14ac:dyDescent="0.25">
      <c r="A18" s="1366">
        <v>0.14000000000000001</v>
      </c>
      <c r="B18" s="13">
        <f t="shared" si="4"/>
        <v>0</v>
      </c>
      <c r="C18" s="1367">
        <f t="shared" si="5"/>
        <v>0</v>
      </c>
      <c r="D18" s="1367" t="e">
        <f ca="1">B18*'Ввод исходных данных'!$G$285+C18+IF('Ввод исходных данных'!$D$159=0,7,10)</f>
        <v>#VALUE!</v>
      </c>
      <c r="E18" s="1434" t="e">
        <f t="shared" ca="1" si="6"/>
        <v>#VALUE!</v>
      </c>
      <c r="F18" s="1367" t="e">
        <f t="shared" ca="1" si="7"/>
        <v>#VALUE!</v>
      </c>
      <c r="G18" s="1367" t="e">
        <f t="shared" ca="1" si="8"/>
        <v>#VALUE!</v>
      </c>
      <c r="H18" s="1367" t="e">
        <f t="shared" ca="1" si="9"/>
        <v>#VALUE!</v>
      </c>
      <c r="I18" s="1367" t="e">
        <f t="shared" ca="1" si="10"/>
        <v>#VALUE!</v>
      </c>
      <c r="J18" s="1367" t="e">
        <f t="shared" ca="1" si="11"/>
        <v>#VALUE!</v>
      </c>
      <c r="K18" s="1367" t="e">
        <f t="shared" ca="1" si="12"/>
        <v>#VALUE!</v>
      </c>
      <c r="L18" s="1367" t="e">
        <f t="shared" ca="1" si="13"/>
        <v>#VALUE!</v>
      </c>
      <c r="M18" s="1367" t="e">
        <f t="shared" ca="1" si="14"/>
        <v>#VALUE!</v>
      </c>
      <c r="N18" s="13" t="e">
        <f t="shared" ca="1" si="18"/>
        <v>#VALUE!</v>
      </c>
      <c r="O18" s="13" t="e">
        <f t="shared" ca="1" si="19"/>
        <v>#VALUE!</v>
      </c>
      <c r="P18" s="1369" t="e">
        <f t="shared" ca="1" si="19"/>
        <v>#VALUE!</v>
      </c>
      <c r="Q18" s="13" t="e">
        <f t="shared" ca="1" si="20"/>
        <v>#VALUE!</v>
      </c>
      <c r="R18" s="13" t="e">
        <f t="shared" ca="1" si="21"/>
        <v>#VALUE!</v>
      </c>
      <c r="S18" s="1369" t="e">
        <f t="shared" ca="1" si="21"/>
        <v>#VALUE!</v>
      </c>
      <c r="U18" s="13" t="e">
        <f t="shared" ca="1" si="0"/>
        <v>#DIV/0!</v>
      </c>
      <c r="V18" s="13" t="e">
        <f t="shared" ca="1" si="1"/>
        <v>#DIV/0!</v>
      </c>
      <c r="W18" s="13" t="e">
        <f t="shared" ca="1" si="16"/>
        <v>#DIV/0!</v>
      </c>
      <c r="Y18" s="13" t="e">
        <f t="shared" ca="1" si="2"/>
        <v>#N/A</v>
      </c>
      <c r="Z18" s="13" t="e">
        <f t="shared" ca="1" si="3"/>
        <v>#DIV/0!</v>
      </c>
      <c r="AA18" s="13" t="e">
        <f t="shared" ca="1" si="17"/>
        <v>#N/A</v>
      </c>
    </row>
    <row r="19" spans="1:27" x14ac:dyDescent="0.25">
      <c r="A19" s="1366">
        <v>0.15</v>
      </c>
      <c r="B19" s="13">
        <f t="shared" si="4"/>
        <v>0</v>
      </c>
      <c r="C19" s="1367">
        <f t="shared" si="5"/>
        <v>0</v>
      </c>
      <c r="D19" s="1367" t="e">
        <f ca="1">B19*'Ввод исходных данных'!$G$285+C19+IF('Ввод исходных данных'!$D$159=0,7,10)</f>
        <v>#VALUE!</v>
      </c>
      <c r="E19" s="1434" t="e">
        <f t="shared" ca="1" si="6"/>
        <v>#VALUE!</v>
      </c>
      <c r="F19" s="1367" t="e">
        <f t="shared" ca="1" si="7"/>
        <v>#VALUE!</v>
      </c>
      <c r="G19" s="1367" t="e">
        <f t="shared" ca="1" si="8"/>
        <v>#VALUE!</v>
      </c>
      <c r="H19" s="1367" t="e">
        <f t="shared" ca="1" si="9"/>
        <v>#VALUE!</v>
      </c>
      <c r="I19" s="1367" t="e">
        <f t="shared" ca="1" si="10"/>
        <v>#VALUE!</v>
      </c>
      <c r="J19" s="1367" t="e">
        <f t="shared" ca="1" si="11"/>
        <v>#VALUE!</v>
      </c>
      <c r="K19" s="1367" t="e">
        <f t="shared" ca="1" si="12"/>
        <v>#VALUE!</v>
      </c>
      <c r="L19" s="1367" t="e">
        <f t="shared" ca="1" si="13"/>
        <v>#VALUE!</v>
      </c>
      <c r="M19" s="1367" t="e">
        <f t="shared" ca="1" si="14"/>
        <v>#VALUE!</v>
      </c>
      <c r="N19" s="13" t="e">
        <f t="shared" ca="1" si="18"/>
        <v>#VALUE!</v>
      </c>
      <c r="O19" s="13" t="e">
        <f t="shared" ca="1" si="19"/>
        <v>#VALUE!</v>
      </c>
      <c r="P19" s="1369" t="e">
        <f t="shared" ca="1" si="19"/>
        <v>#VALUE!</v>
      </c>
      <c r="Q19" s="13" t="e">
        <f t="shared" ca="1" si="20"/>
        <v>#VALUE!</v>
      </c>
      <c r="R19" s="13" t="e">
        <f t="shared" ca="1" si="21"/>
        <v>#VALUE!</v>
      </c>
      <c r="S19" s="1369" t="e">
        <f t="shared" ca="1" si="21"/>
        <v>#VALUE!</v>
      </c>
      <c r="U19" s="13" t="e">
        <f t="shared" ca="1" si="0"/>
        <v>#DIV/0!</v>
      </c>
      <c r="V19" s="13" t="e">
        <f t="shared" ca="1" si="1"/>
        <v>#DIV/0!</v>
      </c>
      <c r="W19" s="13" t="e">
        <f t="shared" ca="1" si="16"/>
        <v>#DIV/0!</v>
      </c>
      <c r="Y19" s="13" t="e">
        <f t="shared" ca="1" si="2"/>
        <v>#N/A</v>
      </c>
      <c r="Z19" s="13" t="e">
        <f t="shared" ca="1" si="3"/>
        <v>#DIV/0!</v>
      </c>
      <c r="AA19" s="13" t="e">
        <f t="shared" ca="1" si="17"/>
        <v>#N/A</v>
      </c>
    </row>
    <row r="20" spans="1:27" x14ac:dyDescent="0.25">
      <c r="A20" s="1366">
        <v>0.16</v>
      </c>
      <c r="B20" s="13">
        <f t="shared" si="4"/>
        <v>0</v>
      </c>
      <c r="C20" s="1367">
        <f t="shared" si="5"/>
        <v>0</v>
      </c>
      <c r="D20" s="1367" t="e">
        <f ca="1">B20*'Ввод исходных данных'!$G$285+C20+IF('Ввод исходных данных'!$D$159=0,7,10)</f>
        <v>#VALUE!</v>
      </c>
      <c r="E20" s="1434" t="e">
        <f t="shared" ca="1" si="6"/>
        <v>#VALUE!</v>
      </c>
      <c r="F20" s="1367" t="e">
        <f t="shared" ca="1" si="7"/>
        <v>#VALUE!</v>
      </c>
      <c r="G20" s="1367" t="e">
        <f t="shared" ca="1" si="8"/>
        <v>#VALUE!</v>
      </c>
      <c r="H20" s="1367" t="e">
        <f t="shared" ca="1" si="9"/>
        <v>#VALUE!</v>
      </c>
      <c r="I20" s="1367" t="e">
        <f t="shared" ca="1" si="10"/>
        <v>#VALUE!</v>
      </c>
      <c r="J20" s="1367" t="e">
        <f t="shared" ca="1" si="11"/>
        <v>#VALUE!</v>
      </c>
      <c r="K20" s="1367" t="e">
        <f t="shared" ca="1" si="12"/>
        <v>#VALUE!</v>
      </c>
      <c r="L20" s="1367" t="e">
        <f t="shared" ca="1" si="13"/>
        <v>#VALUE!</v>
      </c>
      <c r="M20" s="1367" t="e">
        <f t="shared" ca="1" si="14"/>
        <v>#VALUE!</v>
      </c>
      <c r="N20" s="13" t="e">
        <f t="shared" ca="1" si="18"/>
        <v>#VALUE!</v>
      </c>
      <c r="O20" s="13" t="e">
        <f t="shared" ca="1" si="19"/>
        <v>#VALUE!</v>
      </c>
      <c r="P20" s="1369" t="e">
        <f t="shared" ca="1" si="19"/>
        <v>#VALUE!</v>
      </c>
      <c r="Q20" s="13" t="e">
        <f t="shared" ca="1" si="20"/>
        <v>#VALUE!</v>
      </c>
      <c r="R20" s="13" t="e">
        <f t="shared" ca="1" si="21"/>
        <v>#VALUE!</v>
      </c>
      <c r="S20" s="1369" t="e">
        <f t="shared" ca="1" si="21"/>
        <v>#VALUE!</v>
      </c>
      <c r="U20" s="13" t="e">
        <f t="shared" ca="1" si="0"/>
        <v>#DIV/0!</v>
      </c>
      <c r="V20" s="13" t="e">
        <f t="shared" ca="1" si="1"/>
        <v>#DIV/0!</v>
      </c>
      <c r="W20" s="13" t="e">
        <f t="shared" ca="1" si="16"/>
        <v>#DIV/0!</v>
      </c>
      <c r="Y20" s="13" t="e">
        <f t="shared" ca="1" si="2"/>
        <v>#N/A</v>
      </c>
      <c r="Z20" s="13" t="e">
        <f t="shared" ca="1" si="3"/>
        <v>#DIV/0!</v>
      </c>
      <c r="AA20" s="13" t="e">
        <f t="shared" ca="1" si="17"/>
        <v>#N/A</v>
      </c>
    </row>
    <row r="21" spans="1:27" x14ac:dyDescent="0.25">
      <c r="A21" s="1366">
        <v>0.17</v>
      </c>
      <c r="B21" s="13">
        <f t="shared" si="4"/>
        <v>0</v>
      </c>
      <c r="C21" s="1367">
        <f t="shared" si="5"/>
        <v>0</v>
      </c>
      <c r="D21" s="1367" t="e">
        <f ca="1">B21*'Ввод исходных данных'!$G$285+C21+IF('Ввод исходных данных'!$D$159=0,7,10)</f>
        <v>#VALUE!</v>
      </c>
      <c r="E21" s="1434" t="e">
        <f t="shared" ca="1" si="6"/>
        <v>#VALUE!</v>
      </c>
      <c r="F21" s="1367" t="e">
        <f t="shared" ca="1" si="7"/>
        <v>#VALUE!</v>
      </c>
      <c r="G21" s="1367" t="e">
        <f t="shared" ca="1" si="8"/>
        <v>#VALUE!</v>
      </c>
      <c r="H21" s="1367" t="e">
        <f t="shared" ca="1" si="9"/>
        <v>#VALUE!</v>
      </c>
      <c r="I21" s="1367" t="e">
        <f t="shared" ca="1" si="10"/>
        <v>#VALUE!</v>
      </c>
      <c r="J21" s="1367" t="e">
        <f t="shared" ca="1" si="11"/>
        <v>#VALUE!</v>
      </c>
      <c r="K21" s="1367" t="e">
        <f t="shared" ca="1" si="12"/>
        <v>#VALUE!</v>
      </c>
      <c r="L21" s="1367" t="e">
        <f t="shared" ca="1" si="13"/>
        <v>#VALUE!</v>
      </c>
      <c r="M21" s="1367" t="e">
        <f t="shared" ca="1" si="14"/>
        <v>#VALUE!</v>
      </c>
      <c r="N21" s="13" t="e">
        <f t="shared" ca="1" si="18"/>
        <v>#VALUE!</v>
      </c>
      <c r="O21" s="13" t="e">
        <f t="shared" ca="1" si="19"/>
        <v>#VALUE!</v>
      </c>
      <c r="P21" s="1369" t="e">
        <f t="shared" ca="1" si="19"/>
        <v>#VALUE!</v>
      </c>
      <c r="Q21" s="13" t="e">
        <f t="shared" ca="1" si="20"/>
        <v>#VALUE!</v>
      </c>
      <c r="R21" s="13" t="e">
        <f t="shared" ca="1" si="21"/>
        <v>#VALUE!</v>
      </c>
      <c r="S21" s="1369" t="e">
        <f t="shared" ca="1" si="21"/>
        <v>#VALUE!</v>
      </c>
      <c r="U21" s="13" t="e">
        <f t="shared" ca="1" si="0"/>
        <v>#DIV/0!</v>
      </c>
      <c r="V21" s="13" t="e">
        <f t="shared" ca="1" si="1"/>
        <v>#DIV/0!</v>
      </c>
      <c r="W21" s="13" t="e">
        <f t="shared" ca="1" si="16"/>
        <v>#DIV/0!</v>
      </c>
      <c r="Y21" s="13" t="e">
        <f t="shared" ca="1" si="2"/>
        <v>#N/A</v>
      </c>
      <c r="Z21" s="13" t="e">
        <f t="shared" ca="1" si="3"/>
        <v>#DIV/0!</v>
      </c>
      <c r="AA21" s="13" t="e">
        <f t="shared" ca="1" si="17"/>
        <v>#N/A</v>
      </c>
    </row>
    <row r="22" spans="1:27" x14ac:dyDescent="0.25">
      <c r="A22" s="1366">
        <v>0.18</v>
      </c>
      <c r="B22" s="13">
        <f t="shared" si="4"/>
        <v>0</v>
      </c>
      <c r="C22" s="1367">
        <f t="shared" si="5"/>
        <v>0</v>
      </c>
      <c r="D22" s="1367" t="e">
        <f ca="1">B22*'Ввод исходных данных'!$G$285+C22+IF('Ввод исходных данных'!$D$159=0,7,10)</f>
        <v>#VALUE!</v>
      </c>
      <c r="E22" s="1434" t="e">
        <f t="shared" ca="1" si="6"/>
        <v>#VALUE!</v>
      </c>
      <c r="F22" s="1367" t="e">
        <f t="shared" ca="1" si="7"/>
        <v>#VALUE!</v>
      </c>
      <c r="G22" s="1367" t="e">
        <f t="shared" ca="1" si="8"/>
        <v>#VALUE!</v>
      </c>
      <c r="H22" s="1367" t="e">
        <f t="shared" ca="1" si="9"/>
        <v>#VALUE!</v>
      </c>
      <c r="I22" s="1367" t="e">
        <f t="shared" ca="1" si="10"/>
        <v>#VALUE!</v>
      </c>
      <c r="J22" s="1367" t="e">
        <f t="shared" ca="1" si="11"/>
        <v>#VALUE!</v>
      </c>
      <c r="K22" s="1367" t="e">
        <f t="shared" ca="1" si="12"/>
        <v>#VALUE!</v>
      </c>
      <c r="L22" s="1367" t="e">
        <f t="shared" ca="1" si="13"/>
        <v>#VALUE!</v>
      </c>
      <c r="M22" s="1367" t="e">
        <f t="shared" ca="1" si="14"/>
        <v>#VALUE!</v>
      </c>
      <c r="N22" s="13" t="e">
        <f t="shared" ca="1" si="18"/>
        <v>#VALUE!</v>
      </c>
      <c r="O22" s="13" t="e">
        <f t="shared" ca="1" si="19"/>
        <v>#VALUE!</v>
      </c>
      <c r="P22" s="1369" t="e">
        <f t="shared" ca="1" si="19"/>
        <v>#VALUE!</v>
      </c>
      <c r="Q22" s="13" t="e">
        <f t="shared" ca="1" si="20"/>
        <v>#VALUE!</v>
      </c>
      <c r="R22" s="13" t="e">
        <f t="shared" ca="1" si="21"/>
        <v>#VALUE!</v>
      </c>
      <c r="S22" s="1369" t="e">
        <f t="shared" ca="1" si="21"/>
        <v>#VALUE!</v>
      </c>
      <c r="U22" s="13" t="e">
        <f t="shared" ca="1" si="0"/>
        <v>#DIV/0!</v>
      </c>
      <c r="V22" s="13" t="e">
        <f t="shared" ca="1" si="1"/>
        <v>#DIV/0!</v>
      </c>
      <c r="W22" s="13" t="e">
        <f t="shared" ca="1" si="16"/>
        <v>#DIV/0!</v>
      </c>
      <c r="Y22" s="13" t="e">
        <f t="shared" ca="1" si="2"/>
        <v>#N/A</v>
      </c>
      <c r="Z22" s="13" t="e">
        <f t="shared" ca="1" si="3"/>
        <v>#DIV/0!</v>
      </c>
      <c r="AA22" s="13" t="e">
        <f t="shared" ca="1" si="17"/>
        <v>#N/A</v>
      </c>
    </row>
    <row r="23" spans="1:27" x14ac:dyDescent="0.25">
      <c r="A23" s="1366">
        <v>0.19</v>
      </c>
      <c r="B23" s="13">
        <f t="shared" si="4"/>
        <v>0</v>
      </c>
      <c r="C23" s="1367">
        <f t="shared" si="5"/>
        <v>0</v>
      </c>
      <c r="D23" s="1367" t="e">
        <f ca="1">B23*'Ввод исходных данных'!$G$285+C23+IF('Ввод исходных данных'!$D$159=0,7,10)</f>
        <v>#VALUE!</v>
      </c>
      <c r="E23" s="1434" t="e">
        <f t="shared" ca="1" si="6"/>
        <v>#VALUE!</v>
      </c>
      <c r="F23" s="1367" t="e">
        <f t="shared" ca="1" si="7"/>
        <v>#VALUE!</v>
      </c>
      <c r="G23" s="1367" t="e">
        <f t="shared" ca="1" si="8"/>
        <v>#VALUE!</v>
      </c>
      <c r="H23" s="1367" t="e">
        <f t="shared" ca="1" si="9"/>
        <v>#VALUE!</v>
      </c>
      <c r="I23" s="1367" t="e">
        <f t="shared" ca="1" si="10"/>
        <v>#VALUE!</v>
      </c>
      <c r="J23" s="1367" t="e">
        <f t="shared" ca="1" si="11"/>
        <v>#VALUE!</v>
      </c>
      <c r="K23" s="1367" t="e">
        <f t="shared" ca="1" si="12"/>
        <v>#VALUE!</v>
      </c>
      <c r="L23" s="1367" t="e">
        <f t="shared" ca="1" si="13"/>
        <v>#VALUE!</v>
      </c>
      <c r="M23" s="1367" t="e">
        <f t="shared" ca="1" si="14"/>
        <v>#VALUE!</v>
      </c>
      <c r="N23" s="13" t="e">
        <f t="shared" ca="1" si="18"/>
        <v>#VALUE!</v>
      </c>
      <c r="O23" s="13" t="e">
        <f t="shared" ca="1" si="19"/>
        <v>#VALUE!</v>
      </c>
      <c r="P23" s="1369" t="e">
        <f t="shared" ca="1" si="19"/>
        <v>#VALUE!</v>
      </c>
      <c r="Q23" s="13" t="e">
        <f t="shared" ca="1" si="20"/>
        <v>#VALUE!</v>
      </c>
      <c r="R23" s="13" t="e">
        <f t="shared" ca="1" si="21"/>
        <v>#VALUE!</v>
      </c>
      <c r="S23" s="1369" t="e">
        <f t="shared" ca="1" si="21"/>
        <v>#VALUE!</v>
      </c>
      <c r="U23" s="13" t="e">
        <f t="shared" ca="1" si="0"/>
        <v>#DIV/0!</v>
      </c>
      <c r="V23" s="13" t="e">
        <f t="shared" ca="1" si="1"/>
        <v>#DIV/0!</v>
      </c>
      <c r="W23" s="13" t="e">
        <f t="shared" ca="1" si="16"/>
        <v>#DIV/0!</v>
      </c>
      <c r="Y23" s="13" t="e">
        <f t="shared" ca="1" si="2"/>
        <v>#N/A</v>
      </c>
      <c r="Z23" s="13" t="e">
        <f t="shared" ca="1" si="3"/>
        <v>#DIV/0!</v>
      </c>
      <c r="AA23" s="13" t="e">
        <f t="shared" ca="1" si="17"/>
        <v>#N/A</v>
      </c>
    </row>
    <row r="24" spans="1:27" x14ac:dyDescent="0.25">
      <c r="A24" s="1366">
        <v>0.2</v>
      </c>
      <c r="B24" s="13">
        <f t="shared" si="4"/>
        <v>0</v>
      </c>
      <c r="C24" s="1367">
        <f t="shared" si="5"/>
        <v>0</v>
      </c>
      <c r="D24" s="1367" t="e">
        <f ca="1">B24*'Ввод исходных данных'!$G$285+C24+IF('Ввод исходных данных'!$D$159=0,7,10)</f>
        <v>#VALUE!</v>
      </c>
      <c r="E24" s="1434" t="e">
        <f t="shared" ca="1" si="6"/>
        <v>#VALUE!</v>
      </c>
      <c r="F24" s="1367" t="e">
        <f t="shared" ca="1" si="7"/>
        <v>#VALUE!</v>
      </c>
      <c r="G24" s="1367" t="e">
        <f t="shared" ca="1" si="8"/>
        <v>#VALUE!</v>
      </c>
      <c r="H24" s="1367" t="e">
        <f t="shared" ca="1" si="9"/>
        <v>#VALUE!</v>
      </c>
      <c r="I24" s="1367" t="e">
        <f t="shared" ca="1" si="10"/>
        <v>#VALUE!</v>
      </c>
      <c r="J24" s="1367" t="e">
        <f t="shared" ca="1" si="11"/>
        <v>#VALUE!</v>
      </c>
      <c r="K24" s="1367" t="e">
        <f t="shared" ca="1" si="12"/>
        <v>#VALUE!</v>
      </c>
      <c r="L24" s="1367" t="e">
        <f t="shared" ca="1" si="13"/>
        <v>#VALUE!</v>
      </c>
      <c r="M24" s="1367" t="e">
        <f t="shared" ca="1" si="14"/>
        <v>#VALUE!</v>
      </c>
      <c r="N24" s="13" t="e">
        <f t="shared" ca="1" si="18"/>
        <v>#VALUE!</v>
      </c>
      <c r="O24" s="13" t="e">
        <f t="shared" ca="1" si="19"/>
        <v>#VALUE!</v>
      </c>
      <c r="P24" s="1369" t="e">
        <f t="shared" ca="1" si="19"/>
        <v>#VALUE!</v>
      </c>
      <c r="Q24" s="13" t="e">
        <f t="shared" ca="1" si="20"/>
        <v>#VALUE!</v>
      </c>
      <c r="R24" s="13" t="e">
        <f t="shared" ca="1" si="21"/>
        <v>#VALUE!</v>
      </c>
      <c r="S24" s="1369" t="e">
        <f t="shared" ca="1" si="21"/>
        <v>#VALUE!</v>
      </c>
      <c r="U24" s="13" t="e">
        <f t="shared" ca="1" si="0"/>
        <v>#DIV/0!</v>
      </c>
      <c r="V24" s="13" t="e">
        <f t="shared" ca="1" si="1"/>
        <v>#DIV/0!</v>
      </c>
      <c r="W24" s="13" t="e">
        <f t="shared" ca="1" si="16"/>
        <v>#DIV/0!</v>
      </c>
      <c r="Y24" s="13" t="e">
        <f t="shared" ca="1" si="2"/>
        <v>#N/A</v>
      </c>
      <c r="Z24" s="13" t="e">
        <f t="shared" ca="1" si="3"/>
        <v>#DIV/0!</v>
      </c>
      <c r="AA24" s="13" t="e">
        <f t="shared" ca="1" si="17"/>
        <v>#N/A</v>
      </c>
    </row>
    <row r="25" spans="1:27" x14ac:dyDescent="0.25">
      <c r="A25" s="1366">
        <v>0.21</v>
      </c>
      <c r="B25" s="13">
        <f t="shared" si="4"/>
        <v>0</v>
      </c>
      <c r="C25" s="1367">
        <f t="shared" si="5"/>
        <v>0</v>
      </c>
      <c r="D25" s="1367" t="e">
        <f ca="1">B25*'Ввод исходных данных'!$G$285+C25+IF('Ввод исходных данных'!$D$159=0,7,10)</f>
        <v>#VALUE!</v>
      </c>
      <c r="E25" s="1434" t="e">
        <f t="shared" ca="1" si="6"/>
        <v>#VALUE!</v>
      </c>
      <c r="F25" s="1367" t="e">
        <f t="shared" ca="1" si="7"/>
        <v>#VALUE!</v>
      </c>
      <c r="G25" s="1367" t="e">
        <f t="shared" ca="1" si="8"/>
        <v>#VALUE!</v>
      </c>
      <c r="H25" s="1367" t="e">
        <f t="shared" ca="1" si="9"/>
        <v>#VALUE!</v>
      </c>
      <c r="I25" s="1367" t="e">
        <f t="shared" ca="1" si="10"/>
        <v>#VALUE!</v>
      </c>
      <c r="J25" s="1367" t="e">
        <f t="shared" ca="1" si="11"/>
        <v>#VALUE!</v>
      </c>
      <c r="K25" s="1367" t="e">
        <f t="shared" ca="1" si="12"/>
        <v>#VALUE!</v>
      </c>
      <c r="L25" s="1367" t="e">
        <f t="shared" ca="1" si="13"/>
        <v>#VALUE!</v>
      </c>
      <c r="M25" s="1367" t="e">
        <f t="shared" ca="1" si="14"/>
        <v>#VALUE!</v>
      </c>
      <c r="N25" s="13" t="e">
        <f t="shared" ca="1" si="18"/>
        <v>#VALUE!</v>
      </c>
      <c r="O25" s="13" t="e">
        <f t="shared" ca="1" si="19"/>
        <v>#VALUE!</v>
      </c>
      <c r="P25" s="1369" t="e">
        <f t="shared" ca="1" si="19"/>
        <v>#VALUE!</v>
      </c>
      <c r="Q25" s="13" t="e">
        <f t="shared" ca="1" si="20"/>
        <v>#VALUE!</v>
      </c>
      <c r="R25" s="13" t="e">
        <f t="shared" ca="1" si="21"/>
        <v>#VALUE!</v>
      </c>
      <c r="S25" s="1369" t="e">
        <f t="shared" ca="1" si="21"/>
        <v>#VALUE!</v>
      </c>
      <c r="U25" s="13" t="e">
        <f t="shared" ca="1" si="0"/>
        <v>#DIV/0!</v>
      </c>
      <c r="V25" s="13" t="e">
        <f t="shared" ca="1" si="1"/>
        <v>#DIV/0!</v>
      </c>
      <c r="W25" s="13" t="e">
        <f t="shared" ca="1" si="16"/>
        <v>#DIV/0!</v>
      </c>
      <c r="Y25" s="13" t="e">
        <f t="shared" ca="1" si="2"/>
        <v>#N/A</v>
      </c>
      <c r="Z25" s="13" t="e">
        <f t="shared" ca="1" si="3"/>
        <v>#DIV/0!</v>
      </c>
      <c r="AA25" s="13" t="e">
        <f t="shared" ca="1" si="17"/>
        <v>#N/A</v>
      </c>
    </row>
    <row r="26" spans="1:27" x14ac:dyDescent="0.25">
      <c r="A26" s="1366">
        <v>0.22</v>
      </c>
      <c r="B26" s="13">
        <f t="shared" si="4"/>
        <v>0</v>
      </c>
      <c r="C26" s="1367">
        <f t="shared" si="5"/>
        <v>0</v>
      </c>
      <c r="D26" s="1367" t="e">
        <f ca="1">B26*'Ввод исходных данных'!$G$285+C26+IF('Ввод исходных данных'!$D$159=0,7,10)</f>
        <v>#VALUE!</v>
      </c>
      <c r="E26" s="1434" t="e">
        <f t="shared" ca="1" si="6"/>
        <v>#VALUE!</v>
      </c>
      <c r="F26" s="1367" t="e">
        <f t="shared" ca="1" si="7"/>
        <v>#VALUE!</v>
      </c>
      <c r="G26" s="1367" t="e">
        <f t="shared" ca="1" si="8"/>
        <v>#VALUE!</v>
      </c>
      <c r="H26" s="1367" t="e">
        <f t="shared" ca="1" si="9"/>
        <v>#VALUE!</v>
      </c>
      <c r="I26" s="1367" t="e">
        <f t="shared" ca="1" si="10"/>
        <v>#VALUE!</v>
      </c>
      <c r="J26" s="1367" t="e">
        <f t="shared" ca="1" si="11"/>
        <v>#VALUE!</v>
      </c>
      <c r="K26" s="1367" t="e">
        <f t="shared" ca="1" si="12"/>
        <v>#VALUE!</v>
      </c>
      <c r="L26" s="1367" t="e">
        <f t="shared" ca="1" si="13"/>
        <v>#VALUE!</v>
      </c>
      <c r="M26" s="1367" t="e">
        <f t="shared" ca="1" si="14"/>
        <v>#VALUE!</v>
      </c>
      <c r="N26" s="13" t="e">
        <f t="shared" ca="1" si="18"/>
        <v>#VALUE!</v>
      </c>
      <c r="O26" s="13" t="e">
        <f t="shared" ca="1" si="19"/>
        <v>#VALUE!</v>
      </c>
      <c r="P26" s="1369" t="e">
        <f t="shared" ca="1" si="19"/>
        <v>#VALUE!</v>
      </c>
      <c r="Q26" s="13" t="e">
        <f t="shared" ca="1" si="20"/>
        <v>#VALUE!</v>
      </c>
      <c r="R26" s="13" t="e">
        <f t="shared" ca="1" si="21"/>
        <v>#VALUE!</v>
      </c>
      <c r="S26" s="1369" t="e">
        <f t="shared" ca="1" si="21"/>
        <v>#VALUE!</v>
      </c>
      <c r="U26" s="13" t="e">
        <f t="shared" ca="1" si="0"/>
        <v>#DIV/0!</v>
      </c>
      <c r="V26" s="13" t="e">
        <f t="shared" ca="1" si="1"/>
        <v>#DIV/0!</v>
      </c>
      <c r="W26" s="13" t="e">
        <f t="shared" ca="1" si="16"/>
        <v>#DIV/0!</v>
      </c>
      <c r="Y26" s="13" t="e">
        <f t="shared" ca="1" si="2"/>
        <v>#N/A</v>
      </c>
      <c r="Z26" s="13" t="e">
        <f t="shared" ca="1" si="3"/>
        <v>#DIV/0!</v>
      </c>
      <c r="AA26" s="13" t="e">
        <f t="shared" ca="1" si="17"/>
        <v>#N/A</v>
      </c>
    </row>
    <row r="27" spans="1:27" x14ac:dyDescent="0.25">
      <c r="A27" s="1366">
        <v>0.23</v>
      </c>
      <c r="B27" s="13">
        <f t="shared" si="4"/>
        <v>0</v>
      </c>
      <c r="C27" s="1367">
        <f t="shared" si="5"/>
        <v>0</v>
      </c>
      <c r="D27" s="1367" t="e">
        <f ca="1">B27*'Ввод исходных данных'!$G$285+C27+IF('Ввод исходных данных'!$D$159=0,7,10)</f>
        <v>#VALUE!</v>
      </c>
      <c r="E27" s="1434" t="e">
        <f t="shared" ca="1" si="6"/>
        <v>#VALUE!</v>
      </c>
      <c r="F27" s="1367" t="e">
        <f t="shared" ca="1" si="7"/>
        <v>#VALUE!</v>
      </c>
      <c r="G27" s="1367" t="e">
        <f t="shared" ca="1" si="8"/>
        <v>#VALUE!</v>
      </c>
      <c r="H27" s="1367" t="e">
        <f t="shared" ca="1" si="9"/>
        <v>#VALUE!</v>
      </c>
      <c r="I27" s="1367" t="e">
        <f t="shared" ca="1" si="10"/>
        <v>#VALUE!</v>
      </c>
      <c r="J27" s="1367" t="e">
        <f t="shared" ca="1" si="11"/>
        <v>#VALUE!</v>
      </c>
      <c r="K27" s="1367" t="e">
        <f t="shared" ca="1" si="12"/>
        <v>#VALUE!</v>
      </c>
      <c r="L27" s="1367" t="e">
        <f t="shared" ca="1" si="13"/>
        <v>#VALUE!</v>
      </c>
      <c r="M27" s="1367" t="e">
        <f t="shared" ca="1" si="14"/>
        <v>#VALUE!</v>
      </c>
      <c r="N27" s="13" t="e">
        <f t="shared" ca="1" si="18"/>
        <v>#VALUE!</v>
      </c>
      <c r="O27" s="13" t="e">
        <f t="shared" ca="1" si="19"/>
        <v>#VALUE!</v>
      </c>
      <c r="P27" s="1369" t="e">
        <f t="shared" ca="1" si="19"/>
        <v>#VALUE!</v>
      </c>
      <c r="Q27" s="13" t="e">
        <f t="shared" ca="1" si="20"/>
        <v>#VALUE!</v>
      </c>
      <c r="R27" s="13" t="e">
        <f t="shared" ca="1" si="21"/>
        <v>#VALUE!</v>
      </c>
      <c r="S27" s="1369" t="e">
        <f t="shared" ca="1" si="21"/>
        <v>#VALUE!</v>
      </c>
      <c r="U27" s="13" t="e">
        <f t="shared" ca="1" si="0"/>
        <v>#DIV/0!</v>
      </c>
      <c r="V27" s="13" t="e">
        <f t="shared" ca="1" si="1"/>
        <v>#DIV/0!</v>
      </c>
      <c r="W27" s="13" t="e">
        <f t="shared" ca="1" si="16"/>
        <v>#DIV/0!</v>
      </c>
      <c r="Y27" s="13" t="e">
        <f t="shared" ca="1" si="2"/>
        <v>#N/A</v>
      </c>
      <c r="Z27" s="13" t="e">
        <f t="shared" ca="1" si="3"/>
        <v>#DIV/0!</v>
      </c>
      <c r="AA27" s="13" t="e">
        <f t="shared" ca="1" si="17"/>
        <v>#N/A</v>
      </c>
    </row>
    <row r="28" spans="1:27" x14ac:dyDescent="0.25">
      <c r="A28" s="1366">
        <v>0.24</v>
      </c>
      <c r="B28" s="13">
        <f t="shared" si="4"/>
        <v>0</v>
      </c>
      <c r="C28" s="1367">
        <f t="shared" si="5"/>
        <v>0</v>
      </c>
      <c r="D28" s="1367" t="e">
        <f ca="1">B28*'Ввод исходных данных'!$G$285+C28+IF('Ввод исходных данных'!$D$159=0,7,10)</f>
        <v>#VALUE!</v>
      </c>
      <c r="E28" s="1434" t="e">
        <f t="shared" ca="1" si="6"/>
        <v>#VALUE!</v>
      </c>
      <c r="F28" s="1367" t="e">
        <f t="shared" ca="1" si="7"/>
        <v>#VALUE!</v>
      </c>
      <c r="G28" s="1367" t="e">
        <f t="shared" ca="1" si="8"/>
        <v>#VALUE!</v>
      </c>
      <c r="H28" s="1367" t="e">
        <f t="shared" ca="1" si="9"/>
        <v>#VALUE!</v>
      </c>
      <c r="I28" s="1367" t="e">
        <f t="shared" ca="1" si="10"/>
        <v>#VALUE!</v>
      </c>
      <c r="J28" s="1367" t="e">
        <f t="shared" ca="1" si="11"/>
        <v>#VALUE!</v>
      </c>
      <c r="K28" s="1367" t="e">
        <f t="shared" ca="1" si="12"/>
        <v>#VALUE!</v>
      </c>
      <c r="L28" s="1367" t="e">
        <f t="shared" ca="1" si="13"/>
        <v>#VALUE!</v>
      </c>
      <c r="M28" s="1367" t="e">
        <f t="shared" ca="1" si="14"/>
        <v>#VALUE!</v>
      </c>
      <c r="N28" s="13" t="e">
        <f t="shared" ca="1" si="18"/>
        <v>#VALUE!</v>
      </c>
      <c r="O28" s="13" t="e">
        <f t="shared" ca="1" si="19"/>
        <v>#VALUE!</v>
      </c>
      <c r="P28" s="1369" t="e">
        <f t="shared" ca="1" si="19"/>
        <v>#VALUE!</v>
      </c>
      <c r="Q28" s="13" t="e">
        <f t="shared" ca="1" si="20"/>
        <v>#VALUE!</v>
      </c>
      <c r="R28" s="13" t="e">
        <f t="shared" ca="1" si="21"/>
        <v>#VALUE!</v>
      </c>
      <c r="S28" s="1369" t="e">
        <f t="shared" ca="1" si="21"/>
        <v>#VALUE!</v>
      </c>
      <c r="U28" s="13" t="e">
        <f t="shared" ca="1" si="0"/>
        <v>#DIV/0!</v>
      </c>
      <c r="V28" s="13" t="e">
        <f t="shared" ca="1" si="1"/>
        <v>#DIV/0!</v>
      </c>
      <c r="W28" s="13" t="e">
        <f t="shared" ca="1" si="16"/>
        <v>#DIV/0!</v>
      </c>
      <c r="Y28" s="13" t="e">
        <f t="shared" ca="1" si="2"/>
        <v>#N/A</v>
      </c>
      <c r="Z28" s="13" t="e">
        <f t="shared" ca="1" si="3"/>
        <v>#DIV/0!</v>
      </c>
      <c r="AA28" s="13" t="e">
        <f t="shared" ca="1" si="17"/>
        <v>#N/A</v>
      </c>
    </row>
    <row r="29" spans="1:27" x14ac:dyDescent="0.25">
      <c r="A29" s="1366">
        <v>0.25</v>
      </c>
      <c r="B29" s="13">
        <f t="shared" si="4"/>
        <v>0</v>
      </c>
      <c r="C29" s="1367">
        <f t="shared" si="5"/>
        <v>0</v>
      </c>
      <c r="D29" s="1367" t="e">
        <f ca="1">B29*'Ввод исходных данных'!$G$285+C29+IF('Ввод исходных данных'!$D$159=0,7,10)</f>
        <v>#VALUE!</v>
      </c>
      <c r="E29" s="1434" t="e">
        <f t="shared" ca="1" si="6"/>
        <v>#VALUE!</v>
      </c>
      <c r="F29" s="1367" t="e">
        <f t="shared" ca="1" si="7"/>
        <v>#VALUE!</v>
      </c>
      <c r="G29" s="1367" t="e">
        <f t="shared" ca="1" si="8"/>
        <v>#VALUE!</v>
      </c>
      <c r="H29" s="1367" t="e">
        <f t="shared" ca="1" si="9"/>
        <v>#VALUE!</v>
      </c>
      <c r="I29" s="1367" t="e">
        <f t="shared" ca="1" si="10"/>
        <v>#VALUE!</v>
      </c>
      <c r="J29" s="1367" t="e">
        <f t="shared" ca="1" si="11"/>
        <v>#VALUE!</v>
      </c>
      <c r="K29" s="1367" t="e">
        <f t="shared" ca="1" si="12"/>
        <v>#VALUE!</v>
      </c>
      <c r="L29" s="1367" t="e">
        <f t="shared" ca="1" si="13"/>
        <v>#VALUE!</v>
      </c>
      <c r="M29" s="1367" t="e">
        <f t="shared" ca="1" si="14"/>
        <v>#VALUE!</v>
      </c>
      <c r="N29" s="13" t="e">
        <f t="shared" ca="1" si="18"/>
        <v>#VALUE!</v>
      </c>
      <c r="O29" s="13" t="e">
        <f t="shared" ca="1" si="19"/>
        <v>#VALUE!</v>
      </c>
      <c r="P29" s="1369" t="e">
        <f t="shared" ca="1" si="19"/>
        <v>#VALUE!</v>
      </c>
      <c r="Q29" s="13" t="e">
        <f t="shared" ca="1" si="20"/>
        <v>#VALUE!</v>
      </c>
      <c r="R29" s="13" t="e">
        <f t="shared" ca="1" si="21"/>
        <v>#VALUE!</v>
      </c>
      <c r="S29" s="1369" t="e">
        <f t="shared" ca="1" si="21"/>
        <v>#VALUE!</v>
      </c>
      <c r="U29" s="13" t="e">
        <f t="shared" ca="1" si="0"/>
        <v>#DIV/0!</v>
      </c>
      <c r="V29" s="13" t="e">
        <f t="shared" ca="1" si="1"/>
        <v>#DIV/0!</v>
      </c>
      <c r="W29" s="13" t="e">
        <f t="shared" ca="1" si="16"/>
        <v>#DIV/0!</v>
      </c>
      <c r="Y29" s="13" t="e">
        <f t="shared" ca="1" si="2"/>
        <v>#N/A</v>
      </c>
      <c r="Z29" s="13" t="e">
        <f t="shared" ca="1" si="3"/>
        <v>#DIV/0!</v>
      </c>
      <c r="AA29" s="13" t="e">
        <f t="shared" ca="1" si="17"/>
        <v>#N/A</v>
      </c>
    </row>
    <row r="30" spans="1:27" x14ac:dyDescent="0.25">
      <c r="A30" s="1366">
        <v>0.26</v>
      </c>
      <c r="B30" s="13">
        <f t="shared" si="4"/>
        <v>0</v>
      </c>
      <c r="C30" s="1367">
        <f t="shared" si="5"/>
        <v>0</v>
      </c>
      <c r="D30" s="1367" t="e">
        <f ca="1">B30*'Ввод исходных данных'!$G$285+C30+IF('Ввод исходных данных'!$D$159=0,7,10)</f>
        <v>#VALUE!</v>
      </c>
      <c r="E30" s="1434" t="e">
        <f t="shared" ca="1" si="6"/>
        <v>#VALUE!</v>
      </c>
      <c r="F30" s="1367" t="e">
        <f t="shared" ca="1" si="7"/>
        <v>#VALUE!</v>
      </c>
      <c r="G30" s="1367" t="e">
        <f t="shared" ca="1" si="8"/>
        <v>#VALUE!</v>
      </c>
      <c r="H30" s="1367" t="e">
        <f t="shared" ca="1" si="9"/>
        <v>#VALUE!</v>
      </c>
      <c r="I30" s="1367" t="e">
        <f t="shared" ca="1" si="10"/>
        <v>#VALUE!</v>
      </c>
      <c r="J30" s="1367" t="e">
        <f t="shared" ca="1" si="11"/>
        <v>#VALUE!</v>
      </c>
      <c r="K30" s="1367" t="e">
        <f t="shared" ca="1" si="12"/>
        <v>#VALUE!</v>
      </c>
      <c r="L30" s="1367" t="e">
        <f t="shared" ca="1" si="13"/>
        <v>#VALUE!</v>
      </c>
      <c r="M30" s="1367" t="e">
        <f t="shared" ca="1" si="14"/>
        <v>#VALUE!</v>
      </c>
      <c r="N30" s="13" t="e">
        <f t="shared" ca="1" si="18"/>
        <v>#VALUE!</v>
      </c>
      <c r="O30" s="13" t="e">
        <f t="shared" ca="1" si="19"/>
        <v>#VALUE!</v>
      </c>
      <c r="P30" s="1369" t="e">
        <f t="shared" ca="1" si="19"/>
        <v>#VALUE!</v>
      </c>
      <c r="Q30" s="13" t="e">
        <f t="shared" ca="1" si="20"/>
        <v>#VALUE!</v>
      </c>
      <c r="R30" s="13" t="e">
        <f t="shared" ca="1" si="21"/>
        <v>#VALUE!</v>
      </c>
      <c r="S30" s="1369" t="e">
        <f t="shared" ca="1" si="21"/>
        <v>#VALUE!</v>
      </c>
      <c r="U30" s="13" t="e">
        <f t="shared" ca="1" si="0"/>
        <v>#DIV/0!</v>
      </c>
      <c r="V30" s="13" t="e">
        <f t="shared" ca="1" si="1"/>
        <v>#DIV/0!</v>
      </c>
      <c r="W30" s="13" t="e">
        <f t="shared" ca="1" si="16"/>
        <v>#DIV/0!</v>
      </c>
      <c r="Y30" s="13" t="e">
        <f t="shared" ca="1" si="2"/>
        <v>#N/A</v>
      </c>
      <c r="Z30" s="13" t="e">
        <f t="shared" ca="1" si="3"/>
        <v>#DIV/0!</v>
      </c>
      <c r="AA30" s="13" t="e">
        <f t="shared" ca="1" si="17"/>
        <v>#N/A</v>
      </c>
    </row>
    <row r="31" spans="1:27" x14ac:dyDescent="0.25">
      <c r="A31" s="1366">
        <v>0.27</v>
      </c>
      <c r="B31" s="13">
        <f t="shared" si="4"/>
        <v>0</v>
      </c>
      <c r="C31" s="1367">
        <f t="shared" si="5"/>
        <v>0</v>
      </c>
      <c r="D31" s="1367" t="e">
        <f ca="1">B31*'Ввод исходных данных'!$G$285+C31+IF('Ввод исходных данных'!$D$159=0,7,10)</f>
        <v>#VALUE!</v>
      </c>
      <c r="E31" s="1434" t="e">
        <f t="shared" ca="1" si="6"/>
        <v>#VALUE!</v>
      </c>
      <c r="F31" s="1367" t="e">
        <f t="shared" ca="1" si="7"/>
        <v>#VALUE!</v>
      </c>
      <c r="G31" s="1367" t="e">
        <f t="shared" ca="1" si="8"/>
        <v>#VALUE!</v>
      </c>
      <c r="H31" s="1367" t="e">
        <f t="shared" ca="1" si="9"/>
        <v>#VALUE!</v>
      </c>
      <c r="I31" s="1367" t="e">
        <f t="shared" ca="1" si="10"/>
        <v>#VALUE!</v>
      </c>
      <c r="J31" s="1367" t="e">
        <f t="shared" ca="1" si="11"/>
        <v>#VALUE!</v>
      </c>
      <c r="K31" s="1367" t="e">
        <f t="shared" ca="1" si="12"/>
        <v>#VALUE!</v>
      </c>
      <c r="L31" s="1367" t="e">
        <f t="shared" ca="1" si="13"/>
        <v>#VALUE!</v>
      </c>
      <c r="M31" s="1367" t="e">
        <f t="shared" ca="1" si="14"/>
        <v>#VALUE!</v>
      </c>
      <c r="N31" s="13" t="e">
        <f t="shared" ca="1" si="18"/>
        <v>#VALUE!</v>
      </c>
      <c r="O31" s="13" t="e">
        <f t="shared" ca="1" si="19"/>
        <v>#VALUE!</v>
      </c>
      <c r="P31" s="1369" t="e">
        <f t="shared" ca="1" si="19"/>
        <v>#VALUE!</v>
      </c>
      <c r="Q31" s="13" t="e">
        <f t="shared" ca="1" si="20"/>
        <v>#VALUE!</v>
      </c>
      <c r="R31" s="13" t="e">
        <f t="shared" ca="1" si="21"/>
        <v>#VALUE!</v>
      </c>
      <c r="S31" s="1369" t="e">
        <f t="shared" ca="1" si="21"/>
        <v>#VALUE!</v>
      </c>
      <c r="U31" s="13" t="e">
        <f t="shared" ca="1" si="0"/>
        <v>#DIV/0!</v>
      </c>
      <c r="V31" s="13" t="e">
        <f t="shared" ca="1" si="1"/>
        <v>#DIV/0!</v>
      </c>
      <c r="W31" s="13" t="e">
        <f t="shared" ca="1" si="16"/>
        <v>#DIV/0!</v>
      </c>
      <c r="Y31" s="13" t="e">
        <f t="shared" ca="1" si="2"/>
        <v>#N/A</v>
      </c>
      <c r="Z31" s="13" t="e">
        <f t="shared" ca="1" si="3"/>
        <v>#DIV/0!</v>
      </c>
      <c r="AA31" s="13" t="e">
        <f t="shared" ca="1" si="17"/>
        <v>#N/A</v>
      </c>
    </row>
    <row r="32" spans="1:27" x14ac:dyDescent="0.25">
      <c r="A32" s="1366">
        <v>0.28000000000000003</v>
      </c>
      <c r="B32" s="13">
        <f t="shared" si="4"/>
        <v>0</v>
      </c>
      <c r="C32" s="1367">
        <f t="shared" si="5"/>
        <v>0</v>
      </c>
      <c r="D32" s="1367" t="e">
        <f ca="1">B32*'Ввод исходных данных'!$G$285+C32+IF('Ввод исходных данных'!$D$159=0,7,10)</f>
        <v>#VALUE!</v>
      </c>
      <c r="E32" s="1434" t="e">
        <f t="shared" ca="1" si="6"/>
        <v>#VALUE!</v>
      </c>
      <c r="F32" s="1367" t="e">
        <f t="shared" ca="1" si="7"/>
        <v>#VALUE!</v>
      </c>
      <c r="G32" s="1367" t="e">
        <f t="shared" ca="1" si="8"/>
        <v>#VALUE!</v>
      </c>
      <c r="H32" s="1367" t="e">
        <f t="shared" ca="1" si="9"/>
        <v>#VALUE!</v>
      </c>
      <c r="I32" s="1367" t="e">
        <f t="shared" ca="1" si="10"/>
        <v>#VALUE!</v>
      </c>
      <c r="J32" s="1367" t="e">
        <f t="shared" ca="1" si="11"/>
        <v>#VALUE!</v>
      </c>
      <c r="K32" s="1367" t="e">
        <f t="shared" ca="1" si="12"/>
        <v>#VALUE!</v>
      </c>
      <c r="L32" s="1367" t="e">
        <f t="shared" ca="1" si="13"/>
        <v>#VALUE!</v>
      </c>
      <c r="M32" s="1367" t="e">
        <f t="shared" ca="1" si="14"/>
        <v>#VALUE!</v>
      </c>
      <c r="N32" s="13" t="e">
        <f t="shared" ca="1" si="18"/>
        <v>#VALUE!</v>
      </c>
      <c r="O32" s="13" t="e">
        <f t="shared" ca="1" si="19"/>
        <v>#VALUE!</v>
      </c>
      <c r="P32" s="1369" t="e">
        <f t="shared" ca="1" si="19"/>
        <v>#VALUE!</v>
      </c>
      <c r="Q32" s="13" t="e">
        <f t="shared" ca="1" si="20"/>
        <v>#VALUE!</v>
      </c>
      <c r="R32" s="13" t="e">
        <f t="shared" ca="1" si="21"/>
        <v>#VALUE!</v>
      </c>
      <c r="S32" s="1369" t="e">
        <f t="shared" ca="1" si="21"/>
        <v>#VALUE!</v>
      </c>
      <c r="U32" s="13" t="e">
        <f t="shared" ca="1" si="0"/>
        <v>#DIV/0!</v>
      </c>
      <c r="V32" s="13" t="e">
        <f t="shared" ca="1" si="1"/>
        <v>#DIV/0!</v>
      </c>
      <c r="W32" s="13" t="e">
        <f t="shared" ca="1" si="16"/>
        <v>#DIV/0!</v>
      </c>
      <c r="Y32" s="13" t="e">
        <f t="shared" ca="1" si="2"/>
        <v>#N/A</v>
      </c>
      <c r="Z32" s="13" t="e">
        <f t="shared" ca="1" si="3"/>
        <v>#DIV/0!</v>
      </c>
      <c r="AA32" s="13" t="e">
        <f t="shared" ca="1" si="17"/>
        <v>#N/A</v>
      </c>
    </row>
    <row r="33" spans="1:27" x14ac:dyDescent="0.25">
      <c r="A33" s="1366">
        <v>0.28999999999999998</v>
      </c>
      <c r="B33" s="13">
        <f t="shared" si="4"/>
        <v>0</v>
      </c>
      <c r="C33" s="1367">
        <f t="shared" si="5"/>
        <v>0</v>
      </c>
      <c r="D33" s="1367" t="e">
        <f ca="1">B33*'Ввод исходных данных'!$G$285+C33+IF('Ввод исходных данных'!$D$159=0,7,10)</f>
        <v>#VALUE!</v>
      </c>
      <c r="E33" s="1434" t="e">
        <f t="shared" ca="1" si="6"/>
        <v>#VALUE!</v>
      </c>
      <c r="F33" s="1367" t="e">
        <f t="shared" ca="1" si="7"/>
        <v>#VALUE!</v>
      </c>
      <c r="G33" s="1367" t="e">
        <f t="shared" ca="1" si="8"/>
        <v>#VALUE!</v>
      </c>
      <c r="H33" s="1367" t="e">
        <f t="shared" ca="1" si="9"/>
        <v>#VALUE!</v>
      </c>
      <c r="I33" s="1367" t="e">
        <f t="shared" ca="1" si="10"/>
        <v>#VALUE!</v>
      </c>
      <c r="J33" s="1367" t="e">
        <f t="shared" ca="1" si="11"/>
        <v>#VALUE!</v>
      </c>
      <c r="K33" s="1367" t="e">
        <f t="shared" ca="1" si="12"/>
        <v>#VALUE!</v>
      </c>
      <c r="L33" s="1367" t="e">
        <f t="shared" ca="1" si="13"/>
        <v>#VALUE!</v>
      </c>
      <c r="M33" s="1367" t="e">
        <f t="shared" ca="1" si="14"/>
        <v>#VALUE!</v>
      </c>
      <c r="N33" s="13" t="e">
        <f t="shared" ca="1" si="18"/>
        <v>#VALUE!</v>
      </c>
      <c r="O33" s="13" t="e">
        <f t="shared" ca="1" si="19"/>
        <v>#VALUE!</v>
      </c>
      <c r="P33" s="1369" t="e">
        <f t="shared" ca="1" si="19"/>
        <v>#VALUE!</v>
      </c>
      <c r="Q33" s="13" t="e">
        <f t="shared" ca="1" si="20"/>
        <v>#VALUE!</v>
      </c>
      <c r="R33" s="13" t="e">
        <f t="shared" ca="1" si="21"/>
        <v>#VALUE!</v>
      </c>
      <c r="S33" s="1369" t="e">
        <f t="shared" ca="1" si="21"/>
        <v>#VALUE!</v>
      </c>
      <c r="U33" s="13" t="e">
        <f t="shared" ca="1" si="0"/>
        <v>#DIV/0!</v>
      </c>
      <c r="V33" s="13" t="e">
        <f t="shared" ca="1" si="1"/>
        <v>#DIV/0!</v>
      </c>
      <c r="W33" s="13" t="e">
        <f t="shared" ca="1" si="16"/>
        <v>#DIV/0!</v>
      </c>
      <c r="Y33" s="13" t="e">
        <f t="shared" ca="1" si="2"/>
        <v>#N/A</v>
      </c>
      <c r="Z33" s="13" t="e">
        <f t="shared" ca="1" si="3"/>
        <v>#DIV/0!</v>
      </c>
      <c r="AA33" s="13" t="e">
        <f t="shared" ca="1" si="17"/>
        <v>#N/A</v>
      </c>
    </row>
    <row r="34" spans="1:27" x14ac:dyDescent="0.25">
      <c r="A34" s="1366">
        <v>0.3</v>
      </c>
      <c r="B34" s="13">
        <f t="shared" si="4"/>
        <v>0</v>
      </c>
      <c r="C34" s="1367">
        <f t="shared" si="5"/>
        <v>0</v>
      </c>
      <c r="D34" s="1367" t="e">
        <f ca="1">B34*'Ввод исходных данных'!$G$285+C34+IF('Ввод исходных данных'!$D$159=0,7,10)</f>
        <v>#VALUE!</v>
      </c>
      <c r="E34" s="1434" t="e">
        <f t="shared" ca="1" si="6"/>
        <v>#VALUE!</v>
      </c>
      <c r="F34" s="1367" t="e">
        <f t="shared" ca="1" si="7"/>
        <v>#VALUE!</v>
      </c>
      <c r="G34" s="1367" t="e">
        <f t="shared" ca="1" si="8"/>
        <v>#VALUE!</v>
      </c>
      <c r="H34" s="1367" t="e">
        <f t="shared" ca="1" si="9"/>
        <v>#VALUE!</v>
      </c>
      <c r="I34" s="1367" t="e">
        <f t="shared" ca="1" si="10"/>
        <v>#VALUE!</v>
      </c>
      <c r="J34" s="1367" t="e">
        <f t="shared" ca="1" si="11"/>
        <v>#VALUE!</v>
      </c>
      <c r="K34" s="1367" t="e">
        <f t="shared" ca="1" si="12"/>
        <v>#VALUE!</v>
      </c>
      <c r="L34" s="1367" t="e">
        <f t="shared" ca="1" si="13"/>
        <v>#VALUE!</v>
      </c>
      <c r="M34" s="1367" t="e">
        <f t="shared" ca="1" si="14"/>
        <v>#VALUE!</v>
      </c>
      <c r="N34" s="13" t="e">
        <f t="shared" ca="1" si="18"/>
        <v>#VALUE!</v>
      </c>
      <c r="O34" s="13" t="e">
        <f t="shared" ca="1" si="19"/>
        <v>#VALUE!</v>
      </c>
      <c r="P34" s="1369" t="e">
        <f t="shared" ca="1" si="19"/>
        <v>#VALUE!</v>
      </c>
      <c r="Q34" s="13" t="e">
        <f t="shared" ca="1" si="20"/>
        <v>#VALUE!</v>
      </c>
      <c r="R34" s="13" t="e">
        <f t="shared" ca="1" si="21"/>
        <v>#VALUE!</v>
      </c>
      <c r="S34" s="1369" t="e">
        <f t="shared" ca="1" si="21"/>
        <v>#VALUE!</v>
      </c>
      <c r="U34" s="13" t="e">
        <f t="shared" ca="1" si="0"/>
        <v>#DIV/0!</v>
      </c>
      <c r="V34" s="13" t="e">
        <f t="shared" ca="1" si="1"/>
        <v>#DIV/0!</v>
      </c>
      <c r="W34" s="13" t="e">
        <f t="shared" ca="1" si="16"/>
        <v>#DIV/0!</v>
      </c>
      <c r="Y34" s="13" t="e">
        <f t="shared" ca="1" si="2"/>
        <v>#N/A</v>
      </c>
      <c r="Z34" s="13" t="e">
        <f t="shared" ca="1" si="3"/>
        <v>#DIV/0!</v>
      </c>
      <c r="AA34" s="13" t="e">
        <f t="shared" ca="1" si="17"/>
        <v>#N/A</v>
      </c>
    </row>
    <row r="35" spans="1:27" x14ac:dyDescent="0.25">
      <c r="A35" s="1366">
        <v>0.31</v>
      </c>
      <c r="B35" s="13">
        <f t="shared" si="4"/>
        <v>0</v>
      </c>
      <c r="C35" s="1367">
        <f t="shared" si="5"/>
        <v>0</v>
      </c>
      <c r="D35" s="1367" t="e">
        <f ca="1">B35*'Ввод исходных данных'!$G$285+C35+IF('Ввод исходных данных'!$D$159=0,7,10)</f>
        <v>#VALUE!</v>
      </c>
      <c r="E35" s="1434" t="e">
        <f t="shared" ca="1" si="6"/>
        <v>#VALUE!</v>
      </c>
      <c r="F35" s="1367" t="e">
        <f t="shared" ca="1" si="7"/>
        <v>#VALUE!</v>
      </c>
      <c r="G35" s="1367" t="e">
        <f t="shared" ca="1" si="8"/>
        <v>#VALUE!</v>
      </c>
      <c r="H35" s="1367" t="e">
        <f t="shared" ca="1" si="9"/>
        <v>#VALUE!</v>
      </c>
      <c r="I35" s="1367" t="e">
        <f t="shared" ca="1" si="10"/>
        <v>#VALUE!</v>
      </c>
      <c r="J35" s="1367" t="e">
        <f t="shared" ca="1" si="11"/>
        <v>#VALUE!</v>
      </c>
      <c r="K35" s="1367" t="e">
        <f t="shared" ca="1" si="12"/>
        <v>#VALUE!</v>
      </c>
      <c r="L35" s="1367" t="e">
        <f t="shared" ca="1" si="13"/>
        <v>#VALUE!</v>
      </c>
      <c r="M35" s="1367" t="e">
        <f t="shared" ca="1" si="14"/>
        <v>#VALUE!</v>
      </c>
      <c r="N35" s="13" t="e">
        <f t="shared" ca="1" si="18"/>
        <v>#VALUE!</v>
      </c>
      <c r="O35" s="13" t="e">
        <f t="shared" ca="1" si="19"/>
        <v>#VALUE!</v>
      </c>
      <c r="P35" s="1369" t="e">
        <f t="shared" ca="1" si="19"/>
        <v>#VALUE!</v>
      </c>
      <c r="Q35" s="13" t="e">
        <f t="shared" ca="1" si="20"/>
        <v>#VALUE!</v>
      </c>
      <c r="R35" s="13" t="e">
        <f t="shared" ca="1" si="21"/>
        <v>#VALUE!</v>
      </c>
      <c r="S35" s="1369" t="e">
        <f t="shared" ca="1" si="21"/>
        <v>#VALUE!</v>
      </c>
      <c r="U35" s="13" t="e">
        <f t="shared" ca="1" si="0"/>
        <v>#DIV/0!</v>
      </c>
      <c r="V35" s="13" t="e">
        <f t="shared" ca="1" si="1"/>
        <v>#DIV/0!</v>
      </c>
      <c r="W35" s="13" t="e">
        <f t="shared" ca="1" si="16"/>
        <v>#DIV/0!</v>
      </c>
      <c r="Y35" s="13" t="e">
        <f t="shared" ca="1" si="2"/>
        <v>#N/A</v>
      </c>
      <c r="Z35" s="13" t="e">
        <f t="shared" ca="1" si="3"/>
        <v>#DIV/0!</v>
      </c>
      <c r="AA35" s="13" t="e">
        <f t="shared" ca="1" si="17"/>
        <v>#N/A</v>
      </c>
    </row>
    <row r="36" spans="1:27" x14ac:dyDescent="0.25">
      <c r="A36" s="1366">
        <v>0.32</v>
      </c>
      <c r="B36" s="13">
        <f t="shared" si="4"/>
        <v>0</v>
      </c>
      <c r="C36" s="1367">
        <f t="shared" si="5"/>
        <v>0</v>
      </c>
      <c r="D36" s="1367" t="e">
        <f ca="1">B36*'Ввод исходных данных'!$G$285+C36+IF('Ввод исходных данных'!$D$159=0,7,10)</f>
        <v>#VALUE!</v>
      </c>
      <c r="E36" s="1434" t="e">
        <f t="shared" ca="1" si="6"/>
        <v>#VALUE!</v>
      </c>
      <c r="F36" s="1367" t="e">
        <f t="shared" ca="1" si="7"/>
        <v>#VALUE!</v>
      </c>
      <c r="G36" s="1367" t="e">
        <f t="shared" ca="1" si="8"/>
        <v>#VALUE!</v>
      </c>
      <c r="H36" s="1367" t="e">
        <f t="shared" ca="1" si="9"/>
        <v>#VALUE!</v>
      </c>
      <c r="I36" s="1367" t="e">
        <f t="shared" ca="1" si="10"/>
        <v>#VALUE!</v>
      </c>
      <c r="J36" s="1367" t="e">
        <f t="shared" ca="1" si="11"/>
        <v>#VALUE!</v>
      </c>
      <c r="K36" s="1367" t="e">
        <f t="shared" ca="1" si="12"/>
        <v>#VALUE!</v>
      </c>
      <c r="L36" s="1367" t="e">
        <f t="shared" ca="1" si="13"/>
        <v>#VALUE!</v>
      </c>
      <c r="M36" s="1367" t="e">
        <f t="shared" ca="1" si="14"/>
        <v>#VALUE!</v>
      </c>
      <c r="N36" s="13" t="e">
        <f t="shared" ca="1" si="18"/>
        <v>#VALUE!</v>
      </c>
      <c r="O36" s="13" t="e">
        <f t="shared" ca="1" si="19"/>
        <v>#VALUE!</v>
      </c>
      <c r="P36" s="1369" t="e">
        <f t="shared" ca="1" si="19"/>
        <v>#VALUE!</v>
      </c>
      <c r="Q36" s="13" t="e">
        <f t="shared" ca="1" si="20"/>
        <v>#VALUE!</v>
      </c>
      <c r="R36" s="13" t="e">
        <f t="shared" ca="1" si="21"/>
        <v>#VALUE!</v>
      </c>
      <c r="S36" s="1369" t="e">
        <f t="shared" ca="1" si="21"/>
        <v>#VALUE!</v>
      </c>
      <c r="U36" s="13" t="e">
        <f t="shared" ca="1" si="0"/>
        <v>#DIV/0!</v>
      </c>
      <c r="V36" s="13" t="e">
        <f t="shared" ca="1" si="1"/>
        <v>#DIV/0!</v>
      </c>
      <c r="W36" s="13" t="e">
        <f t="shared" ca="1" si="16"/>
        <v>#DIV/0!</v>
      </c>
      <c r="Y36" s="13" t="e">
        <f t="shared" ca="1" si="2"/>
        <v>#N/A</v>
      </c>
      <c r="Z36" s="13" t="e">
        <f t="shared" ca="1" si="3"/>
        <v>#DIV/0!</v>
      </c>
      <c r="AA36" s="13" t="e">
        <f t="shared" ca="1" si="17"/>
        <v>#N/A</v>
      </c>
    </row>
    <row r="37" spans="1:27" x14ac:dyDescent="0.25">
      <c r="A37" s="1366">
        <v>0.33</v>
      </c>
      <c r="B37" s="13">
        <f t="shared" si="4"/>
        <v>0</v>
      </c>
      <c r="C37" s="1367">
        <f t="shared" si="5"/>
        <v>0</v>
      </c>
      <c r="D37" s="1367" t="e">
        <f ca="1">B37*'Ввод исходных данных'!$G$285+C37+IF('Ввод исходных данных'!$D$159=0,7,10)</f>
        <v>#VALUE!</v>
      </c>
      <c r="E37" s="1434" t="e">
        <f t="shared" ca="1" si="6"/>
        <v>#VALUE!</v>
      </c>
      <c r="F37" s="1367" t="e">
        <f t="shared" ca="1" si="7"/>
        <v>#VALUE!</v>
      </c>
      <c r="G37" s="1367" t="e">
        <f t="shared" ca="1" si="8"/>
        <v>#VALUE!</v>
      </c>
      <c r="H37" s="1367" t="e">
        <f t="shared" ca="1" si="9"/>
        <v>#VALUE!</v>
      </c>
      <c r="I37" s="1367" t="e">
        <f t="shared" ca="1" si="10"/>
        <v>#VALUE!</v>
      </c>
      <c r="J37" s="1367" t="e">
        <f t="shared" ca="1" si="11"/>
        <v>#VALUE!</v>
      </c>
      <c r="K37" s="1367" t="e">
        <f t="shared" ca="1" si="12"/>
        <v>#VALUE!</v>
      </c>
      <c r="L37" s="1367" t="e">
        <f t="shared" ca="1" si="13"/>
        <v>#VALUE!</v>
      </c>
      <c r="M37" s="1367" t="e">
        <f t="shared" ca="1" si="14"/>
        <v>#VALUE!</v>
      </c>
      <c r="N37" s="13" t="e">
        <f t="shared" ca="1" si="18"/>
        <v>#VALUE!</v>
      </c>
      <c r="O37" s="13" t="e">
        <f t="shared" ca="1" si="19"/>
        <v>#VALUE!</v>
      </c>
      <c r="P37" s="1369" t="e">
        <f t="shared" ca="1" si="19"/>
        <v>#VALUE!</v>
      </c>
      <c r="Q37" s="13" t="e">
        <f t="shared" ca="1" si="20"/>
        <v>#VALUE!</v>
      </c>
      <c r="R37" s="13" t="e">
        <f t="shared" ca="1" si="21"/>
        <v>#VALUE!</v>
      </c>
      <c r="S37" s="1369" t="e">
        <f t="shared" ca="1" si="21"/>
        <v>#VALUE!</v>
      </c>
      <c r="U37" s="13" t="e">
        <f t="shared" ref="U37:U68" ca="1" si="22">IF(AND($U$3&gt;=B37,$U$3&lt;B38),$U$3,"")</f>
        <v>#DIV/0!</v>
      </c>
      <c r="V37" s="13" t="e">
        <f t="shared" ref="V37:V68" ca="1" si="23">IF(AND($V$3&gt;=C37,$V$3&lt;C38),$V$3,"")</f>
        <v>#DIV/0!</v>
      </c>
      <c r="W37" s="13" t="e">
        <f t="shared" ca="1" si="16"/>
        <v>#DIV/0!</v>
      </c>
      <c r="Y37" s="13" t="e">
        <f t="shared" ref="Y37:Y68" ca="1" si="24">IF(AND($Y$3&gt;=B37,$Y$3&lt;B38),$Y$3,"")</f>
        <v>#N/A</v>
      </c>
      <c r="Z37" s="13" t="e">
        <f t="shared" ref="Z37:Z68" ca="1" si="25">IF(AND($Z$3&gt;=C37,$Z$3&lt;C38),$Z$3,"")</f>
        <v>#DIV/0!</v>
      </c>
      <c r="AA37" s="13" t="e">
        <f t="shared" ca="1" si="17"/>
        <v>#N/A</v>
      </c>
    </row>
    <row r="38" spans="1:27" x14ac:dyDescent="0.25">
      <c r="A38" s="1366">
        <v>0.34</v>
      </c>
      <c r="B38" s="13">
        <f t="shared" si="4"/>
        <v>0</v>
      </c>
      <c r="C38" s="1367">
        <f t="shared" si="5"/>
        <v>0</v>
      </c>
      <c r="D38" s="1367" t="e">
        <f ca="1">B38*'Ввод исходных данных'!$G$285+C38+IF('Ввод исходных данных'!$D$159=0,7,10)</f>
        <v>#VALUE!</v>
      </c>
      <c r="E38" s="1434" t="e">
        <f t="shared" ca="1" si="6"/>
        <v>#VALUE!</v>
      </c>
      <c r="F38" s="1367" t="e">
        <f t="shared" ca="1" si="7"/>
        <v>#VALUE!</v>
      </c>
      <c r="G38" s="1367" t="e">
        <f t="shared" ca="1" si="8"/>
        <v>#VALUE!</v>
      </c>
      <c r="H38" s="1367" t="e">
        <f t="shared" ca="1" si="9"/>
        <v>#VALUE!</v>
      </c>
      <c r="I38" s="1367" t="e">
        <f t="shared" ca="1" si="10"/>
        <v>#VALUE!</v>
      </c>
      <c r="J38" s="1367" t="e">
        <f t="shared" ca="1" si="11"/>
        <v>#VALUE!</v>
      </c>
      <c r="K38" s="1367" t="e">
        <f t="shared" ca="1" si="12"/>
        <v>#VALUE!</v>
      </c>
      <c r="L38" s="1367" t="e">
        <f t="shared" ca="1" si="13"/>
        <v>#VALUE!</v>
      </c>
      <c r="M38" s="1367" t="e">
        <f t="shared" ca="1" si="14"/>
        <v>#VALUE!</v>
      </c>
      <c r="N38" s="13" t="e">
        <f t="shared" ca="1" si="18"/>
        <v>#VALUE!</v>
      </c>
      <c r="O38" s="13" t="e">
        <f t="shared" ca="1" si="19"/>
        <v>#VALUE!</v>
      </c>
      <c r="P38" s="1369" t="e">
        <f t="shared" ca="1" si="19"/>
        <v>#VALUE!</v>
      </c>
      <c r="Q38" s="13" t="e">
        <f t="shared" ca="1" si="20"/>
        <v>#VALUE!</v>
      </c>
      <c r="R38" s="13" t="e">
        <f t="shared" ca="1" si="21"/>
        <v>#VALUE!</v>
      </c>
      <c r="S38" s="1369" t="e">
        <f t="shared" ca="1" si="21"/>
        <v>#VALUE!</v>
      </c>
      <c r="U38" s="13" t="e">
        <f t="shared" ca="1" si="22"/>
        <v>#DIV/0!</v>
      </c>
      <c r="V38" s="13" t="e">
        <f t="shared" ca="1" si="23"/>
        <v>#DIV/0!</v>
      </c>
      <c r="W38" s="13" t="e">
        <f t="shared" ca="1" si="16"/>
        <v>#DIV/0!</v>
      </c>
      <c r="Y38" s="13" t="e">
        <f t="shared" ca="1" si="24"/>
        <v>#N/A</v>
      </c>
      <c r="Z38" s="13" t="e">
        <f t="shared" ca="1" si="25"/>
        <v>#DIV/0!</v>
      </c>
      <c r="AA38" s="13" t="e">
        <f t="shared" ca="1" si="17"/>
        <v>#N/A</v>
      </c>
    </row>
    <row r="39" spans="1:27" x14ac:dyDescent="0.25">
      <c r="A39" s="1366">
        <v>0.35</v>
      </c>
      <c r="B39" s="13">
        <f t="shared" si="4"/>
        <v>0</v>
      </c>
      <c r="C39" s="1367">
        <f t="shared" si="5"/>
        <v>0</v>
      </c>
      <c r="D39" s="1367" t="e">
        <f ca="1">B39*'Ввод исходных данных'!$G$285+C39+IF('Ввод исходных данных'!$D$159=0,7,10)</f>
        <v>#VALUE!</v>
      </c>
      <c r="E39" s="1434" t="e">
        <f t="shared" ca="1" si="6"/>
        <v>#VALUE!</v>
      </c>
      <c r="F39" s="1367" t="e">
        <f t="shared" ca="1" si="7"/>
        <v>#VALUE!</v>
      </c>
      <c r="G39" s="1367" t="e">
        <f t="shared" ca="1" si="8"/>
        <v>#VALUE!</v>
      </c>
      <c r="H39" s="1367" t="e">
        <f t="shared" ca="1" si="9"/>
        <v>#VALUE!</v>
      </c>
      <c r="I39" s="1367" t="e">
        <f t="shared" ca="1" si="10"/>
        <v>#VALUE!</v>
      </c>
      <c r="J39" s="1367" t="e">
        <f t="shared" ca="1" si="11"/>
        <v>#VALUE!</v>
      </c>
      <c r="K39" s="1367" t="e">
        <f t="shared" ca="1" si="12"/>
        <v>#VALUE!</v>
      </c>
      <c r="L39" s="1367" t="e">
        <f t="shared" ca="1" si="13"/>
        <v>#VALUE!</v>
      </c>
      <c r="M39" s="1367" t="e">
        <f t="shared" ca="1" si="14"/>
        <v>#VALUE!</v>
      </c>
      <c r="N39" s="13" t="e">
        <f t="shared" ca="1" si="18"/>
        <v>#VALUE!</v>
      </c>
      <c r="O39" s="13" t="e">
        <f t="shared" ca="1" si="19"/>
        <v>#VALUE!</v>
      </c>
      <c r="P39" s="1369" t="e">
        <f t="shared" ca="1" si="19"/>
        <v>#VALUE!</v>
      </c>
      <c r="Q39" s="13" t="e">
        <f t="shared" ca="1" si="20"/>
        <v>#VALUE!</v>
      </c>
      <c r="R39" s="13" t="e">
        <f t="shared" ca="1" si="21"/>
        <v>#VALUE!</v>
      </c>
      <c r="S39" s="1369" t="e">
        <f t="shared" ca="1" si="21"/>
        <v>#VALUE!</v>
      </c>
      <c r="U39" s="13" t="e">
        <f t="shared" ca="1" si="22"/>
        <v>#DIV/0!</v>
      </c>
      <c r="V39" s="13" t="e">
        <f t="shared" ca="1" si="23"/>
        <v>#DIV/0!</v>
      </c>
      <c r="W39" s="13" t="e">
        <f t="shared" ca="1" si="16"/>
        <v>#DIV/0!</v>
      </c>
      <c r="Y39" s="13" t="e">
        <f t="shared" ca="1" si="24"/>
        <v>#N/A</v>
      </c>
      <c r="Z39" s="13" t="e">
        <f t="shared" ca="1" si="25"/>
        <v>#DIV/0!</v>
      </c>
      <c r="AA39" s="13" t="e">
        <f t="shared" ca="1" si="17"/>
        <v>#N/A</v>
      </c>
    </row>
    <row r="40" spans="1:27" x14ac:dyDescent="0.25">
      <c r="A40" s="1366">
        <v>0.36</v>
      </c>
      <c r="B40" s="13">
        <f t="shared" si="4"/>
        <v>0</v>
      </c>
      <c r="C40" s="1367">
        <f t="shared" si="5"/>
        <v>0</v>
      </c>
      <c r="D40" s="1367" t="e">
        <f ca="1">B40*'Ввод исходных данных'!$G$285+C40+IF('Ввод исходных данных'!$D$159=0,7,10)</f>
        <v>#VALUE!</v>
      </c>
      <c r="E40" s="1434" t="e">
        <f t="shared" ca="1" si="6"/>
        <v>#VALUE!</v>
      </c>
      <c r="F40" s="1367" t="e">
        <f t="shared" ca="1" si="7"/>
        <v>#VALUE!</v>
      </c>
      <c r="G40" s="1367" t="e">
        <f t="shared" ca="1" si="8"/>
        <v>#VALUE!</v>
      </c>
      <c r="H40" s="1367" t="e">
        <f t="shared" ca="1" si="9"/>
        <v>#VALUE!</v>
      </c>
      <c r="I40" s="1367" t="e">
        <f t="shared" ca="1" si="10"/>
        <v>#VALUE!</v>
      </c>
      <c r="J40" s="1367" t="e">
        <f t="shared" ca="1" si="11"/>
        <v>#VALUE!</v>
      </c>
      <c r="K40" s="1367" t="e">
        <f t="shared" ca="1" si="12"/>
        <v>#VALUE!</v>
      </c>
      <c r="L40" s="1367" t="e">
        <f t="shared" ca="1" si="13"/>
        <v>#VALUE!</v>
      </c>
      <c r="M40" s="1367" t="e">
        <f t="shared" ca="1" si="14"/>
        <v>#VALUE!</v>
      </c>
      <c r="N40" s="13" t="e">
        <f t="shared" ca="1" si="18"/>
        <v>#VALUE!</v>
      </c>
      <c r="O40" s="13" t="e">
        <f t="shared" ca="1" si="19"/>
        <v>#VALUE!</v>
      </c>
      <c r="P40" s="1369" t="e">
        <f t="shared" ca="1" si="19"/>
        <v>#VALUE!</v>
      </c>
      <c r="Q40" s="13" t="e">
        <f t="shared" ca="1" si="20"/>
        <v>#VALUE!</v>
      </c>
      <c r="R40" s="13" t="e">
        <f t="shared" ca="1" si="21"/>
        <v>#VALUE!</v>
      </c>
      <c r="S40" s="1369" t="e">
        <f t="shared" ca="1" si="21"/>
        <v>#VALUE!</v>
      </c>
      <c r="U40" s="13" t="e">
        <f t="shared" ca="1" si="22"/>
        <v>#DIV/0!</v>
      </c>
      <c r="V40" s="13" t="e">
        <f t="shared" ca="1" si="23"/>
        <v>#DIV/0!</v>
      </c>
      <c r="W40" s="13" t="e">
        <f t="shared" ca="1" si="16"/>
        <v>#DIV/0!</v>
      </c>
      <c r="Y40" s="13" t="e">
        <f t="shared" ca="1" si="24"/>
        <v>#N/A</v>
      </c>
      <c r="Z40" s="13" t="e">
        <f t="shared" ca="1" si="25"/>
        <v>#DIV/0!</v>
      </c>
      <c r="AA40" s="13" t="e">
        <f t="shared" ca="1" si="17"/>
        <v>#N/A</v>
      </c>
    </row>
    <row r="41" spans="1:27" x14ac:dyDescent="0.25">
      <c r="A41" s="1366">
        <v>0.37</v>
      </c>
      <c r="B41" s="13">
        <f t="shared" si="4"/>
        <v>0</v>
      </c>
      <c r="C41" s="1367">
        <f t="shared" si="5"/>
        <v>0</v>
      </c>
      <c r="D41" s="1367" t="e">
        <f ca="1">B41*'Ввод исходных данных'!$G$285+C41+IF('Ввод исходных данных'!$D$159=0,7,10)</f>
        <v>#VALUE!</v>
      </c>
      <c r="E41" s="1434" t="e">
        <f t="shared" ca="1" si="6"/>
        <v>#VALUE!</v>
      </c>
      <c r="F41" s="1367" t="e">
        <f t="shared" ca="1" si="7"/>
        <v>#VALUE!</v>
      </c>
      <c r="G41" s="1367" t="e">
        <f t="shared" ca="1" si="8"/>
        <v>#VALUE!</v>
      </c>
      <c r="H41" s="1367" t="e">
        <f t="shared" ca="1" si="9"/>
        <v>#VALUE!</v>
      </c>
      <c r="I41" s="1367" t="e">
        <f t="shared" ca="1" si="10"/>
        <v>#VALUE!</v>
      </c>
      <c r="J41" s="1367" t="e">
        <f t="shared" ca="1" si="11"/>
        <v>#VALUE!</v>
      </c>
      <c r="K41" s="1367" t="e">
        <f t="shared" ca="1" si="12"/>
        <v>#VALUE!</v>
      </c>
      <c r="L41" s="1367" t="e">
        <f t="shared" ca="1" si="13"/>
        <v>#VALUE!</v>
      </c>
      <c r="M41" s="1367" t="e">
        <f t="shared" ca="1" si="14"/>
        <v>#VALUE!</v>
      </c>
      <c r="N41" s="13" t="e">
        <f t="shared" ca="1" si="18"/>
        <v>#VALUE!</v>
      </c>
      <c r="O41" s="13" t="e">
        <f t="shared" ca="1" si="19"/>
        <v>#VALUE!</v>
      </c>
      <c r="P41" s="1369" t="e">
        <f t="shared" ca="1" si="19"/>
        <v>#VALUE!</v>
      </c>
      <c r="Q41" s="13" t="e">
        <f t="shared" ca="1" si="20"/>
        <v>#VALUE!</v>
      </c>
      <c r="R41" s="13" t="e">
        <f t="shared" ca="1" si="21"/>
        <v>#VALUE!</v>
      </c>
      <c r="S41" s="1369" t="e">
        <f t="shared" ca="1" si="21"/>
        <v>#VALUE!</v>
      </c>
      <c r="U41" s="13" t="e">
        <f t="shared" ca="1" si="22"/>
        <v>#DIV/0!</v>
      </c>
      <c r="V41" s="13" t="e">
        <f t="shared" ca="1" si="23"/>
        <v>#DIV/0!</v>
      </c>
      <c r="W41" s="13" t="e">
        <f t="shared" ca="1" si="16"/>
        <v>#DIV/0!</v>
      </c>
      <c r="Y41" s="13" t="e">
        <f t="shared" ca="1" si="24"/>
        <v>#N/A</v>
      </c>
      <c r="Z41" s="13" t="e">
        <f t="shared" ca="1" si="25"/>
        <v>#DIV/0!</v>
      </c>
      <c r="AA41" s="13" t="e">
        <f t="shared" ca="1" si="17"/>
        <v>#N/A</v>
      </c>
    </row>
    <row r="42" spans="1:27" x14ac:dyDescent="0.25">
      <c r="A42" s="1366">
        <v>0.38</v>
      </c>
      <c r="B42" s="13">
        <f t="shared" si="4"/>
        <v>0</v>
      </c>
      <c r="C42" s="1367">
        <f t="shared" si="5"/>
        <v>0</v>
      </c>
      <c r="D42" s="1367" t="e">
        <f ca="1">B42*'Ввод исходных данных'!$G$285+C42+IF('Ввод исходных данных'!$D$159=0,7,10)</f>
        <v>#VALUE!</v>
      </c>
      <c r="E42" s="1434" t="e">
        <f t="shared" ca="1" si="6"/>
        <v>#VALUE!</v>
      </c>
      <c r="F42" s="1367" t="e">
        <f t="shared" ca="1" si="7"/>
        <v>#VALUE!</v>
      </c>
      <c r="G42" s="1367" t="e">
        <f t="shared" ca="1" si="8"/>
        <v>#VALUE!</v>
      </c>
      <c r="H42" s="1367" t="e">
        <f t="shared" ca="1" si="9"/>
        <v>#VALUE!</v>
      </c>
      <c r="I42" s="1367" t="e">
        <f t="shared" ca="1" si="10"/>
        <v>#VALUE!</v>
      </c>
      <c r="J42" s="1367" t="e">
        <f t="shared" ca="1" si="11"/>
        <v>#VALUE!</v>
      </c>
      <c r="K42" s="1367" t="e">
        <f t="shared" ca="1" si="12"/>
        <v>#VALUE!</v>
      </c>
      <c r="L42" s="1367" t="e">
        <f t="shared" ca="1" si="13"/>
        <v>#VALUE!</v>
      </c>
      <c r="M42" s="1367" t="e">
        <f t="shared" ca="1" si="14"/>
        <v>#VALUE!</v>
      </c>
      <c r="N42" s="13" t="e">
        <f t="shared" ca="1" si="18"/>
        <v>#VALUE!</v>
      </c>
      <c r="O42" s="13" t="e">
        <f t="shared" ca="1" si="19"/>
        <v>#VALUE!</v>
      </c>
      <c r="P42" s="1369" t="e">
        <f t="shared" ca="1" si="19"/>
        <v>#VALUE!</v>
      </c>
      <c r="Q42" s="13" t="e">
        <f t="shared" ca="1" si="20"/>
        <v>#VALUE!</v>
      </c>
      <c r="R42" s="13" t="e">
        <f t="shared" ca="1" si="21"/>
        <v>#VALUE!</v>
      </c>
      <c r="S42" s="1369" t="e">
        <f t="shared" ca="1" si="21"/>
        <v>#VALUE!</v>
      </c>
      <c r="U42" s="13" t="e">
        <f t="shared" ca="1" si="22"/>
        <v>#DIV/0!</v>
      </c>
      <c r="V42" s="13" t="e">
        <f t="shared" ca="1" si="23"/>
        <v>#DIV/0!</v>
      </c>
      <c r="W42" s="13" t="e">
        <f t="shared" ca="1" si="16"/>
        <v>#DIV/0!</v>
      </c>
      <c r="Y42" s="13" t="e">
        <f t="shared" ca="1" si="24"/>
        <v>#N/A</v>
      </c>
      <c r="Z42" s="13" t="e">
        <f t="shared" ca="1" si="25"/>
        <v>#DIV/0!</v>
      </c>
      <c r="AA42" s="13" t="e">
        <f t="shared" ca="1" si="17"/>
        <v>#N/A</v>
      </c>
    </row>
    <row r="43" spans="1:27" x14ac:dyDescent="0.25">
      <c r="A43" s="1366">
        <v>0.39</v>
      </c>
      <c r="B43" s="13">
        <f t="shared" si="4"/>
        <v>0</v>
      </c>
      <c r="C43" s="1367">
        <f t="shared" si="5"/>
        <v>0</v>
      </c>
      <c r="D43" s="1367" t="e">
        <f ca="1">B43*'Ввод исходных данных'!$G$285+C43+IF('Ввод исходных данных'!$D$159=0,7,10)</f>
        <v>#VALUE!</v>
      </c>
      <c r="E43" s="1434" t="e">
        <f t="shared" ca="1" si="6"/>
        <v>#VALUE!</v>
      </c>
      <c r="F43" s="1367" t="e">
        <f t="shared" ca="1" si="7"/>
        <v>#VALUE!</v>
      </c>
      <c r="G43" s="1367" t="e">
        <f t="shared" ca="1" si="8"/>
        <v>#VALUE!</v>
      </c>
      <c r="H43" s="1367" t="e">
        <f t="shared" ca="1" si="9"/>
        <v>#VALUE!</v>
      </c>
      <c r="I43" s="1367" t="e">
        <f t="shared" ca="1" si="10"/>
        <v>#VALUE!</v>
      </c>
      <c r="J43" s="1367" t="e">
        <f t="shared" ca="1" si="11"/>
        <v>#VALUE!</v>
      </c>
      <c r="K43" s="1367" t="e">
        <f t="shared" ca="1" si="12"/>
        <v>#VALUE!</v>
      </c>
      <c r="L43" s="1367" t="e">
        <f t="shared" ca="1" si="13"/>
        <v>#VALUE!</v>
      </c>
      <c r="M43" s="1367" t="e">
        <f t="shared" ca="1" si="14"/>
        <v>#VALUE!</v>
      </c>
      <c r="N43" s="13" t="e">
        <f t="shared" ca="1" si="18"/>
        <v>#VALUE!</v>
      </c>
      <c r="O43" s="13" t="e">
        <f t="shared" ca="1" si="19"/>
        <v>#VALUE!</v>
      </c>
      <c r="P43" s="1369" t="e">
        <f t="shared" ca="1" si="19"/>
        <v>#VALUE!</v>
      </c>
      <c r="Q43" s="13" t="e">
        <f t="shared" ca="1" si="20"/>
        <v>#VALUE!</v>
      </c>
      <c r="R43" s="13" t="e">
        <f t="shared" ca="1" si="21"/>
        <v>#VALUE!</v>
      </c>
      <c r="S43" s="1369" t="e">
        <f t="shared" ca="1" si="21"/>
        <v>#VALUE!</v>
      </c>
      <c r="U43" s="13" t="e">
        <f t="shared" ca="1" si="22"/>
        <v>#DIV/0!</v>
      </c>
      <c r="V43" s="13" t="e">
        <f t="shared" ca="1" si="23"/>
        <v>#DIV/0!</v>
      </c>
      <c r="W43" s="13" t="e">
        <f t="shared" ca="1" si="16"/>
        <v>#DIV/0!</v>
      </c>
      <c r="Y43" s="13" t="e">
        <f t="shared" ca="1" si="24"/>
        <v>#N/A</v>
      </c>
      <c r="Z43" s="13" t="e">
        <f t="shared" ca="1" si="25"/>
        <v>#DIV/0!</v>
      </c>
      <c r="AA43" s="13" t="e">
        <f t="shared" ca="1" si="17"/>
        <v>#N/A</v>
      </c>
    </row>
    <row r="44" spans="1:27" x14ac:dyDescent="0.25">
      <c r="A44" s="1366">
        <v>0.4</v>
      </c>
      <c r="B44" s="13">
        <f t="shared" si="4"/>
        <v>0</v>
      </c>
      <c r="C44" s="1367">
        <f t="shared" si="5"/>
        <v>0</v>
      </c>
      <c r="D44" s="1367" t="e">
        <f ca="1">B44*'Ввод исходных данных'!$G$285+C44+IF('Ввод исходных данных'!$D$159=0,7,10)</f>
        <v>#VALUE!</v>
      </c>
      <c r="E44" s="1434" t="e">
        <f t="shared" ca="1" si="6"/>
        <v>#VALUE!</v>
      </c>
      <c r="F44" s="1367" t="e">
        <f t="shared" ca="1" si="7"/>
        <v>#VALUE!</v>
      </c>
      <c r="G44" s="1367" t="e">
        <f t="shared" ca="1" si="8"/>
        <v>#VALUE!</v>
      </c>
      <c r="H44" s="1367" t="e">
        <f t="shared" ca="1" si="9"/>
        <v>#VALUE!</v>
      </c>
      <c r="I44" s="1367" t="e">
        <f t="shared" ca="1" si="10"/>
        <v>#VALUE!</v>
      </c>
      <c r="J44" s="1367" t="e">
        <f t="shared" ca="1" si="11"/>
        <v>#VALUE!</v>
      </c>
      <c r="K44" s="1367" t="e">
        <f t="shared" ca="1" si="12"/>
        <v>#VALUE!</v>
      </c>
      <c r="L44" s="1367" t="e">
        <f t="shared" ca="1" si="13"/>
        <v>#VALUE!</v>
      </c>
      <c r="M44" s="1367" t="e">
        <f t="shared" ca="1" si="14"/>
        <v>#VALUE!</v>
      </c>
      <c r="N44" s="13" t="e">
        <f t="shared" ca="1" si="18"/>
        <v>#VALUE!</v>
      </c>
      <c r="O44" s="13" t="e">
        <f t="shared" ca="1" si="19"/>
        <v>#VALUE!</v>
      </c>
      <c r="P44" s="1369" t="e">
        <f t="shared" ca="1" si="19"/>
        <v>#VALUE!</v>
      </c>
      <c r="Q44" s="13" t="e">
        <f t="shared" ca="1" si="20"/>
        <v>#VALUE!</v>
      </c>
      <c r="R44" s="13" t="e">
        <f t="shared" ca="1" si="21"/>
        <v>#VALUE!</v>
      </c>
      <c r="S44" s="1369" t="e">
        <f t="shared" ca="1" si="21"/>
        <v>#VALUE!</v>
      </c>
      <c r="U44" s="13" t="e">
        <f t="shared" ca="1" si="22"/>
        <v>#DIV/0!</v>
      </c>
      <c r="V44" s="13" t="e">
        <f t="shared" ca="1" si="23"/>
        <v>#DIV/0!</v>
      </c>
      <c r="W44" s="13" t="e">
        <f t="shared" ca="1" si="16"/>
        <v>#DIV/0!</v>
      </c>
      <c r="Y44" s="13" t="e">
        <f t="shared" ca="1" si="24"/>
        <v>#N/A</v>
      </c>
      <c r="Z44" s="13" t="e">
        <f t="shared" ca="1" si="25"/>
        <v>#DIV/0!</v>
      </c>
      <c r="AA44" s="13" t="e">
        <f t="shared" ca="1" si="17"/>
        <v>#N/A</v>
      </c>
    </row>
    <row r="45" spans="1:27" x14ac:dyDescent="0.25">
      <c r="A45" s="1366">
        <v>0.41</v>
      </c>
      <c r="B45" s="13">
        <f t="shared" si="4"/>
        <v>0</v>
      </c>
      <c r="C45" s="1367">
        <f t="shared" si="5"/>
        <v>0</v>
      </c>
      <c r="D45" s="1367" t="e">
        <f ca="1">B45*'Ввод исходных данных'!$G$285+C45+IF('Ввод исходных данных'!$D$159=0,7,10)</f>
        <v>#VALUE!</v>
      </c>
      <c r="E45" s="1434" t="e">
        <f t="shared" ca="1" si="6"/>
        <v>#VALUE!</v>
      </c>
      <c r="F45" s="1367" t="e">
        <f t="shared" ca="1" si="7"/>
        <v>#VALUE!</v>
      </c>
      <c r="G45" s="1367" t="e">
        <f t="shared" ca="1" si="8"/>
        <v>#VALUE!</v>
      </c>
      <c r="H45" s="1367" t="e">
        <f t="shared" ca="1" si="9"/>
        <v>#VALUE!</v>
      </c>
      <c r="I45" s="1367" t="e">
        <f t="shared" ca="1" si="10"/>
        <v>#VALUE!</v>
      </c>
      <c r="J45" s="1367" t="e">
        <f t="shared" ca="1" si="11"/>
        <v>#VALUE!</v>
      </c>
      <c r="K45" s="1367" t="e">
        <f t="shared" ca="1" si="12"/>
        <v>#VALUE!</v>
      </c>
      <c r="L45" s="1367" t="e">
        <f t="shared" ca="1" si="13"/>
        <v>#VALUE!</v>
      </c>
      <c r="M45" s="1367" t="e">
        <f t="shared" ca="1" si="14"/>
        <v>#VALUE!</v>
      </c>
      <c r="N45" s="13" t="e">
        <f t="shared" ca="1" si="18"/>
        <v>#VALUE!</v>
      </c>
      <c r="O45" s="13" t="e">
        <f t="shared" ca="1" si="19"/>
        <v>#VALUE!</v>
      </c>
      <c r="P45" s="1369" t="e">
        <f t="shared" ca="1" si="19"/>
        <v>#VALUE!</v>
      </c>
      <c r="Q45" s="13" t="e">
        <f t="shared" ca="1" si="20"/>
        <v>#VALUE!</v>
      </c>
      <c r="R45" s="13" t="e">
        <f t="shared" ca="1" si="21"/>
        <v>#VALUE!</v>
      </c>
      <c r="S45" s="1369" t="e">
        <f t="shared" ca="1" si="21"/>
        <v>#VALUE!</v>
      </c>
      <c r="U45" s="13" t="e">
        <f t="shared" ca="1" si="22"/>
        <v>#DIV/0!</v>
      </c>
      <c r="V45" s="13" t="e">
        <f t="shared" ca="1" si="23"/>
        <v>#DIV/0!</v>
      </c>
      <c r="W45" s="13" t="e">
        <f t="shared" ca="1" si="16"/>
        <v>#DIV/0!</v>
      </c>
      <c r="Y45" s="13" t="e">
        <f t="shared" ca="1" si="24"/>
        <v>#N/A</v>
      </c>
      <c r="Z45" s="13" t="e">
        <f t="shared" ca="1" si="25"/>
        <v>#DIV/0!</v>
      </c>
      <c r="AA45" s="13" t="e">
        <f t="shared" ca="1" si="17"/>
        <v>#N/A</v>
      </c>
    </row>
    <row r="46" spans="1:27" x14ac:dyDescent="0.25">
      <c r="A46" s="1366">
        <v>0.42</v>
      </c>
      <c r="B46" s="13">
        <f t="shared" si="4"/>
        <v>0</v>
      </c>
      <c r="C46" s="1367">
        <f t="shared" si="5"/>
        <v>0</v>
      </c>
      <c r="D46" s="1367" t="e">
        <f ca="1">B46*'Ввод исходных данных'!$G$285+C46+IF('Ввод исходных данных'!$D$159=0,7,10)</f>
        <v>#VALUE!</v>
      </c>
      <c r="E46" s="1434" t="e">
        <f t="shared" ca="1" si="6"/>
        <v>#VALUE!</v>
      </c>
      <c r="F46" s="1367" t="e">
        <f t="shared" ca="1" si="7"/>
        <v>#VALUE!</v>
      </c>
      <c r="G46" s="1367" t="e">
        <f t="shared" ca="1" si="8"/>
        <v>#VALUE!</v>
      </c>
      <c r="H46" s="1367" t="e">
        <f t="shared" ca="1" si="9"/>
        <v>#VALUE!</v>
      </c>
      <c r="I46" s="1367" t="e">
        <f t="shared" ca="1" si="10"/>
        <v>#VALUE!</v>
      </c>
      <c r="J46" s="1367" t="e">
        <f t="shared" ca="1" si="11"/>
        <v>#VALUE!</v>
      </c>
      <c r="K46" s="1367" t="e">
        <f t="shared" ca="1" si="12"/>
        <v>#VALUE!</v>
      </c>
      <c r="L46" s="1367" t="e">
        <f t="shared" ca="1" si="13"/>
        <v>#VALUE!</v>
      </c>
      <c r="M46" s="1367" t="e">
        <f t="shared" ca="1" si="14"/>
        <v>#VALUE!</v>
      </c>
      <c r="N46" s="13" t="e">
        <f t="shared" ca="1" si="18"/>
        <v>#VALUE!</v>
      </c>
      <c r="O46" s="13" t="e">
        <f t="shared" ca="1" si="19"/>
        <v>#VALUE!</v>
      </c>
      <c r="P46" s="1369" t="e">
        <f t="shared" ca="1" si="19"/>
        <v>#VALUE!</v>
      </c>
      <c r="Q46" s="13" t="e">
        <f t="shared" ca="1" si="20"/>
        <v>#VALUE!</v>
      </c>
      <c r="R46" s="13" t="e">
        <f t="shared" ca="1" si="21"/>
        <v>#VALUE!</v>
      </c>
      <c r="S46" s="1369" t="e">
        <f t="shared" ca="1" si="21"/>
        <v>#VALUE!</v>
      </c>
      <c r="U46" s="13" t="e">
        <f t="shared" ca="1" si="22"/>
        <v>#DIV/0!</v>
      </c>
      <c r="V46" s="13" t="e">
        <f t="shared" ca="1" si="23"/>
        <v>#DIV/0!</v>
      </c>
      <c r="W46" s="13" t="e">
        <f t="shared" ca="1" si="16"/>
        <v>#DIV/0!</v>
      </c>
      <c r="Y46" s="13" t="e">
        <f t="shared" ca="1" si="24"/>
        <v>#N/A</v>
      </c>
      <c r="Z46" s="13" t="e">
        <f t="shared" ca="1" si="25"/>
        <v>#DIV/0!</v>
      </c>
      <c r="AA46" s="13" t="e">
        <f t="shared" ca="1" si="17"/>
        <v>#N/A</v>
      </c>
    </row>
    <row r="47" spans="1:27" x14ac:dyDescent="0.25">
      <c r="A47" s="1366">
        <v>0.43</v>
      </c>
      <c r="B47" s="13">
        <f t="shared" si="4"/>
        <v>0</v>
      </c>
      <c r="C47" s="1367">
        <f t="shared" si="5"/>
        <v>0</v>
      </c>
      <c r="D47" s="1367" t="e">
        <f ca="1">B47*'Ввод исходных данных'!$G$285+C47+IF('Ввод исходных данных'!$D$159=0,7,10)</f>
        <v>#VALUE!</v>
      </c>
      <c r="E47" s="1434" t="e">
        <f t="shared" ca="1" si="6"/>
        <v>#VALUE!</v>
      </c>
      <c r="F47" s="1367" t="e">
        <f t="shared" ca="1" si="7"/>
        <v>#VALUE!</v>
      </c>
      <c r="G47" s="1367" t="e">
        <f t="shared" ca="1" si="8"/>
        <v>#VALUE!</v>
      </c>
      <c r="H47" s="1367" t="e">
        <f t="shared" ca="1" si="9"/>
        <v>#VALUE!</v>
      </c>
      <c r="I47" s="1367" t="e">
        <f t="shared" ca="1" si="10"/>
        <v>#VALUE!</v>
      </c>
      <c r="J47" s="1367" t="e">
        <f t="shared" ca="1" si="11"/>
        <v>#VALUE!</v>
      </c>
      <c r="K47" s="1367" t="e">
        <f t="shared" ca="1" si="12"/>
        <v>#VALUE!</v>
      </c>
      <c r="L47" s="1367" t="e">
        <f t="shared" ca="1" si="13"/>
        <v>#VALUE!</v>
      </c>
      <c r="M47" s="1367" t="e">
        <f t="shared" ca="1" si="14"/>
        <v>#VALUE!</v>
      </c>
      <c r="N47" s="13" t="e">
        <f t="shared" ca="1" si="18"/>
        <v>#VALUE!</v>
      </c>
      <c r="O47" s="13" t="e">
        <f t="shared" ca="1" si="19"/>
        <v>#VALUE!</v>
      </c>
      <c r="P47" s="1369" t="e">
        <f t="shared" ca="1" si="19"/>
        <v>#VALUE!</v>
      </c>
      <c r="Q47" s="13" t="e">
        <f t="shared" ca="1" si="20"/>
        <v>#VALUE!</v>
      </c>
      <c r="R47" s="13" t="e">
        <f t="shared" ca="1" si="21"/>
        <v>#VALUE!</v>
      </c>
      <c r="S47" s="1369" t="e">
        <f t="shared" ca="1" si="21"/>
        <v>#VALUE!</v>
      </c>
      <c r="U47" s="13" t="e">
        <f t="shared" ca="1" si="22"/>
        <v>#DIV/0!</v>
      </c>
      <c r="V47" s="13" t="e">
        <f t="shared" ca="1" si="23"/>
        <v>#DIV/0!</v>
      </c>
      <c r="W47" s="13" t="e">
        <f t="shared" ca="1" si="16"/>
        <v>#DIV/0!</v>
      </c>
      <c r="Y47" s="13" t="e">
        <f t="shared" ca="1" si="24"/>
        <v>#N/A</v>
      </c>
      <c r="Z47" s="13" t="e">
        <f t="shared" ca="1" si="25"/>
        <v>#DIV/0!</v>
      </c>
      <c r="AA47" s="13" t="e">
        <f t="shared" ca="1" si="17"/>
        <v>#N/A</v>
      </c>
    </row>
    <row r="48" spans="1:27" x14ac:dyDescent="0.25">
      <c r="A48" s="1366">
        <v>0.44</v>
      </c>
      <c r="B48" s="13">
        <f t="shared" si="4"/>
        <v>0</v>
      </c>
      <c r="C48" s="1367">
        <f t="shared" si="5"/>
        <v>0</v>
      </c>
      <c r="D48" s="1367" t="e">
        <f ca="1">B48*'Ввод исходных данных'!$G$285+C48+IF('Ввод исходных данных'!$D$159=0,7,10)</f>
        <v>#VALUE!</v>
      </c>
      <c r="E48" s="1434" t="e">
        <f t="shared" ca="1" si="6"/>
        <v>#VALUE!</v>
      </c>
      <c r="F48" s="1367" t="e">
        <f t="shared" ca="1" si="7"/>
        <v>#VALUE!</v>
      </c>
      <c r="G48" s="1367" t="e">
        <f t="shared" ca="1" si="8"/>
        <v>#VALUE!</v>
      </c>
      <c r="H48" s="1367" t="e">
        <f t="shared" ca="1" si="9"/>
        <v>#VALUE!</v>
      </c>
      <c r="I48" s="1367" t="e">
        <f t="shared" ca="1" si="10"/>
        <v>#VALUE!</v>
      </c>
      <c r="J48" s="1367" t="e">
        <f t="shared" ca="1" si="11"/>
        <v>#VALUE!</v>
      </c>
      <c r="K48" s="1367" t="e">
        <f t="shared" ca="1" si="12"/>
        <v>#VALUE!</v>
      </c>
      <c r="L48" s="1367" t="e">
        <f t="shared" ca="1" si="13"/>
        <v>#VALUE!</v>
      </c>
      <c r="M48" s="1367" t="e">
        <f t="shared" ca="1" si="14"/>
        <v>#VALUE!</v>
      </c>
      <c r="N48" s="13" t="e">
        <f t="shared" ca="1" si="18"/>
        <v>#VALUE!</v>
      </c>
      <c r="O48" s="13" t="e">
        <f t="shared" ca="1" si="19"/>
        <v>#VALUE!</v>
      </c>
      <c r="P48" s="1369" t="e">
        <f t="shared" ca="1" si="19"/>
        <v>#VALUE!</v>
      </c>
      <c r="Q48" s="13" t="e">
        <f t="shared" ca="1" si="20"/>
        <v>#VALUE!</v>
      </c>
      <c r="R48" s="13" t="e">
        <f t="shared" ca="1" si="21"/>
        <v>#VALUE!</v>
      </c>
      <c r="S48" s="1369" t="e">
        <f t="shared" ca="1" si="21"/>
        <v>#VALUE!</v>
      </c>
      <c r="U48" s="13" t="e">
        <f t="shared" ca="1" si="22"/>
        <v>#DIV/0!</v>
      </c>
      <c r="V48" s="13" t="e">
        <f t="shared" ca="1" si="23"/>
        <v>#DIV/0!</v>
      </c>
      <c r="W48" s="13" t="e">
        <f t="shared" ca="1" si="16"/>
        <v>#DIV/0!</v>
      </c>
      <c r="Y48" s="13" t="e">
        <f t="shared" ca="1" si="24"/>
        <v>#N/A</v>
      </c>
      <c r="Z48" s="13" t="e">
        <f t="shared" ca="1" si="25"/>
        <v>#DIV/0!</v>
      </c>
      <c r="AA48" s="13" t="e">
        <f t="shared" ca="1" si="17"/>
        <v>#N/A</v>
      </c>
    </row>
    <row r="49" spans="1:27" x14ac:dyDescent="0.25">
      <c r="A49" s="1366">
        <v>0.45</v>
      </c>
      <c r="B49" s="13">
        <f t="shared" si="4"/>
        <v>0</v>
      </c>
      <c r="C49" s="1367">
        <f t="shared" si="5"/>
        <v>0</v>
      </c>
      <c r="D49" s="1367" t="e">
        <f ca="1">B49*'Ввод исходных данных'!$G$285+C49+IF('Ввод исходных данных'!$D$159=0,7,10)</f>
        <v>#VALUE!</v>
      </c>
      <c r="E49" s="1434" t="e">
        <f t="shared" ca="1" si="6"/>
        <v>#VALUE!</v>
      </c>
      <c r="F49" s="1367" t="e">
        <f t="shared" ca="1" si="7"/>
        <v>#VALUE!</v>
      </c>
      <c r="G49" s="1367" t="e">
        <f t="shared" ca="1" si="8"/>
        <v>#VALUE!</v>
      </c>
      <c r="H49" s="1367" t="e">
        <f t="shared" ca="1" si="9"/>
        <v>#VALUE!</v>
      </c>
      <c r="I49" s="1367" t="e">
        <f t="shared" ca="1" si="10"/>
        <v>#VALUE!</v>
      </c>
      <c r="J49" s="1367" t="e">
        <f t="shared" ca="1" si="11"/>
        <v>#VALUE!</v>
      </c>
      <c r="K49" s="1367" t="e">
        <f t="shared" ca="1" si="12"/>
        <v>#VALUE!</v>
      </c>
      <c r="L49" s="1367" t="e">
        <f t="shared" ca="1" si="13"/>
        <v>#VALUE!</v>
      </c>
      <c r="M49" s="1367" t="e">
        <f t="shared" ca="1" si="14"/>
        <v>#VALUE!</v>
      </c>
      <c r="N49" s="13" t="e">
        <f t="shared" ca="1" si="18"/>
        <v>#VALUE!</v>
      </c>
      <c r="O49" s="13" t="e">
        <f t="shared" ca="1" si="19"/>
        <v>#VALUE!</v>
      </c>
      <c r="P49" s="1369" t="e">
        <f t="shared" ca="1" si="19"/>
        <v>#VALUE!</v>
      </c>
      <c r="Q49" s="13" t="e">
        <f t="shared" ca="1" si="20"/>
        <v>#VALUE!</v>
      </c>
      <c r="R49" s="13" t="e">
        <f t="shared" ca="1" si="21"/>
        <v>#VALUE!</v>
      </c>
      <c r="S49" s="1369" t="e">
        <f t="shared" ca="1" si="21"/>
        <v>#VALUE!</v>
      </c>
      <c r="U49" s="13" t="e">
        <f t="shared" ca="1" si="22"/>
        <v>#DIV/0!</v>
      </c>
      <c r="V49" s="13" t="e">
        <f t="shared" ca="1" si="23"/>
        <v>#DIV/0!</v>
      </c>
      <c r="W49" s="13" t="e">
        <f t="shared" ca="1" si="16"/>
        <v>#DIV/0!</v>
      </c>
      <c r="Y49" s="13" t="e">
        <f t="shared" ca="1" si="24"/>
        <v>#N/A</v>
      </c>
      <c r="Z49" s="13" t="e">
        <f t="shared" ca="1" si="25"/>
        <v>#DIV/0!</v>
      </c>
      <c r="AA49" s="13" t="e">
        <f t="shared" ca="1" si="17"/>
        <v>#N/A</v>
      </c>
    </row>
    <row r="50" spans="1:27" x14ac:dyDescent="0.25">
      <c r="A50" s="1366">
        <v>0.46</v>
      </c>
      <c r="B50" s="13">
        <f t="shared" si="4"/>
        <v>0</v>
      </c>
      <c r="C50" s="1367">
        <f t="shared" si="5"/>
        <v>0</v>
      </c>
      <c r="D50" s="1367" t="e">
        <f ca="1">B50*'Ввод исходных данных'!$G$285+C50+IF('Ввод исходных данных'!$D$159=0,7,10)</f>
        <v>#VALUE!</v>
      </c>
      <c r="E50" s="1434" t="e">
        <f t="shared" ca="1" si="6"/>
        <v>#VALUE!</v>
      </c>
      <c r="F50" s="1367" t="e">
        <f t="shared" ca="1" si="7"/>
        <v>#VALUE!</v>
      </c>
      <c r="G50" s="1367" t="e">
        <f t="shared" ca="1" si="8"/>
        <v>#VALUE!</v>
      </c>
      <c r="H50" s="1367" t="e">
        <f t="shared" ca="1" si="9"/>
        <v>#VALUE!</v>
      </c>
      <c r="I50" s="1367" t="e">
        <f t="shared" ca="1" si="10"/>
        <v>#VALUE!</v>
      </c>
      <c r="J50" s="1367" t="e">
        <f t="shared" ca="1" si="11"/>
        <v>#VALUE!</v>
      </c>
      <c r="K50" s="1367" t="e">
        <f t="shared" ca="1" si="12"/>
        <v>#VALUE!</v>
      </c>
      <c r="L50" s="1367" t="e">
        <f t="shared" ca="1" si="13"/>
        <v>#VALUE!</v>
      </c>
      <c r="M50" s="1367" t="e">
        <f t="shared" ca="1" si="14"/>
        <v>#VALUE!</v>
      </c>
      <c r="N50" s="13" t="e">
        <f t="shared" ca="1" si="18"/>
        <v>#VALUE!</v>
      </c>
      <c r="O50" s="13" t="e">
        <f t="shared" ca="1" si="19"/>
        <v>#VALUE!</v>
      </c>
      <c r="P50" s="1369" t="e">
        <f t="shared" ca="1" si="19"/>
        <v>#VALUE!</v>
      </c>
      <c r="Q50" s="13" t="e">
        <f t="shared" ca="1" si="20"/>
        <v>#VALUE!</v>
      </c>
      <c r="R50" s="13" t="e">
        <f t="shared" ca="1" si="21"/>
        <v>#VALUE!</v>
      </c>
      <c r="S50" s="1369" t="e">
        <f t="shared" ca="1" si="21"/>
        <v>#VALUE!</v>
      </c>
      <c r="U50" s="13" t="e">
        <f t="shared" ca="1" si="22"/>
        <v>#DIV/0!</v>
      </c>
      <c r="V50" s="13" t="e">
        <f t="shared" ca="1" si="23"/>
        <v>#DIV/0!</v>
      </c>
      <c r="W50" s="13" t="e">
        <f t="shared" ca="1" si="16"/>
        <v>#DIV/0!</v>
      </c>
      <c r="Y50" s="13" t="e">
        <f t="shared" ca="1" si="24"/>
        <v>#N/A</v>
      </c>
      <c r="Z50" s="13" t="e">
        <f t="shared" ca="1" si="25"/>
        <v>#DIV/0!</v>
      </c>
      <c r="AA50" s="13" t="e">
        <f t="shared" ca="1" si="17"/>
        <v>#N/A</v>
      </c>
    </row>
    <row r="51" spans="1:27" x14ac:dyDescent="0.25">
      <c r="A51" s="1366">
        <v>0.47</v>
      </c>
      <c r="B51" s="13">
        <f t="shared" si="4"/>
        <v>0</v>
      </c>
      <c r="C51" s="1367">
        <f t="shared" si="5"/>
        <v>0</v>
      </c>
      <c r="D51" s="1367" t="e">
        <f ca="1">B51*'Ввод исходных данных'!$G$285+C51+IF('Ввод исходных данных'!$D$159=0,7,10)</f>
        <v>#VALUE!</v>
      </c>
      <c r="E51" s="1434" t="e">
        <f t="shared" ca="1" si="6"/>
        <v>#VALUE!</v>
      </c>
      <c r="F51" s="1367" t="e">
        <f t="shared" ca="1" si="7"/>
        <v>#VALUE!</v>
      </c>
      <c r="G51" s="1367" t="e">
        <f t="shared" ca="1" si="8"/>
        <v>#VALUE!</v>
      </c>
      <c r="H51" s="1367" t="e">
        <f t="shared" ca="1" si="9"/>
        <v>#VALUE!</v>
      </c>
      <c r="I51" s="1367" t="e">
        <f t="shared" ca="1" si="10"/>
        <v>#VALUE!</v>
      </c>
      <c r="J51" s="1367" t="e">
        <f t="shared" ca="1" si="11"/>
        <v>#VALUE!</v>
      </c>
      <c r="K51" s="1367" t="e">
        <f t="shared" ca="1" si="12"/>
        <v>#VALUE!</v>
      </c>
      <c r="L51" s="1367" t="e">
        <f t="shared" ca="1" si="13"/>
        <v>#VALUE!</v>
      </c>
      <c r="M51" s="1367" t="e">
        <f t="shared" ca="1" si="14"/>
        <v>#VALUE!</v>
      </c>
      <c r="N51" s="13" t="e">
        <f t="shared" ca="1" si="18"/>
        <v>#VALUE!</v>
      </c>
      <c r="O51" s="13" t="e">
        <f t="shared" ca="1" si="19"/>
        <v>#VALUE!</v>
      </c>
      <c r="P51" s="1369" t="e">
        <f t="shared" ca="1" si="19"/>
        <v>#VALUE!</v>
      </c>
      <c r="Q51" s="13" t="e">
        <f t="shared" ca="1" si="20"/>
        <v>#VALUE!</v>
      </c>
      <c r="R51" s="13" t="e">
        <f t="shared" ca="1" si="21"/>
        <v>#VALUE!</v>
      </c>
      <c r="S51" s="1369" t="e">
        <f t="shared" ca="1" si="21"/>
        <v>#VALUE!</v>
      </c>
      <c r="U51" s="13" t="e">
        <f t="shared" ca="1" si="22"/>
        <v>#DIV/0!</v>
      </c>
      <c r="V51" s="13" t="e">
        <f t="shared" ca="1" si="23"/>
        <v>#DIV/0!</v>
      </c>
      <c r="W51" s="13" t="e">
        <f t="shared" ca="1" si="16"/>
        <v>#DIV/0!</v>
      </c>
      <c r="Y51" s="13" t="e">
        <f t="shared" ca="1" si="24"/>
        <v>#N/A</v>
      </c>
      <c r="Z51" s="13" t="e">
        <f t="shared" ca="1" si="25"/>
        <v>#DIV/0!</v>
      </c>
      <c r="AA51" s="13" t="e">
        <f t="shared" ca="1" si="17"/>
        <v>#N/A</v>
      </c>
    </row>
    <row r="52" spans="1:27" x14ac:dyDescent="0.25">
      <c r="A52" s="1366">
        <v>0.48</v>
      </c>
      <c r="B52" s="13">
        <f t="shared" si="4"/>
        <v>0</v>
      </c>
      <c r="C52" s="1367">
        <f t="shared" si="5"/>
        <v>0</v>
      </c>
      <c r="D52" s="1367" t="e">
        <f ca="1">B52*'Ввод исходных данных'!$G$285+C52+IF('Ввод исходных данных'!$D$159=0,7,10)</f>
        <v>#VALUE!</v>
      </c>
      <c r="E52" s="1434" t="e">
        <f t="shared" ca="1" si="6"/>
        <v>#VALUE!</v>
      </c>
      <c r="F52" s="1367" t="e">
        <f t="shared" ca="1" si="7"/>
        <v>#VALUE!</v>
      </c>
      <c r="G52" s="1367" t="e">
        <f t="shared" ca="1" si="8"/>
        <v>#VALUE!</v>
      </c>
      <c r="H52" s="1367" t="e">
        <f t="shared" ca="1" si="9"/>
        <v>#VALUE!</v>
      </c>
      <c r="I52" s="1367" t="e">
        <f t="shared" ca="1" si="10"/>
        <v>#VALUE!</v>
      </c>
      <c r="J52" s="1367" t="e">
        <f t="shared" ca="1" si="11"/>
        <v>#VALUE!</v>
      </c>
      <c r="K52" s="1367" t="e">
        <f t="shared" ca="1" si="12"/>
        <v>#VALUE!</v>
      </c>
      <c r="L52" s="1367" t="e">
        <f t="shared" ca="1" si="13"/>
        <v>#VALUE!</v>
      </c>
      <c r="M52" s="1367" t="e">
        <f t="shared" ca="1" si="14"/>
        <v>#VALUE!</v>
      </c>
      <c r="N52" s="13" t="e">
        <f t="shared" ca="1" si="18"/>
        <v>#VALUE!</v>
      </c>
      <c r="O52" s="13" t="e">
        <f t="shared" ca="1" si="19"/>
        <v>#VALUE!</v>
      </c>
      <c r="P52" s="1369" t="e">
        <f t="shared" ca="1" si="19"/>
        <v>#VALUE!</v>
      </c>
      <c r="Q52" s="13" t="e">
        <f t="shared" ca="1" si="20"/>
        <v>#VALUE!</v>
      </c>
      <c r="R52" s="13" t="e">
        <f t="shared" ca="1" si="21"/>
        <v>#VALUE!</v>
      </c>
      <c r="S52" s="1369" t="e">
        <f t="shared" ca="1" si="21"/>
        <v>#VALUE!</v>
      </c>
      <c r="U52" s="13" t="e">
        <f t="shared" ca="1" si="22"/>
        <v>#DIV/0!</v>
      </c>
      <c r="V52" s="13" t="e">
        <f t="shared" ca="1" si="23"/>
        <v>#DIV/0!</v>
      </c>
      <c r="W52" s="13" t="e">
        <f t="shared" ca="1" si="16"/>
        <v>#DIV/0!</v>
      </c>
      <c r="Y52" s="13" t="e">
        <f t="shared" ca="1" si="24"/>
        <v>#N/A</v>
      </c>
      <c r="Z52" s="13" t="e">
        <f t="shared" ca="1" si="25"/>
        <v>#DIV/0!</v>
      </c>
      <c r="AA52" s="13" t="e">
        <f t="shared" ca="1" si="17"/>
        <v>#N/A</v>
      </c>
    </row>
    <row r="53" spans="1:27" x14ac:dyDescent="0.25">
      <c r="A53" s="1366">
        <v>0.49</v>
      </c>
      <c r="B53" s="13">
        <f t="shared" si="4"/>
        <v>0</v>
      </c>
      <c r="C53" s="1367">
        <f t="shared" si="5"/>
        <v>0</v>
      </c>
      <c r="D53" s="1367" t="e">
        <f ca="1">B53*'Ввод исходных данных'!$G$285+C53+IF('Ввод исходных данных'!$D$159=0,7,10)</f>
        <v>#VALUE!</v>
      </c>
      <c r="E53" s="1434" t="e">
        <f t="shared" ca="1" si="6"/>
        <v>#VALUE!</v>
      </c>
      <c r="F53" s="1367" t="e">
        <f t="shared" ca="1" si="7"/>
        <v>#VALUE!</v>
      </c>
      <c r="G53" s="1367" t="e">
        <f t="shared" ca="1" si="8"/>
        <v>#VALUE!</v>
      </c>
      <c r="H53" s="1367" t="e">
        <f t="shared" ca="1" si="9"/>
        <v>#VALUE!</v>
      </c>
      <c r="I53" s="1367" t="e">
        <f t="shared" ca="1" si="10"/>
        <v>#VALUE!</v>
      </c>
      <c r="J53" s="1367" t="e">
        <f t="shared" ca="1" si="11"/>
        <v>#VALUE!</v>
      </c>
      <c r="K53" s="1367" t="e">
        <f t="shared" ca="1" si="12"/>
        <v>#VALUE!</v>
      </c>
      <c r="L53" s="1367" t="e">
        <f t="shared" ca="1" si="13"/>
        <v>#VALUE!</v>
      </c>
      <c r="M53" s="1367" t="e">
        <f t="shared" ca="1" si="14"/>
        <v>#VALUE!</v>
      </c>
      <c r="N53" s="13" t="e">
        <f t="shared" ca="1" si="18"/>
        <v>#VALUE!</v>
      </c>
      <c r="O53" s="13" t="e">
        <f t="shared" ca="1" si="19"/>
        <v>#VALUE!</v>
      </c>
      <c r="P53" s="1369" t="e">
        <f t="shared" ca="1" si="19"/>
        <v>#VALUE!</v>
      </c>
      <c r="Q53" s="13" t="e">
        <f t="shared" ca="1" si="20"/>
        <v>#VALUE!</v>
      </c>
      <c r="R53" s="13" t="e">
        <f t="shared" ca="1" si="21"/>
        <v>#VALUE!</v>
      </c>
      <c r="S53" s="1369" t="e">
        <f t="shared" ca="1" si="21"/>
        <v>#VALUE!</v>
      </c>
      <c r="U53" s="13" t="e">
        <f t="shared" ca="1" si="22"/>
        <v>#DIV/0!</v>
      </c>
      <c r="V53" s="13" t="e">
        <f t="shared" ca="1" si="23"/>
        <v>#DIV/0!</v>
      </c>
      <c r="W53" s="13" t="e">
        <f t="shared" ca="1" si="16"/>
        <v>#DIV/0!</v>
      </c>
      <c r="Y53" s="13" t="e">
        <f t="shared" ca="1" si="24"/>
        <v>#N/A</v>
      </c>
      <c r="Z53" s="13" t="e">
        <f t="shared" ca="1" si="25"/>
        <v>#DIV/0!</v>
      </c>
      <c r="AA53" s="13" t="e">
        <f t="shared" ca="1" si="17"/>
        <v>#N/A</v>
      </c>
    </row>
    <row r="54" spans="1:27" x14ac:dyDescent="0.25">
      <c r="A54" s="1366">
        <v>0.5</v>
      </c>
      <c r="B54" s="13">
        <f t="shared" si="4"/>
        <v>0</v>
      </c>
      <c r="C54" s="1367">
        <f t="shared" si="5"/>
        <v>0</v>
      </c>
      <c r="D54" s="1367" t="e">
        <f ca="1">B54*'Ввод исходных данных'!$G$285+C54+IF('Ввод исходных данных'!$D$159=0,7,10)</f>
        <v>#VALUE!</v>
      </c>
      <c r="E54" s="1434" t="e">
        <f t="shared" ca="1" si="6"/>
        <v>#VALUE!</v>
      </c>
      <c r="F54" s="1367" t="e">
        <f t="shared" ca="1" si="7"/>
        <v>#VALUE!</v>
      </c>
      <c r="G54" s="1367" t="e">
        <f t="shared" ca="1" si="8"/>
        <v>#VALUE!</v>
      </c>
      <c r="H54" s="1367" t="e">
        <f t="shared" ca="1" si="9"/>
        <v>#VALUE!</v>
      </c>
      <c r="I54" s="1367" t="e">
        <f t="shared" ca="1" si="10"/>
        <v>#VALUE!</v>
      </c>
      <c r="J54" s="1367" t="e">
        <f t="shared" ca="1" si="11"/>
        <v>#VALUE!</v>
      </c>
      <c r="K54" s="1367" t="e">
        <f t="shared" ca="1" si="12"/>
        <v>#VALUE!</v>
      </c>
      <c r="L54" s="1367" t="e">
        <f t="shared" ca="1" si="13"/>
        <v>#VALUE!</v>
      </c>
      <c r="M54" s="1367" t="e">
        <f t="shared" ca="1" si="14"/>
        <v>#VALUE!</v>
      </c>
      <c r="N54" s="13" t="e">
        <f t="shared" ca="1" si="18"/>
        <v>#VALUE!</v>
      </c>
      <c r="O54" s="13" t="e">
        <f t="shared" ca="1" si="19"/>
        <v>#VALUE!</v>
      </c>
      <c r="P54" s="1369" t="e">
        <f t="shared" ca="1" si="19"/>
        <v>#VALUE!</v>
      </c>
      <c r="Q54" s="13" t="e">
        <f t="shared" ca="1" si="20"/>
        <v>#VALUE!</v>
      </c>
      <c r="R54" s="13" t="e">
        <f t="shared" ca="1" si="21"/>
        <v>#VALUE!</v>
      </c>
      <c r="S54" s="1369" t="e">
        <f t="shared" ca="1" si="21"/>
        <v>#VALUE!</v>
      </c>
      <c r="U54" s="13" t="e">
        <f t="shared" ca="1" si="22"/>
        <v>#DIV/0!</v>
      </c>
      <c r="V54" s="13" t="e">
        <f t="shared" ca="1" si="23"/>
        <v>#DIV/0!</v>
      </c>
      <c r="W54" s="13" t="e">
        <f t="shared" ca="1" si="16"/>
        <v>#DIV/0!</v>
      </c>
      <c r="Y54" s="13" t="e">
        <f t="shared" ca="1" si="24"/>
        <v>#N/A</v>
      </c>
      <c r="Z54" s="13" t="e">
        <f t="shared" ca="1" si="25"/>
        <v>#DIV/0!</v>
      </c>
      <c r="AA54" s="13" t="e">
        <f t="shared" ca="1" si="17"/>
        <v>#N/A</v>
      </c>
    </row>
    <row r="55" spans="1:27" x14ac:dyDescent="0.25">
      <c r="A55" s="1366">
        <v>0.51</v>
      </c>
      <c r="B55" s="13">
        <f t="shared" si="4"/>
        <v>0</v>
      </c>
      <c r="C55" s="1367">
        <f t="shared" si="5"/>
        <v>0</v>
      </c>
      <c r="D55" s="1367" t="e">
        <f ca="1">B55*'Ввод исходных данных'!$G$285+C55+IF('Ввод исходных данных'!$D$159=0,7,10)</f>
        <v>#VALUE!</v>
      </c>
      <c r="E55" s="1434" t="e">
        <f t="shared" ca="1" si="6"/>
        <v>#VALUE!</v>
      </c>
      <c r="F55" s="1367" t="e">
        <f t="shared" ca="1" si="7"/>
        <v>#VALUE!</v>
      </c>
      <c r="G55" s="1367" t="e">
        <f t="shared" ca="1" si="8"/>
        <v>#VALUE!</v>
      </c>
      <c r="H55" s="1367" t="e">
        <f t="shared" ca="1" si="9"/>
        <v>#VALUE!</v>
      </c>
      <c r="I55" s="1367" t="e">
        <f t="shared" ca="1" si="10"/>
        <v>#VALUE!</v>
      </c>
      <c r="J55" s="1367" t="e">
        <f t="shared" ca="1" si="11"/>
        <v>#VALUE!</v>
      </c>
      <c r="K55" s="1367" t="e">
        <f t="shared" ca="1" si="12"/>
        <v>#VALUE!</v>
      </c>
      <c r="L55" s="1367" t="e">
        <f t="shared" ca="1" si="13"/>
        <v>#VALUE!</v>
      </c>
      <c r="M55" s="1367" t="e">
        <f t="shared" ca="1" si="14"/>
        <v>#VALUE!</v>
      </c>
      <c r="N55" s="13" t="e">
        <f t="shared" ca="1" si="18"/>
        <v>#VALUE!</v>
      </c>
      <c r="O55" s="13" t="e">
        <f t="shared" ca="1" si="19"/>
        <v>#VALUE!</v>
      </c>
      <c r="P55" s="1369" t="e">
        <f t="shared" ca="1" si="19"/>
        <v>#VALUE!</v>
      </c>
      <c r="Q55" s="13" t="e">
        <f t="shared" ca="1" si="20"/>
        <v>#VALUE!</v>
      </c>
      <c r="R55" s="13" t="e">
        <f t="shared" ca="1" si="21"/>
        <v>#VALUE!</v>
      </c>
      <c r="S55" s="1369" t="e">
        <f t="shared" ca="1" si="21"/>
        <v>#VALUE!</v>
      </c>
      <c r="U55" s="13" t="e">
        <f t="shared" ca="1" si="22"/>
        <v>#DIV/0!</v>
      </c>
      <c r="V55" s="13" t="e">
        <f t="shared" ca="1" si="23"/>
        <v>#DIV/0!</v>
      </c>
      <c r="W55" s="13" t="e">
        <f t="shared" ca="1" si="16"/>
        <v>#DIV/0!</v>
      </c>
      <c r="Y55" s="13" t="e">
        <f t="shared" ca="1" si="24"/>
        <v>#N/A</v>
      </c>
      <c r="Z55" s="13" t="e">
        <f t="shared" ca="1" si="25"/>
        <v>#DIV/0!</v>
      </c>
      <c r="AA55" s="13" t="e">
        <f t="shared" ca="1" si="17"/>
        <v>#N/A</v>
      </c>
    </row>
    <row r="56" spans="1:27" x14ac:dyDescent="0.25">
      <c r="A56" s="1366">
        <v>0.52</v>
      </c>
      <c r="B56" s="13">
        <f t="shared" si="4"/>
        <v>0</v>
      </c>
      <c r="C56" s="1367">
        <f t="shared" si="5"/>
        <v>0</v>
      </c>
      <c r="D56" s="1367" t="e">
        <f ca="1">B56*'Ввод исходных данных'!$G$285+C56+IF('Ввод исходных данных'!$D$159=0,7,10)</f>
        <v>#VALUE!</v>
      </c>
      <c r="E56" s="1434" t="e">
        <f t="shared" ca="1" si="6"/>
        <v>#VALUE!</v>
      </c>
      <c r="F56" s="1367" t="e">
        <f t="shared" ca="1" si="7"/>
        <v>#VALUE!</v>
      </c>
      <c r="G56" s="1367" t="e">
        <f t="shared" ca="1" si="8"/>
        <v>#VALUE!</v>
      </c>
      <c r="H56" s="1367" t="e">
        <f t="shared" ca="1" si="9"/>
        <v>#VALUE!</v>
      </c>
      <c r="I56" s="1367" t="e">
        <f t="shared" ca="1" si="10"/>
        <v>#VALUE!</v>
      </c>
      <c r="J56" s="1367" t="e">
        <f t="shared" ca="1" si="11"/>
        <v>#VALUE!</v>
      </c>
      <c r="K56" s="1367" t="e">
        <f t="shared" ca="1" si="12"/>
        <v>#VALUE!</v>
      </c>
      <c r="L56" s="1367" t="e">
        <f t="shared" ca="1" si="13"/>
        <v>#VALUE!</v>
      </c>
      <c r="M56" s="1367" t="e">
        <f t="shared" ca="1" si="14"/>
        <v>#VALUE!</v>
      </c>
      <c r="N56" s="13" t="e">
        <f t="shared" ca="1" si="18"/>
        <v>#VALUE!</v>
      </c>
      <c r="O56" s="13" t="e">
        <f t="shared" ca="1" si="19"/>
        <v>#VALUE!</v>
      </c>
      <c r="P56" s="1369" t="e">
        <f t="shared" ca="1" si="19"/>
        <v>#VALUE!</v>
      </c>
      <c r="Q56" s="13" t="e">
        <f t="shared" ca="1" si="20"/>
        <v>#VALUE!</v>
      </c>
      <c r="R56" s="13" t="e">
        <f t="shared" ca="1" si="21"/>
        <v>#VALUE!</v>
      </c>
      <c r="S56" s="1369" t="e">
        <f t="shared" ca="1" si="21"/>
        <v>#VALUE!</v>
      </c>
      <c r="U56" s="13" t="e">
        <f t="shared" ca="1" si="22"/>
        <v>#DIV/0!</v>
      </c>
      <c r="V56" s="13" t="e">
        <f t="shared" ca="1" si="23"/>
        <v>#DIV/0!</v>
      </c>
      <c r="W56" s="13" t="e">
        <f t="shared" ca="1" si="16"/>
        <v>#DIV/0!</v>
      </c>
      <c r="Y56" s="13" t="e">
        <f t="shared" ca="1" si="24"/>
        <v>#N/A</v>
      </c>
      <c r="Z56" s="13" t="e">
        <f t="shared" ca="1" si="25"/>
        <v>#DIV/0!</v>
      </c>
      <c r="AA56" s="13" t="e">
        <f t="shared" ca="1" si="17"/>
        <v>#N/A</v>
      </c>
    </row>
    <row r="57" spans="1:27" x14ac:dyDescent="0.25">
      <c r="A57" s="1366">
        <v>0.53</v>
      </c>
      <c r="B57" s="13">
        <f t="shared" si="4"/>
        <v>0</v>
      </c>
      <c r="C57" s="1367">
        <f t="shared" si="5"/>
        <v>0</v>
      </c>
      <c r="D57" s="1367" t="e">
        <f ca="1">B57*'Ввод исходных данных'!$G$285+C57+IF('Ввод исходных данных'!$D$159=0,7,10)</f>
        <v>#VALUE!</v>
      </c>
      <c r="E57" s="1434" t="e">
        <f t="shared" ca="1" si="6"/>
        <v>#VALUE!</v>
      </c>
      <c r="F57" s="1367" t="e">
        <f t="shared" ca="1" si="7"/>
        <v>#VALUE!</v>
      </c>
      <c r="G57" s="1367" t="e">
        <f t="shared" ca="1" si="8"/>
        <v>#VALUE!</v>
      </c>
      <c r="H57" s="1367" t="e">
        <f t="shared" ca="1" si="9"/>
        <v>#VALUE!</v>
      </c>
      <c r="I57" s="1367" t="e">
        <f t="shared" ca="1" si="10"/>
        <v>#VALUE!</v>
      </c>
      <c r="J57" s="1367" t="e">
        <f t="shared" ca="1" si="11"/>
        <v>#VALUE!</v>
      </c>
      <c r="K57" s="1367" t="e">
        <f t="shared" ca="1" si="12"/>
        <v>#VALUE!</v>
      </c>
      <c r="L57" s="1367" t="e">
        <f t="shared" ca="1" si="13"/>
        <v>#VALUE!</v>
      </c>
      <c r="M57" s="1367" t="e">
        <f t="shared" ca="1" si="14"/>
        <v>#VALUE!</v>
      </c>
      <c r="N57" s="13" t="e">
        <f t="shared" ca="1" si="18"/>
        <v>#VALUE!</v>
      </c>
      <c r="O57" s="13" t="e">
        <f t="shared" ca="1" si="19"/>
        <v>#VALUE!</v>
      </c>
      <c r="P57" s="1369" t="e">
        <f t="shared" ca="1" si="19"/>
        <v>#VALUE!</v>
      </c>
      <c r="Q57" s="13" t="e">
        <f t="shared" ca="1" si="20"/>
        <v>#VALUE!</v>
      </c>
      <c r="R57" s="13" t="e">
        <f t="shared" ca="1" si="21"/>
        <v>#VALUE!</v>
      </c>
      <c r="S57" s="1369" t="e">
        <f t="shared" ca="1" si="21"/>
        <v>#VALUE!</v>
      </c>
      <c r="U57" s="13" t="e">
        <f t="shared" ca="1" si="22"/>
        <v>#DIV/0!</v>
      </c>
      <c r="V57" s="13" t="e">
        <f t="shared" ca="1" si="23"/>
        <v>#DIV/0!</v>
      </c>
      <c r="W57" s="13" t="e">
        <f t="shared" ca="1" si="16"/>
        <v>#DIV/0!</v>
      </c>
      <c r="Y57" s="13" t="e">
        <f t="shared" ca="1" si="24"/>
        <v>#N/A</v>
      </c>
      <c r="Z57" s="13" t="e">
        <f t="shared" ca="1" si="25"/>
        <v>#DIV/0!</v>
      </c>
      <c r="AA57" s="13" t="e">
        <f t="shared" ca="1" si="17"/>
        <v>#N/A</v>
      </c>
    </row>
    <row r="58" spans="1:27" x14ac:dyDescent="0.25">
      <c r="A58" s="1366">
        <v>0.54</v>
      </c>
      <c r="B58" s="13">
        <f t="shared" si="4"/>
        <v>0</v>
      </c>
      <c r="C58" s="1367">
        <f t="shared" si="5"/>
        <v>0</v>
      </c>
      <c r="D58" s="1367" t="e">
        <f ca="1">B58*'Ввод исходных данных'!$G$285+C58+IF('Ввод исходных данных'!$D$159=0,7,10)</f>
        <v>#VALUE!</v>
      </c>
      <c r="E58" s="1434" t="e">
        <f t="shared" ca="1" si="6"/>
        <v>#VALUE!</v>
      </c>
      <c r="F58" s="1367" t="e">
        <f t="shared" ca="1" si="7"/>
        <v>#VALUE!</v>
      </c>
      <c r="G58" s="1367" t="e">
        <f t="shared" ca="1" si="8"/>
        <v>#VALUE!</v>
      </c>
      <c r="H58" s="1367" t="e">
        <f t="shared" ca="1" si="9"/>
        <v>#VALUE!</v>
      </c>
      <c r="I58" s="1367" t="e">
        <f t="shared" ca="1" si="10"/>
        <v>#VALUE!</v>
      </c>
      <c r="J58" s="1367" t="e">
        <f t="shared" ca="1" si="11"/>
        <v>#VALUE!</v>
      </c>
      <c r="K58" s="1367" t="e">
        <f t="shared" ca="1" si="12"/>
        <v>#VALUE!</v>
      </c>
      <c r="L58" s="1367" t="e">
        <f t="shared" ca="1" si="13"/>
        <v>#VALUE!</v>
      </c>
      <c r="M58" s="1367" t="e">
        <f t="shared" ca="1" si="14"/>
        <v>#VALUE!</v>
      </c>
      <c r="N58" s="13" t="e">
        <f t="shared" ca="1" si="18"/>
        <v>#VALUE!</v>
      </c>
      <c r="O58" s="13" t="e">
        <f t="shared" ca="1" si="19"/>
        <v>#VALUE!</v>
      </c>
      <c r="P58" s="1369" t="e">
        <f t="shared" ca="1" si="19"/>
        <v>#VALUE!</v>
      </c>
      <c r="Q58" s="13" t="e">
        <f t="shared" ca="1" si="20"/>
        <v>#VALUE!</v>
      </c>
      <c r="R58" s="13" t="e">
        <f t="shared" ca="1" si="21"/>
        <v>#VALUE!</v>
      </c>
      <c r="S58" s="1369" t="e">
        <f t="shared" ca="1" si="21"/>
        <v>#VALUE!</v>
      </c>
      <c r="U58" s="13" t="e">
        <f t="shared" ca="1" si="22"/>
        <v>#DIV/0!</v>
      </c>
      <c r="V58" s="13" t="e">
        <f t="shared" ca="1" si="23"/>
        <v>#DIV/0!</v>
      </c>
      <c r="W58" s="13" t="e">
        <f t="shared" ca="1" si="16"/>
        <v>#DIV/0!</v>
      </c>
      <c r="Y58" s="13" t="e">
        <f t="shared" ca="1" si="24"/>
        <v>#N/A</v>
      </c>
      <c r="Z58" s="13" t="e">
        <f t="shared" ca="1" si="25"/>
        <v>#DIV/0!</v>
      </c>
      <c r="AA58" s="13" t="e">
        <f t="shared" ca="1" si="17"/>
        <v>#N/A</v>
      </c>
    </row>
    <row r="59" spans="1:27" x14ac:dyDescent="0.25">
      <c r="A59" s="1366">
        <v>0.55000000000000004</v>
      </c>
      <c r="B59" s="13">
        <f t="shared" si="4"/>
        <v>0</v>
      </c>
      <c r="C59" s="1367">
        <f t="shared" si="5"/>
        <v>0</v>
      </c>
      <c r="D59" s="1367" t="e">
        <f ca="1">B59*'Ввод исходных данных'!$G$285+C59+IF('Ввод исходных данных'!$D$159=0,7,10)</f>
        <v>#VALUE!</v>
      </c>
      <c r="E59" s="1434" t="e">
        <f t="shared" ca="1" si="6"/>
        <v>#VALUE!</v>
      </c>
      <c r="F59" s="1367" t="e">
        <f t="shared" ca="1" si="7"/>
        <v>#VALUE!</v>
      </c>
      <c r="G59" s="1367" t="e">
        <f t="shared" ca="1" si="8"/>
        <v>#VALUE!</v>
      </c>
      <c r="H59" s="1367" t="e">
        <f t="shared" ca="1" si="9"/>
        <v>#VALUE!</v>
      </c>
      <c r="I59" s="1367" t="e">
        <f t="shared" ca="1" si="10"/>
        <v>#VALUE!</v>
      </c>
      <c r="J59" s="1367" t="e">
        <f t="shared" ca="1" si="11"/>
        <v>#VALUE!</v>
      </c>
      <c r="K59" s="1367" t="e">
        <f t="shared" ca="1" si="12"/>
        <v>#VALUE!</v>
      </c>
      <c r="L59" s="1367" t="e">
        <f t="shared" ca="1" si="13"/>
        <v>#VALUE!</v>
      </c>
      <c r="M59" s="1367" t="e">
        <f t="shared" ca="1" si="14"/>
        <v>#VALUE!</v>
      </c>
      <c r="N59" s="13" t="e">
        <f t="shared" ca="1" si="18"/>
        <v>#VALUE!</v>
      </c>
      <c r="O59" s="13" t="e">
        <f t="shared" ca="1" si="19"/>
        <v>#VALUE!</v>
      </c>
      <c r="P59" s="1369" t="e">
        <f t="shared" ca="1" si="19"/>
        <v>#VALUE!</v>
      </c>
      <c r="Q59" s="13" t="e">
        <f t="shared" ca="1" si="20"/>
        <v>#VALUE!</v>
      </c>
      <c r="R59" s="13" t="e">
        <f t="shared" ca="1" si="21"/>
        <v>#VALUE!</v>
      </c>
      <c r="S59" s="1369" t="e">
        <f t="shared" ca="1" si="21"/>
        <v>#VALUE!</v>
      </c>
      <c r="U59" s="13" t="e">
        <f t="shared" ca="1" si="22"/>
        <v>#DIV/0!</v>
      </c>
      <c r="V59" s="13" t="e">
        <f t="shared" ca="1" si="23"/>
        <v>#DIV/0!</v>
      </c>
      <c r="W59" s="13" t="e">
        <f t="shared" ca="1" si="16"/>
        <v>#DIV/0!</v>
      </c>
      <c r="Y59" s="13" t="e">
        <f t="shared" ca="1" si="24"/>
        <v>#N/A</v>
      </c>
      <c r="Z59" s="13" t="e">
        <f t="shared" ca="1" si="25"/>
        <v>#DIV/0!</v>
      </c>
      <c r="AA59" s="13" t="e">
        <f t="shared" ca="1" si="17"/>
        <v>#N/A</v>
      </c>
    </row>
    <row r="60" spans="1:27" x14ac:dyDescent="0.25">
      <c r="A60" s="1366">
        <v>0.56000000000000005</v>
      </c>
      <c r="B60" s="13">
        <f t="shared" si="4"/>
        <v>0</v>
      </c>
      <c r="C60" s="1367">
        <f t="shared" si="5"/>
        <v>0</v>
      </c>
      <c r="D60" s="1367" t="e">
        <f ca="1">B60*'Ввод исходных данных'!$G$285+C60+IF('Ввод исходных данных'!$D$159=0,7,10)</f>
        <v>#VALUE!</v>
      </c>
      <c r="E60" s="1434" t="e">
        <f t="shared" ca="1" si="6"/>
        <v>#VALUE!</v>
      </c>
      <c r="F60" s="1367" t="e">
        <f t="shared" ca="1" si="7"/>
        <v>#VALUE!</v>
      </c>
      <c r="G60" s="1367" t="e">
        <f t="shared" ca="1" si="8"/>
        <v>#VALUE!</v>
      </c>
      <c r="H60" s="1367" t="e">
        <f t="shared" ca="1" si="9"/>
        <v>#VALUE!</v>
      </c>
      <c r="I60" s="1367" t="e">
        <f t="shared" ca="1" si="10"/>
        <v>#VALUE!</v>
      </c>
      <c r="J60" s="1367" t="e">
        <f t="shared" ca="1" si="11"/>
        <v>#VALUE!</v>
      </c>
      <c r="K60" s="1367" t="e">
        <f t="shared" ca="1" si="12"/>
        <v>#VALUE!</v>
      </c>
      <c r="L60" s="1367" t="e">
        <f t="shared" ca="1" si="13"/>
        <v>#VALUE!</v>
      </c>
      <c r="M60" s="1367" t="e">
        <f t="shared" ca="1" si="14"/>
        <v>#VALUE!</v>
      </c>
      <c r="N60" s="13" t="e">
        <f t="shared" ca="1" si="18"/>
        <v>#VALUE!</v>
      </c>
      <c r="O60" s="13" t="e">
        <f t="shared" ca="1" si="19"/>
        <v>#VALUE!</v>
      </c>
      <c r="P60" s="1369" t="e">
        <f t="shared" ca="1" si="19"/>
        <v>#VALUE!</v>
      </c>
      <c r="Q60" s="13" t="e">
        <f t="shared" ca="1" si="20"/>
        <v>#VALUE!</v>
      </c>
      <c r="R60" s="13" t="e">
        <f t="shared" ca="1" si="21"/>
        <v>#VALUE!</v>
      </c>
      <c r="S60" s="1369" t="e">
        <f t="shared" ca="1" si="21"/>
        <v>#VALUE!</v>
      </c>
      <c r="U60" s="13" t="e">
        <f t="shared" ca="1" si="22"/>
        <v>#DIV/0!</v>
      </c>
      <c r="V60" s="13" t="e">
        <f t="shared" ca="1" si="23"/>
        <v>#DIV/0!</v>
      </c>
      <c r="W60" s="13" t="e">
        <f t="shared" ca="1" si="16"/>
        <v>#DIV/0!</v>
      </c>
      <c r="Y60" s="13" t="e">
        <f t="shared" ca="1" si="24"/>
        <v>#N/A</v>
      </c>
      <c r="Z60" s="13" t="e">
        <f t="shared" ca="1" si="25"/>
        <v>#DIV/0!</v>
      </c>
      <c r="AA60" s="13" t="e">
        <f t="shared" ca="1" si="17"/>
        <v>#N/A</v>
      </c>
    </row>
    <row r="61" spans="1:27" x14ac:dyDescent="0.25">
      <c r="A61" s="1366">
        <v>0.56999999999999995</v>
      </c>
      <c r="B61" s="13">
        <f t="shared" si="4"/>
        <v>0</v>
      </c>
      <c r="C61" s="1367">
        <f t="shared" si="5"/>
        <v>0</v>
      </c>
      <c r="D61" s="1367" t="e">
        <f ca="1">B61*'Ввод исходных данных'!$G$285+C61+IF('Ввод исходных данных'!$D$159=0,7,10)</f>
        <v>#VALUE!</v>
      </c>
      <c r="E61" s="1434" t="e">
        <f t="shared" ca="1" si="6"/>
        <v>#VALUE!</v>
      </c>
      <c r="F61" s="1367" t="e">
        <f t="shared" ca="1" si="7"/>
        <v>#VALUE!</v>
      </c>
      <c r="G61" s="1367" t="e">
        <f t="shared" ca="1" si="8"/>
        <v>#VALUE!</v>
      </c>
      <c r="H61" s="1367" t="e">
        <f t="shared" ca="1" si="9"/>
        <v>#VALUE!</v>
      </c>
      <c r="I61" s="1367" t="e">
        <f t="shared" ca="1" si="10"/>
        <v>#VALUE!</v>
      </c>
      <c r="J61" s="1367" t="e">
        <f t="shared" ca="1" si="11"/>
        <v>#VALUE!</v>
      </c>
      <c r="K61" s="1367" t="e">
        <f t="shared" ca="1" si="12"/>
        <v>#VALUE!</v>
      </c>
      <c r="L61" s="1367" t="e">
        <f t="shared" ca="1" si="13"/>
        <v>#VALUE!</v>
      </c>
      <c r="M61" s="1367" t="e">
        <f t="shared" ca="1" si="14"/>
        <v>#VALUE!</v>
      </c>
      <c r="N61" s="13" t="e">
        <f t="shared" ca="1" si="18"/>
        <v>#VALUE!</v>
      </c>
      <c r="O61" s="13" t="e">
        <f t="shared" ca="1" si="19"/>
        <v>#VALUE!</v>
      </c>
      <c r="P61" s="1369" t="e">
        <f t="shared" ca="1" si="19"/>
        <v>#VALUE!</v>
      </c>
      <c r="Q61" s="13" t="e">
        <f t="shared" ca="1" si="20"/>
        <v>#VALUE!</v>
      </c>
      <c r="R61" s="13" t="e">
        <f t="shared" ca="1" si="21"/>
        <v>#VALUE!</v>
      </c>
      <c r="S61" s="1369" t="e">
        <f t="shared" ca="1" si="21"/>
        <v>#VALUE!</v>
      </c>
      <c r="U61" s="13" t="e">
        <f t="shared" ca="1" si="22"/>
        <v>#DIV/0!</v>
      </c>
      <c r="V61" s="13" t="e">
        <f t="shared" ca="1" si="23"/>
        <v>#DIV/0!</v>
      </c>
      <c r="W61" s="13" t="e">
        <f t="shared" ca="1" si="16"/>
        <v>#DIV/0!</v>
      </c>
      <c r="Y61" s="13" t="e">
        <f t="shared" ca="1" si="24"/>
        <v>#N/A</v>
      </c>
      <c r="Z61" s="13" t="e">
        <f t="shared" ca="1" si="25"/>
        <v>#DIV/0!</v>
      </c>
      <c r="AA61" s="13" t="e">
        <f t="shared" ca="1" si="17"/>
        <v>#N/A</v>
      </c>
    </row>
    <row r="62" spans="1:27" x14ac:dyDescent="0.25">
      <c r="A62" s="1366">
        <v>0.57999999999999996</v>
      </c>
      <c r="B62" s="13">
        <f t="shared" si="4"/>
        <v>0</v>
      </c>
      <c r="C62" s="1367">
        <f t="shared" si="5"/>
        <v>0</v>
      </c>
      <c r="D62" s="1367" t="e">
        <f ca="1">B62*'Ввод исходных данных'!$G$285+C62+IF('Ввод исходных данных'!$D$159=0,7,10)</f>
        <v>#VALUE!</v>
      </c>
      <c r="E62" s="1434" t="e">
        <f t="shared" ca="1" si="6"/>
        <v>#VALUE!</v>
      </c>
      <c r="F62" s="1367" t="e">
        <f t="shared" ca="1" si="7"/>
        <v>#VALUE!</v>
      </c>
      <c r="G62" s="1367" t="e">
        <f t="shared" ca="1" si="8"/>
        <v>#VALUE!</v>
      </c>
      <c r="H62" s="1367" t="e">
        <f t="shared" ca="1" si="9"/>
        <v>#VALUE!</v>
      </c>
      <c r="I62" s="1367" t="e">
        <f t="shared" ca="1" si="10"/>
        <v>#VALUE!</v>
      </c>
      <c r="J62" s="1367" t="e">
        <f t="shared" ca="1" si="11"/>
        <v>#VALUE!</v>
      </c>
      <c r="K62" s="1367" t="e">
        <f t="shared" ca="1" si="12"/>
        <v>#VALUE!</v>
      </c>
      <c r="L62" s="1367" t="e">
        <f t="shared" ca="1" si="13"/>
        <v>#VALUE!</v>
      </c>
      <c r="M62" s="1367" t="e">
        <f t="shared" ca="1" si="14"/>
        <v>#VALUE!</v>
      </c>
      <c r="N62" s="13" t="e">
        <f t="shared" ca="1" si="18"/>
        <v>#VALUE!</v>
      </c>
      <c r="O62" s="13" t="e">
        <f t="shared" ca="1" si="19"/>
        <v>#VALUE!</v>
      </c>
      <c r="P62" s="1369" t="e">
        <f t="shared" ca="1" si="19"/>
        <v>#VALUE!</v>
      </c>
      <c r="Q62" s="13" t="e">
        <f t="shared" ca="1" si="20"/>
        <v>#VALUE!</v>
      </c>
      <c r="R62" s="13" t="e">
        <f t="shared" ca="1" si="21"/>
        <v>#VALUE!</v>
      </c>
      <c r="S62" s="1369" t="e">
        <f t="shared" ca="1" si="21"/>
        <v>#VALUE!</v>
      </c>
      <c r="U62" s="13" t="e">
        <f t="shared" ca="1" si="22"/>
        <v>#DIV/0!</v>
      </c>
      <c r="V62" s="13" t="e">
        <f t="shared" ca="1" si="23"/>
        <v>#DIV/0!</v>
      </c>
      <c r="W62" s="13" t="e">
        <f t="shared" ca="1" si="16"/>
        <v>#DIV/0!</v>
      </c>
      <c r="Y62" s="13" t="e">
        <f t="shared" ca="1" si="24"/>
        <v>#N/A</v>
      </c>
      <c r="Z62" s="13" t="e">
        <f t="shared" ca="1" si="25"/>
        <v>#DIV/0!</v>
      </c>
      <c r="AA62" s="13" t="e">
        <f t="shared" ca="1" si="17"/>
        <v>#N/A</v>
      </c>
    </row>
    <row r="63" spans="1:27" x14ac:dyDescent="0.25">
      <c r="A63" s="1366">
        <v>0.59</v>
      </c>
      <c r="B63" s="13">
        <f t="shared" si="4"/>
        <v>0</v>
      </c>
      <c r="C63" s="1367">
        <f t="shared" si="5"/>
        <v>0</v>
      </c>
      <c r="D63" s="1367" t="e">
        <f ca="1">B63*'Ввод исходных данных'!$G$285+C63+IF('Ввод исходных данных'!$D$159=0,7,10)</f>
        <v>#VALUE!</v>
      </c>
      <c r="E63" s="1434" t="e">
        <f t="shared" ca="1" si="6"/>
        <v>#VALUE!</v>
      </c>
      <c r="F63" s="1367" t="e">
        <f t="shared" ca="1" si="7"/>
        <v>#VALUE!</v>
      </c>
      <c r="G63" s="1367" t="e">
        <f t="shared" ca="1" si="8"/>
        <v>#VALUE!</v>
      </c>
      <c r="H63" s="1367" t="e">
        <f t="shared" ca="1" si="9"/>
        <v>#VALUE!</v>
      </c>
      <c r="I63" s="1367" t="e">
        <f t="shared" ca="1" si="10"/>
        <v>#VALUE!</v>
      </c>
      <c r="J63" s="1367" t="e">
        <f t="shared" ca="1" si="11"/>
        <v>#VALUE!</v>
      </c>
      <c r="K63" s="1367" t="e">
        <f t="shared" ca="1" si="12"/>
        <v>#VALUE!</v>
      </c>
      <c r="L63" s="1367" t="e">
        <f t="shared" ca="1" si="13"/>
        <v>#VALUE!</v>
      </c>
      <c r="M63" s="1367" t="e">
        <f t="shared" ca="1" si="14"/>
        <v>#VALUE!</v>
      </c>
      <c r="N63" s="13" t="e">
        <f t="shared" ca="1" si="18"/>
        <v>#VALUE!</v>
      </c>
      <c r="O63" s="13" t="e">
        <f t="shared" ca="1" si="19"/>
        <v>#VALUE!</v>
      </c>
      <c r="P63" s="1369" t="e">
        <f t="shared" ca="1" si="19"/>
        <v>#VALUE!</v>
      </c>
      <c r="Q63" s="13" t="e">
        <f t="shared" ca="1" si="20"/>
        <v>#VALUE!</v>
      </c>
      <c r="R63" s="13" t="e">
        <f t="shared" ca="1" si="21"/>
        <v>#VALUE!</v>
      </c>
      <c r="S63" s="1369" t="e">
        <f t="shared" ca="1" si="21"/>
        <v>#VALUE!</v>
      </c>
      <c r="U63" s="13" t="e">
        <f t="shared" ca="1" si="22"/>
        <v>#DIV/0!</v>
      </c>
      <c r="V63" s="13" t="e">
        <f t="shared" ca="1" si="23"/>
        <v>#DIV/0!</v>
      </c>
      <c r="W63" s="13" t="e">
        <f t="shared" ca="1" si="16"/>
        <v>#DIV/0!</v>
      </c>
      <c r="Y63" s="13" t="e">
        <f t="shared" ca="1" si="24"/>
        <v>#N/A</v>
      </c>
      <c r="Z63" s="13" t="e">
        <f t="shared" ca="1" si="25"/>
        <v>#DIV/0!</v>
      </c>
      <c r="AA63" s="13" t="e">
        <f t="shared" ca="1" si="17"/>
        <v>#N/A</v>
      </c>
    </row>
    <row r="64" spans="1:27" x14ac:dyDescent="0.25">
      <c r="A64" s="1366">
        <v>0.6</v>
      </c>
      <c r="B64" s="13">
        <f t="shared" si="4"/>
        <v>0</v>
      </c>
      <c r="C64" s="1367">
        <f t="shared" si="5"/>
        <v>0</v>
      </c>
      <c r="D64" s="1367" t="e">
        <f ca="1">B64*'Ввод исходных данных'!$G$285+C64+IF('Ввод исходных данных'!$D$159=0,7,10)</f>
        <v>#VALUE!</v>
      </c>
      <c r="E64" s="1434" t="e">
        <f t="shared" ca="1" si="6"/>
        <v>#VALUE!</v>
      </c>
      <c r="F64" s="1367" t="e">
        <f t="shared" ca="1" si="7"/>
        <v>#VALUE!</v>
      </c>
      <c r="G64" s="1367" t="e">
        <f t="shared" ca="1" si="8"/>
        <v>#VALUE!</v>
      </c>
      <c r="H64" s="1367" t="e">
        <f t="shared" ca="1" si="9"/>
        <v>#VALUE!</v>
      </c>
      <c r="I64" s="1367" t="e">
        <f t="shared" ca="1" si="10"/>
        <v>#VALUE!</v>
      </c>
      <c r="J64" s="1367" t="e">
        <f t="shared" ca="1" si="11"/>
        <v>#VALUE!</v>
      </c>
      <c r="K64" s="1367" t="e">
        <f t="shared" ca="1" si="12"/>
        <v>#VALUE!</v>
      </c>
      <c r="L64" s="1367" t="e">
        <f t="shared" ca="1" si="13"/>
        <v>#VALUE!</v>
      </c>
      <c r="M64" s="1367" t="e">
        <f t="shared" ca="1" si="14"/>
        <v>#VALUE!</v>
      </c>
      <c r="N64" s="13" t="e">
        <f t="shared" ca="1" si="18"/>
        <v>#VALUE!</v>
      </c>
      <c r="O64" s="13" t="e">
        <f t="shared" ca="1" si="19"/>
        <v>#VALUE!</v>
      </c>
      <c r="P64" s="1369" t="e">
        <f t="shared" ca="1" si="19"/>
        <v>#VALUE!</v>
      </c>
      <c r="Q64" s="13" t="e">
        <f t="shared" ca="1" si="20"/>
        <v>#VALUE!</v>
      </c>
      <c r="R64" s="13" t="e">
        <f t="shared" ca="1" si="21"/>
        <v>#VALUE!</v>
      </c>
      <c r="S64" s="1369" t="e">
        <f t="shared" ca="1" si="21"/>
        <v>#VALUE!</v>
      </c>
      <c r="U64" s="13" t="e">
        <f t="shared" ca="1" si="22"/>
        <v>#DIV/0!</v>
      </c>
      <c r="V64" s="13" t="e">
        <f t="shared" ca="1" si="23"/>
        <v>#DIV/0!</v>
      </c>
      <c r="W64" s="13" t="e">
        <f t="shared" ca="1" si="16"/>
        <v>#DIV/0!</v>
      </c>
      <c r="Y64" s="13" t="e">
        <f t="shared" ca="1" si="24"/>
        <v>#N/A</v>
      </c>
      <c r="Z64" s="13" t="e">
        <f t="shared" ca="1" si="25"/>
        <v>#DIV/0!</v>
      </c>
      <c r="AA64" s="13" t="e">
        <f t="shared" ca="1" si="17"/>
        <v>#N/A</v>
      </c>
    </row>
    <row r="65" spans="1:27" x14ac:dyDescent="0.25">
      <c r="A65" s="1366">
        <v>0.61</v>
      </c>
      <c r="B65" s="13">
        <f t="shared" si="4"/>
        <v>0</v>
      </c>
      <c r="C65" s="1367">
        <f t="shared" si="5"/>
        <v>0</v>
      </c>
      <c r="D65" s="1367" t="e">
        <f ca="1">B65*'Ввод исходных данных'!$G$285+C65+IF('Ввод исходных данных'!$D$159=0,7,10)</f>
        <v>#VALUE!</v>
      </c>
      <c r="E65" s="1434" t="e">
        <f t="shared" ca="1" si="6"/>
        <v>#VALUE!</v>
      </c>
      <c r="F65" s="1367" t="e">
        <f t="shared" ca="1" si="7"/>
        <v>#VALUE!</v>
      </c>
      <c r="G65" s="1367" t="e">
        <f t="shared" ca="1" si="8"/>
        <v>#VALUE!</v>
      </c>
      <c r="H65" s="1367" t="e">
        <f t="shared" ca="1" si="9"/>
        <v>#VALUE!</v>
      </c>
      <c r="I65" s="1367" t="e">
        <f t="shared" ca="1" si="10"/>
        <v>#VALUE!</v>
      </c>
      <c r="J65" s="1367" t="e">
        <f t="shared" ca="1" si="11"/>
        <v>#VALUE!</v>
      </c>
      <c r="K65" s="1367" t="e">
        <f t="shared" ca="1" si="12"/>
        <v>#VALUE!</v>
      </c>
      <c r="L65" s="1367" t="e">
        <f t="shared" ca="1" si="13"/>
        <v>#VALUE!</v>
      </c>
      <c r="M65" s="1367" t="e">
        <f t="shared" ca="1" si="14"/>
        <v>#VALUE!</v>
      </c>
      <c r="N65" s="13" t="e">
        <f t="shared" ca="1" si="18"/>
        <v>#VALUE!</v>
      </c>
      <c r="O65" s="13" t="e">
        <f t="shared" ca="1" si="19"/>
        <v>#VALUE!</v>
      </c>
      <c r="P65" s="1369" t="e">
        <f t="shared" ca="1" si="19"/>
        <v>#VALUE!</v>
      </c>
      <c r="Q65" s="13" t="e">
        <f t="shared" ca="1" si="20"/>
        <v>#VALUE!</v>
      </c>
      <c r="R65" s="13" t="e">
        <f t="shared" ca="1" si="21"/>
        <v>#VALUE!</v>
      </c>
      <c r="S65" s="1369" t="e">
        <f t="shared" ca="1" si="21"/>
        <v>#VALUE!</v>
      </c>
      <c r="U65" s="13" t="e">
        <f t="shared" ca="1" si="22"/>
        <v>#DIV/0!</v>
      </c>
      <c r="V65" s="13" t="e">
        <f t="shared" ca="1" si="23"/>
        <v>#DIV/0!</v>
      </c>
      <c r="W65" s="13" t="e">
        <f t="shared" ca="1" si="16"/>
        <v>#DIV/0!</v>
      </c>
      <c r="Y65" s="13" t="e">
        <f t="shared" ca="1" si="24"/>
        <v>#N/A</v>
      </c>
      <c r="Z65" s="13" t="e">
        <f t="shared" ca="1" si="25"/>
        <v>#DIV/0!</v>
      </c>
      <c r="AA65" s="13" t="e">
        <f t="shared" ca="1" si="17"/>
        <v>#N/A</v>
      </c>
    </row>
    <row r="66" spans="1:27" x14ac:dyDescent="0.25">
      <c r="A66" s="1366">
        <v>0.62</v>
      </c>
      <c r="B66" s="13">
        <f t="shared" si="4"/>
        <v>0</v>
      </c>
      <c r="C66" s="1367">
        <f t="shared" si="5"/>
        <v>0</v>
      </c>
      <c r="D66" s="1367" t="e">
        <f ca="1">B66*'Ввод исходных данных'!$G$285+C66+IF('Ввод исходных данных'!$D$159=0,7,10)</f>
        <v>#VALUE!</v>
      </c>
      <c r="E66" s="1434" t="e">
        <f t="shared" ca="1" si="6"/>
        <v>#VALUE!</v>
      </c>
      <c r="F66" s="1367" t="e">
        <f t="shared" ca="1" si="7"/>
        <v>#VALUE!</v>
      </c>
      <c r="G66" s="1367" t="e">
        <f t="shared" ca="1" si="8"/>
        <v>#VALUE!</v>
      </c>
      <c r="H66" s="1367" t="e">
        <f t="shared" ca="1" si="9"/>
        <v>#VALUE!</v>
      </c>
      <c r="I66" s="1367" t="e">
        <f t="shared" ca="1" si="10"/>
        <v>#VALUE!</v>
      </c>
      <c r="J66" s="1367" t="e">
        <f t="shared" ca="1" si="11"/>
        <v>#VALUE!</v>
      </c>
      <c r="K66" s="1367" t="e">
        <f t="shared" ca="1" si="12"/>
        <v>#VALUE!</v>
      </c>
      <c r="L66" s="1367" t="e">
        <f t="shared" ca="1" si="13"/>
        <v>#VALUE!</v>
      </c>
      <c r="M66" s="1367" t="e">
        <f t="shared" ca="1" si="14"/>
        <v>#VALUE!</v>
      </c>
      <c r="N66" s="13" t="e">
        <f t="shared" ca="1" si="18"/>
        <v>#VALUE!</v>
      </c>
      <c r="O66" s="13" t="e">
        <f t="shared" ca="1" si="19"/>
        <v>#VALUE!</v>
      </c>
      <c r="P66" s="1369" t="e">
        <f t="shared" ca="1" si="19"/>
        <v>#VALUE!</v>
      </c>
      <c r="Q66" s="13" t="e">
        <f t="shared" ca="1" si="20"/>
        <v>#VALUE!</v>
      </c>
      <c r="R66" s="13" t="e">
        <f t="shared" ca="1" si="21"/>
        <v>#VALUE!</v>
      </c>
      <c r="S66" s="1369" t="e">
        <f t="shared" ca="1" si="21"/>
        <v>#VALUE!</v>
      </c>
      <c r="U66" s="13" t="e">
        <f t="shared" ca="1" si="22"/>
        <v>#DIV/0!</v>
      </c>
      <c r="V66" s="13" t="e">
        <f t="shared" ca="1" si="23"/>
        <v>#DIV/0!</v>
      </c>
      <c r="W66" s="13" t="e">
        <f t="shared" ca="1" si="16"/>
        <v>#DIV/0!</v>
      </c>
      <c r="Y66" s="13" t="e">
        <f t="shared" ca="1" si="24"/>
        <v>#N/A</v>
      </c>
      <c r="Z66" s="13" t="e">
        <f t="shared" ca="1" si="25"/>
        <v>#DIV/0!</v>
      </c>
      <c r="AA66" s="13" t="e">
        <f t="shared" ca="1" si="17"/>
        <v>#N/A</v>
      </c>
    </row>
    <row r="67" spans="1:27" x14ac:dyDescent="0.25">
      <c r="A67" s="1366">
        <v>0.63</v>
      </c>
      <c r="B67" s="13">
        <f t="shared" si="4"/>
        <v>0</v>
      </c>
      <c r="C67" s="1367">
        <f t="shared" si="5"/>
        <v>0</v>
      </c>
      <c r="D67" s="1367" t="e">
        <f ca="1">B67*'Ввод исходных данных'!$G$285+C67+IF('Ввод исходных данных'!$D$159=0,7,10)</f>
        <v>#VALUE!</v>
      </c>
      <c r="E67" s="1434" t="e">
        <f t="shared" ca="1" si="6"/>
        <v>#VALUE!</v>
      </c>
      <c r="F67" s="1367" t="e">
        <f t="shared" ca="1" si="7"/>
        <v>#VALUE!</v>
      </c>
      <c r="G67" s="1367" t="e">
        <f t="shared" ca="1" si="8"/>
        <v>#VALUE!</v>
      </c>
      <c r="H67" s="1367" t="e">
        <f t="shared" ca="1" si="9"/>
        <v>#VALUE!</v>
      </c>
      <c r="I67" s="1367" t="e">
        <f t="shared" ca="1" si="10"/>
        <v>#VALUE!</v>
      </c>
      <c r="J67" s="1367" t="e">
        <f t="shared" ca="1" si="11"/>
        <v>#VALUE!</v>
      </c>
      <c r="K67" s="1367" t="e">
        <f t="shared" ca="1" si="12"/>
        <v>#VALUE!</v>
      </c>
      <c r="L67" s="1367" t="e">
        <f t="shared" ca="1" si="13"/>
        <v>#VALUE!</v>
      </c>
      <c r="M67" s="1367" t="e">
        <f t="shared" ca="1" si="14"/>
        <v>#VALUE!</v>
      </c>
      <c r="N67" s="13" t="e">
        <f t="shared" ca="1" si="18"/>
        <v>#VALUE!</v>
      </c>
      <c r="O67" s="13" t="e">
        <f t="shared" ca="1" si="19"/>
        <v>#VALUE!</v>
      </c>
      <c r="P67" s="1369" t="e">
        <f t="shared" ca="1" si="19"/>
        <v>#VALUE!</v>
      </c>
      <c r="Q67" s="13" t="e">
        <f t="shared" ca="1" si="20"/>
        <v>#VALUE!</v>
      </c>
      <c r="R67" s="13" t="e">
        <f t="shared" ca="1" si="21"/>
        <v>#VALUE!</v>
      </c>
      <c r="S67" s="1369" t="e">
        <f t="shared" ca="1" si="21"/>
        <v>#VALUE!</v>
      </c>
      <c r="U67" s="13" t="e">
        <f t="shared" ca="1" si="22"/>
        <v>#DIV/0!</v>
      </c>
      <c r="V67" s="13" t="e">
        <f t="shared" ca="1" si="23"/>
        <v>#DIV/0!</v>
      </c>
      <c r="W67" s="13" t="e">
        <f t="shared" ca="1" si="16"/>
        <v>#DIV/0!</v>
      </c>
      <c r="Y67" s="13" t="e">
        <f t="shared" ca="1" si="24"/>
        <v>#N/A</v>
      </c>
      <c r="Z67" s="13" t="e">
        <f t="shared" ca="1" si="25"/>
        <v>#DIV/0!</v>
      </c>
      <c r="AA67" s="13" t="e">
        <f t="shared" ca="1" si="17"/>
        <v>#N/A</v>
      </c>
    </row>
    <row r="68" spans="1:27" x14ac:dyDescent="0.25">
      <c r="A68" s="1366">
        <v>0.64</v>
      </c>
      <c r="B68" s="13">
        <f t="shared" si="4"/>
        <v>0</v>
      </c>
      <c r="C68" s="1367">
        <f t="shared" si="5"/>
        <v>0</v>
      </c>
      <c r="D68" s="1367" t="e">
        <f ca="1">B68*'Ввод исходных данных'!$G$285+C68+IF('Ввод исходных данных'!$D$159=0,7,10)</f>
        <v>#VALUE!</v>
      </c>
      <c r="E68" s="1434" t="e">
        <f t="shared" ca="1" si="6"/>
        <v>#VALUE!</v>
      </c>
      <c r="F68" s="1367" t="e">
        <f t="shared" ca="1" si="7"/>
        <v>#VALUE!</v>
      </c>
      <c r="G68" s="1367" t="e">
        <f t="shared" ca="1" si="8"/>
        <v>#VALUE!</v>
      </c>
      <c r="H68" s="1367" t="e">
        <f t="shared" ca="1" si="9"/>
        <v>#VALUE!</v>
      </c>
      <c r="I68" s="1367" t="e">
        <f t="shared" ca="1" si="10"/>
        <v>#VALUE!</v>
      </c>
      <c r="J68" s="1367" t="e">
        <f t="shared" ca="1" si="11"/>
        <v>#VALUE!</v>
      </c>
      <c r="K68" s="1367" t="e">
        <f t="shared" ca="1" si="12"/>
        <v>#VALUE!</v>
      </c>
      <c r="L68" s="1367" t="e">
        <f t="shared" ca="1" si="13"/>
        <v>#VALUE!</v>
      </c>
      <c r="M68" s="1367" t="e">
        <f t="shared" ca="1" si="14"/>
        <v>#VALUE!</v>
      </c>
      <c r="N68" s="13" t="e">
        <f t="shared" ca="1" si="18"/>
        <v>#VALUE!</v>
      </c>
      <c r="O68" s="13" t="e">
        <f t="shared" ca="1" si="19"/>
        <v>#VALUE!</v>
      </c>
      <c r="P68" s="1369" t="e">
        <f t="shared" ca="1" si="19"/>
        <v>#VALUE!</v>
      </c>
      <c r="Q68" s="13" t="e">
        <f t="shared" ca="1" si="20"/>
        <v>#VALUE!</v>
      </c>
      <c r="R68" s="13" t="e">
        <f t="shared" ca="1" si="21"/>
        <v>#VALUE!</v>
      </c>
      <c r="S68" s="1369" t="e">
        <f t="shared" ca="1" si="21"/>
        <v>#VALUE!</v>
      </c>
      <c r="U68" s="13" t="e">
        <f t="shared" ca="1" si="22"/>
        <v>#DIV/0!</v>
      </c>
      <c r="V68" s="13" t="e">
        <f t="shared" ca="1" si="23"/>
        <v>#DIV/0!</v>
      </c>
      <c r="W68" s="13" t="e">
        <f t="shared" ca="1" si="16"/>
        <v>#DIV/0!</v>
      </c>
      <c r="Y68" s="13" t="e">
        <f t="shared" ca="1" si="24"/>
        <v>#N/A</v>
      </c>
      <c r="Z68" s="13" t="e">
        <f t="shared" ca="1" si="25"/>
        <v>#DIV/0!</v>
      </c>
      <c r="AA68" s="13" t="e">
        <f t="shared" ca="1" si="17"/>
        <v>#N/A</v>
      </c>
    </row>
    <row r="69" spans="1:27" x14ac:dyDescent="0.25">
      <c r="A69" s="1366">
        <v>0.65</v>
      </c>
      <c r="B69" s="13">
        <f t="shared" si="4"/>
        <v>0</v>
      </c>
      <c r="C69" s="1367">
        <f t="shared" si="5"/>
        <v>0</v>
      </c>
      <c r="D69" s="1367" t="e">
        <f ca="1">B69*'Ввод исходных данных'!$G$285+C69+IF('Ввод исходных данных'!$D$159=0,7,10)</f>
        <v>#VALUE!</v>
      </c>
      <c r="E69" s="1434" t="e">
        <f t="shared" ca="1" si="6"/>
        <v>#VALUE!</v>
      </c>
      <c r="F69" s="1367" t="e">
        <f t="shared" ca="1" si="7"/>
        <v>#VALUE!</v>
      </c>
      <c r="G69" s="1367" t="e">
        <f t="shared" ca="1" si="8"/>
        <v>#VALUE!</v>
      </c>
      <c r="H69" s="1367" t="e">
        <f t="shared" ca="1" si="9"/>
        <v>#VALUE!</v>
      </c>
      <c r="I69" s="1367" t="e">
        <f t="shared" ca="1" si="10"/>
        <v>#VALUE!</v>
      </c>
      <c r="J69" s="1367" t="e">
        <f t="shared" ca="1" si="11"/>
        <v>#VALUE!</v>
      </c>
      <c r="K69" s="1367" t="e">
        <f t="shared" ca="1" si="12"/>
        <v>#VALUE!</v>
      </c>
      <c r="L69" s="1367" t="e">
        <f t="shared" ca="1" si="13"/>
        <v>#VALUE!</v>
      </c>
      <c r="M69" s="1367" t="e">
        <f t="shared" ca="1" si="14"/>
        <v>#VALUE!</v>
      </c>
      <c r="N69" s="13" t="e">
        <f t="shared" ca="1" si="18"/>
        <v>#VALUE!</v>
      </c>
      <c r="O69" s="13" t="e">
        <f t="shared" ca="1" si="19"/>
        <v>#VALUE!</v>
      </c>
      <c r="P69" s="1369" t="e">
        <f t="shared" ca="1" si="19"/>
        <v>#VALUE!</v>
      </c>
      <c r="Q69" s="13" t="e">
        <f t="shared" ca="1" si="20"/>
        <v>#VALUE!</v>
      </c>
      <c r="R69" s="13" t="e">
        <f t="shared" ca="1" si="21"/>
        <v>#VALUE!</v>
      </c>
      <c r="S69" s="1369" t="e">
        <f t="shared" ca="1" si="21"/>
        <v>#VALUE!</v>
      </c>
      <c r="U69" s="13" t="e">
        <f t="shared" ref="U69:U103" ca="1" si="26">IF(AND($U$3&gt;=B69,$U$3&lt;B70),$U$3,"")</f>
        <v>#DIV/0!</v>
      </c>
      <c r="V69" s="13" t="e">
        <f t="shared" ref="V69:V103" ca="1" si="27">IF(AND($V$3&gt;=C69,$V$3&lt;C70),$V$3,"")</f>
        <v>#DIV/0!</v>
      </c>
      <c r="W69" s="13" t="e">
        <f t="shared" ca="1" si="16"/>
        <v>#DIV/0!</v>
      </c>
      <c r="Y69" s="13" t="e">
        <f t="shared" ref="Y69:Y103" ca="1" si="28">IF(AND($Y$3&gt;=B69,$Y$3&lt;B70),$Y$3,"")</f>
        <v>#N/A</v>
      </c>
      <c r="Z69" s="13" t="e">
        <f t="shared" ref="Z69:Z103" ca="1" si="29">IF(AND($Z$3&gt;=C69,$Z$3&lt;C70),$Z$3,"")</f>
        <v>#DIV/0!</v>
      </c>
      <c r="AA69" s="13" t="e">
        <f t="shared" ca="1" si="17"/>
        <v>#N/A</v>
      </c>
    </row>
    <row r="70" spans="1:27" x14ac:dyDescent="0.25">
      <c r="A70" s="1366">
        <v>0.66</v>
      </c>
      <c r="B70" s="13">
        <f t="shared" ref="B70:B104" si="30">$B$106*B173+$C$106*C173+$D$106*D173+$E$106*E173+$F$106*F173+$G$106*G173+$H$106*H173+$I$106*I173+$J$106*J173+$K$106*K173+$L$106*L173+$M$106*M173</f>
        <v>0</v>
      </c>
      <c r="C70" s="1367">
        <f t="shared" ref="C70:C104" si="31">$B$106*B278+$C$106*C278+$D$106*D278+$E$106*E278+$F$106*F278+$G$106*G278+$H$106*H278+$I$106*I278+$J$106*J278+$K$106*K278+$L$106*L278+$M$106*M278</f>
        <v>0</v>
      </c>
      <c r="D70" s="1367" t="e">
        <f ca="1">B70*'Ввод исходных данных'!$G$285+C70+IF('Ввод исходных данных'!$D$159=0,7,10)</f>
        <v>#VALUE!</v>
      </c>
      <c r="E70" s="1434" t="e">
        <f t="shared" ref="E70:E104" ca="1" si="32">IF(D70&lt;=$N$423,D70,"")</f>
        <v>#VALUE!</v>
      </c>
      <c r="F70" s="1367" t="e">
        <f t="shared" ref="F70:F104" ca="1" si="33">IF(AND($D70&lt;=$N$424,$D70&gt;$N$423),$D70,"")</f>
        <v>#VALUE!</v>
      </c>
      <c r="G70" s="1367" t="e">
        <f t="shared" ref="G70:G104" ca="1" si="34">IF(AND($D70&lt;=$N$425,$D70&gt;$N$424),$D70,"")</f>
        <v>#VALUE!</v>
      </c>
      <c r="H70" s="1367" t="e">
        <f t="shared" ref="H70:H104" ca="1" si="35">IF(AND($D70&lt;=$N$426,$D70&gt;$N$425),$D70,"")</f>
        <v>#VALUE!</v>
      </c>
      <c r="I70" s="1367" t="e">
        <f t="shared" ref="I70:I104" ca="1" si="36">IF(AND($D70&lt;=$N$427,$D70&gt;$N$426),$D70,"")</f>
        <v>#VALUE!</v>
      </c>
      <c r="J70" s="1367" t="e">
        <f t="shared" ref="J70:J104" ca="1" si="37">IF(AND($D70&lt;=$N$428,$D70&gt;$N$427),$D70,"")</f>
        <v>#VALUE!</v>
      </c>
      <c r="K70" s="1367" t="e">
        <f t="shared" ref="K70:K104" ca="1" si="38">IF(AND($D70&lt;=$N$429,$D70&gt;$N$428),$D70,"")</f>
        <v>#VALUE!</v>
      </c>
      <c r="L70" s="1367" t="e">
        <f t="shared" ref="L70:L104" ca="1" si="39">IF(AND($D70&lt;=$N$430,$D70&gt;$N$429),$D70,"")</f>
        <v>#VALUE!</v>
      </c>
      <c r="M70" s="1367" t="e">
        <f t="shared" ref="M70:M104" ca="1" si="40">IF(AND($D70&gt;$N$430),$D70,"")</f>
        <v>#VALUE!</v>
      </c>
      <c r="N70" s="13" t="e">
        <f t="shared" ca="1" si="18"/>
        <v>#VALUE!</v>
      </c>
      <c r="O70" s="13" t="e">
        <f t="shared" ca="1" si="19"/>
        <v>#VALUE!</v>
      </c>
      <c r="P70" s="1369" t="e">
        <f t="shared" ca="1" si="19"/>
        <v>#VALUE!</v>
      </c>
      <c r="Q70" s="13" t="e">
        <f t="shared" ca="1" si="20"/>
        <v>#VALUE!</v>
      </c>
      <c r="R70" s="13" t="e">
        <f t="shared" ca="1" si="21"/>
        <v>#VALUE!</v>
      </c>
      <c r="S70" s="1369" t="e">
        <f t="shared" ca="1" si="21"/>
        <v>#VALUE!</v>
      </c>
      <c r="U70" s="13" t="e">
        <f t="shared" ca="1" si="26"/>
        <v>#DIV/0!</v>
      </c>
      <c r="V70" s="13" t="e">
        <f t="shared" ca="1" si="27"/>
        <v>#DIV/0!</v>
      </c>
      <c r="W70" s="13" t="e">
        <f t="shared" ref="W70:W103" ca="1" si="41">IF(AND($W$3&gt;=SUM(E70:M70),$W$3&lt;SUM(E71:M71)),$W$3,"")</f>
        <v>#DIV/0!</v>
      </c>
      <c r="Y70" s="13" t="e">
        <f t="shared" ca="1" si="28"/>
        <v>#N/A</v>
      </c>
      <c r="Z70" s="13" t="e">
        <f t="shared" ca="1" si="29"/>
        <v>#DIV/0!</v>
      </c>
      <c r="AA70" s="13" t="e">
        <f t="shared" ref="AA70:AA102" ca="1" si="42">IF(AND($AA$3&gt;=SUM(E70:M70),$AA$3&lt;SUM(E71:M71)),$AA$3,"")</f>
        <v>#N/A</v>
      </c>
    </row>
    <row r="71" spans="1:27" x14ac:dyDescent="0.25">
      <c r="A71" s="1366">
        <v>0.67</v>
      </c>
      <c r="B71" s="13">
        <f t="shared" si="30"/>
        <v>0</v>
      </c>
      <c r="C71" s="1367">
        <f t="shared" si="31"/>
        <v>0</v>
      </c>
      <c r="D71" s="1367" t="e">
        <f ca="1">B71*'Ввод исходных данных'!$G$285+C71+IF('Ввод исходных данных'!$D$159=0,7,10)</f>
        <v>#VALUE!</v>
      </c>
      <c r="E71" s="1434" t="e">
        <f t="shared" ca="1" si="32"/>
        <v>#VALUE!</v>
      </c>
      <c r="F71" s="1367" t="e">
        <f t="shared" ca="1" si="33"/>
        <v>#VALUE!</v>
      </c>
      <c r="G71" s="1367" t="e">
        <f t="shared" ca="1" si="34"/>
        <v>#VALUE!</v>
      </c>
      <c r="H71" s="1367" t="e">
        <f t="shared" ca="1" si="35"/>
        <v>#VALUE!</v>
      </c>
      <c r="I71" s="1367" t="e">
        <f t="shared" ca="1" si="36"/>
        <v>#VALUE!</v>
      </c>
      <c r="J71" s="1367" t="e">
        <f t="shared" ca="1" si="37"/>
        <v>#VALUE!</v>
      </c>
      <c r="K71" s="1367" t="e">
        <f t="shared" ca="1" si="38"/>
        <v>#VALUE!</v>
      </c>
      <c r="L71" s="1367" t="e">
        <f t="shared" ca="1" si="39"/>
        <v>#VALUE!</v>
      </c>
      <c r="M71" s="1367" t="e">
        <f t="shared" ca="1" si="40"/>
        <v>#VALUE!</v>
      </c>
      <c r="N71" s="13" t="e">
        <f t="shared" ref="N71:N104" ca="1" si="43">N70</f>
        <v>#VALUE!</v>
      </c>
      <c r="O71" s="13" t="e">
        <f t="shared" ref="O71:P104" ca="1" si="44">O70</f>
        <v>#VALUE!</v>
      </c>
      <c r="P71" s="1369" t="e">
        <f t="shared" ca="1" si="44"/>
        <v>#VALUE!</v>
      </c>
      <c r="Q71" s="13" t="e">
        <f t="shared" ref="Q71:Q104" ca="1" si="45">Q70</f>
        <v>#VALUE!</v>
      </c>
      <c r="R71" s="13" t="e">
        <f t="shared" ref="R71:S104" ca="1" si="46">R70</f>
        <v>#VALUE!</v>
      </c>
      <c r="S71" s="1369" t="e">
        <f t="shared" ca="1" si="46"/>
        <v>#VALUE!</v>
      </c>
      <c r="U71" s="13" t="e">
        <f t="shared" ca="1" si="26"/>
        <v>#DIV/0!</v>
      </c>
      <c r="V71" s="13" t="e">
        <f t="shared" ca="1" si="27"/>
        <v>#DIV/0!</v>
      </c>
      <c r="W71" s="13" t="e">
        <f t="shared" ca="1" si="41"/>
        <v>#DIV/0!</v>
      </c>
      <c r="Y71" s="13" t="e">
        <f t="shared" ca="1" si="28"/>
        <v>#N/A</v>
      </c>
      <c r="Z71" s="13" t="e">
        <f t="shared" ca="1" si="29"/>
        <v>#DIV/0!</v>
      </c>
      <c r="AA71" s="13" t="e">
        <f t="shared" ca="1" si="42"/>
        <v>#N/A</v>
      </c>
    </row>
    <row r="72" spans="1:27" x14ac:dyDescent="0.25">
      <c r="A72" s="1366">
        <v>0.68</v>
      </c>
      <c r="B72" s="13">
        <f t="shared" si="30"/>
        <v>0</v>
      </c>
      <c r="C72" s="1367">
        <f t="shared" si="31"/>
        <v>0</v>
      </c>
      <c r="D72" s="1367" t="e">
        <f ca="1">B72*'Ввод исходных данных'!$G$285+C72+IF('Ввод исходных данных'!$D$159=0,7,10)</f>
        <v>#VALUE!</v>
      </c>
      <c r="E72" s="1434" t="e">
        <f t="shared" ca="1" si="32"/>
        <v>#VALUE!</v>
      </c>
      <c r="F72" s="1367" t="e">
        <f t="shared" ca="1" si="33"/>
        <v>#VALUE!</v>
      </c>
      <c r="G72" s="1367" t="e">
        <f t="shared" ca="1" si="34"/>
        <v>#VALUE!</v>
      </c>
      <c r="H72" s="1367" t="e">
        <f t="shared" ca="1" si="35"/>
        <v>#VALUE!</v>
      </c>
      <c r="I72" s="1367" t="e">
        <f t="shared" ca="1" si="36"/>
        <v>#VALUE!</v>
      </c>
      <c r="J72" s="1367" t="e">
        <f t="shared" ca="1" si="37"/>
        <v>#VALUE!</v>
      </c>
      <c r="K72" s="1367" t="e">
        <f t="shared" ca="1" si="38"/>
        <v>#VALUE!</v>
      </c>
      <c r="L72" s="1367" t="e">
        <f t="shared" ca="1" si="39"/>
        <v>#VALUE!</v>
      </c>
      <c r="M72" s="1367" t="e">
        <f t="shared" ca="1" si="40"/>
        <v>#VALUE!</v>
      </c>
      <c r="N72" s="13" t="e">
        <f t="shared" ca="1" si="43"/>
        <v>#VALUE!</v>
      </c>
      <c r="O72" s="13" t="e">
        <f t="shared" ca="1" si="44"/>
        <v>#VALUE!</v>
      </c>
      <c r="P72" s="1369" t="e">
        <f t="shared" ca="1" si="44"/>
        <v>#VALUE!</v>
      </c>
      <c r="Q72" s="13" t="e">
        <f t="shared" ca="1" si="45"/>
        <v>#VALUE!</v>
      </c>
      <c r="R72" s="13" t="e">
        <f t="shared" ca="1" si="46"/>
        <v>#VALUE!</v>
      </c>
      <c r="S72" s="1369" t="e">
        <f t="shared" ca="1" si="46"/>
        <v>#VALUE!</v>
      </c>
      <c r="U72" s="13" t="e">
        <f t="shared" ca="1" si="26"/>
        <v>#DIV/0!</v>
      </c>
      <c r="V72" s="13" t="e">
        <f t="shared" ca="1" si="27"/>
        <v>#DIV/0!</v>
      </c>
      <c r="W72" s="13" t="e">
        <f t="shared" ca="1" si="41"/>
        <v>#DIV/0!</v>
      </c>
      <c r="Y72" s="13" t="e">
        <f t="shared" ca="1" si="28"/>
        <v>#N/A</v>
      </c>
      <c r="Z72" s="13" t="e">
        <f t="shared" ca="1" si="29"/>
        <v>#DIV/0!</v>
      </c>
      <c r="AA72" s="13" t="e">
        <f t="shared" ca="1" si="42"/>
        <v>#N/A</v>
      </c>
    </row>
    <row r="73" spans="1:27" x14ac:dyDescent="0.25">
      <c r="A73" s="1366">
        <v>0.69</v>
      </c>
      <c r="B73" s="13">
        <f t="shared" si="30"/>
        <v>0</v>
      </c>
      <c r="C73" s="1367">
        <f t="shared" si="31"/>
        <v>0</v>
      </c>
      <c r="D73" s="1367" t="e">
        <f ca="1">B73*'Ввод исходных данных'!$G$285+C73+IF('Ввод исходных данных'!$D$159=0,7,10)</f>
        <v>#VALUE!</v>
      </c>
      <c r="E73" s="1434" t="e">
        <f t="shared" ca="1" si="32"/>
        <v>#VALUE!</v>
      </c>
      <c r="F73" s="1367" t="e">
        <f t="shared" ca="1" si="33"/>
        <v>#VALUE!</v>
      </c>
      <c r="G73" s="1367" t="e">
        <f t="shared" ca="1" si="34"/>
        <v>#VALUE!</v>
      </c>
      <c r="H73" s="1367" t="e">
        <f t="shared" ca="1" si="35"/>
        <v>#VALUE!</v>
      </c>
      <c r="I73" s="1367" t="e">
        <f t="shared" ca="1" si="36"/>
        <v>#VALUE!</v>
      </c>
      <c r="J73" s="1367" t="e">
        <f t="shared" ca="1" si="37"/>
        <v>#VALUE!</v>
      </c>
      <c r="K73" s="1367" t="e">
        <f t="shared" ca="1" si="38"/>
        <v>#VALUE!</v>
      </c>
      <c r="L73" s="1367" t="e">
        <f t="shared" ca="1" si="39"/>
        <v>#VALUE!</v>
      </c>
      <c r="M73" s="1367" t="e">
        <f t="shared" ca="1" si="40"/>
        <v>#VALUE!</v>
      </c>
      <c r="N73" s="13" t="e">
        <f t="shared" ca="1" si="43"/>
        <v>#VALUE!</v>
      </c>
      <c r="O73" s="13" t="e">
        <f t="shared" ca="1" si="44"/>
        <v>#VALUE!</v>
      </c>
      <c r="P73" s="1369" t="e">
        <f t="shared" ca="1" si="44"/>
        <v>#VALUE!</v>
      </c>
      <c r="Q73" s="13" t="e">
        <f t="shared" ca="1" si="45"/>
        <v>#VALUE!</v>
      </c>
      <c r="R73" s="13" t="e">
        <f t="shared" ca="1" si="46"/>
        <v>#VALUE!</v>
      </c>
      <c r="S73" s="1369" t="e">
        <f t="shared" ca="1" si="46"/>
        <v>#VALUE!</v>
      </c>
      <c r="U73" s="13" t="e">
        <f t="shared" ca="1" si="26"/>
        <v>#DIV/0!</v>
      </c>
      <c r="V73" s="13" t="e">
        <f t="shared" ca="1" si="27"/>
        <v>#DIV/0!</v>
      </c>
      <c r="W73" s="13" t="e">
        <f t="shared" ca="1" si="41"/>
        <v>#DIV/0!</v>
      </c>
      <c r="Y73" s="13" t="e">
        <f t="shared" ca="1" si="28"/>
        <v>#N/A</v>
      </c>
      <c r="Z73" s="13" t="e">
        <f t="shared" ca="1" si="29"/>
        <v>#DIV/0!</v>
      </c>
      <c r="AA73" s="13" t="e">
        <f t="shared" ca="1" si="42"/>
        <v>#N/A</v>
      </c>
    </row>
    <row r="74" spans="1:27" x14ac:dyDescent="0.25">
      <c r="A74" s="1366">
        <v>0.7</v>
      </c>
      <c r="B74" s="13">
        <f t="shared" si="30"/>
        <v>0</v>
      </c>
      <c r="C74" s="1367">
        <f t="shared" si="31"/>
        <v>0</v>
      </c>
      <c r="D74" s="1367" t="e">
        <f ca="1">B74*'Ввод исходных данных'!$G$285+C74+IF('Ввод исходных данных'!$D$159=0,7,10)</f>
        <v>#VALUE!</v>
      </c>
      <c r="E74" s="1434" t="e">
        <f t="shared" ca="1" si="32"/>
        <v>#VALUE!</v>
      </c>
      <c r="F74" s="1367" t="e">
        <f t="shared" ca="1" si="33"/>
        <v>#VALUE!</v>
      </c>
      <c r="G74" s="1367" t="e">
        <f t="shared" ca="1" si="34"/>
        <v>#VALUE!</v>
      </c>
      <c r="H74" s="1367" t="e">
        <f t="shared" ca="1" si="35"/>
        <v>#VALUE!</v>
      </c>
      <c r="I74" s="1367" t="e">
        <f t="shared" ca="1" si="36"/>
        <v>#VALUE!</v>
      </c>
      <c r="J74" s="1367" t="e">
        <f t="shared" ca="1" si="37"/>
        <v>#VALUE!</v>
      </c>
      <c r="K74" s="1367" t="e">
        <f t="shared" ca="1" si="38"/>
        <v>#VALUE!</v>
      </c>
      <c r="L74" s="1367" t="e">
        <f t="shared" ca="1" si="39"/>
        <v>#VALUE!</v>
      </c>
      <c r="M74" s="1367" t="e">
        <f t="shared" ca="1" si="40"/>
        <v>#VALUE!</v>
      </c>
      <c r="N74" s="13" t="e">
        <f t="shared" ca="1" si="43"/>
        <v>#VALUE!</v>
      </c>
      <c r="O74" s="13" t="e">
        <f t="shared" ca="1" si="44"/>
        <v>#VALUE!</v>
      </c>
      <c r="P74" s="1369" t="e">
        <f t="shared" ca="1" si="44"/>
        <v>#VALUE!</v>
      </c>
      <c r="Q74" s="13" t="e">
        <f t="shared" ca="1" si="45"/>
        <v>#VALUE!</v>
      </c>
      <c r="R74" s="13" t="e">
        <f t="shared" ca="1" si="46"/>
        <v>#VALUE!</v>
      </c>
      <c r="S74" s="1369" t="e">
        <f t="shared" ca="1" si="46"/>
        <v>#VALUE!</v>
      </c>
      <c r="U74" s="13" t="e">
        <f t="shared" ca="1" si="26"/>
        <v>#DIV/0!</v>
      </c>
      <c r="V74" s="13" t="e">
        <f t="shared" ca="1" si="27"/>
        <v>#DIV/0!</v>
      </c>
      <c r="W74" s="13" t="e">
        <f t="shared" ca="1" si="41"/>
        <v>#DIV/0!</v>
      </c>
      <c r="Y74" s="13" t="e">
        <f t="shared" ca="1" si="28"/>
        <v>#N/A</v>
      </c>
      <c r="Z74" s="13" t="e">
        <f t="shared" ca="1" si="29"/>
        <v>#DIV/0!</v>
      </c>
      <c r="AA74" s="13" t="e">
        <f t="shared" ca="1" si="42"/>
        <v>#N/A</v>
      </c>
    </row>
    <row r="75" spans="1:27" x14ac:dyDescent="0.25">
      <c r="A75" s="1366">
        <v>0.71</v>
      </c>
      <c r="B75" s="13">
        <f t="shared" si="30"/>
        <v>0</v>
      </c>
      <c r="C75" s="1367">
        <f t="shared" si="31"/>
        <v>0</v>
      </c>
      <c r="D75" s="1367" t="e">
        <f ca="1">B75*'Ввод исходных данных'!$G$285+C75+IF('Ввод исходных данных'!$D$159=0,7,10)</f>
        <v>#VALUE!</v>
      </c>
      <c r="E75" s="1434" t="e">
        <f t="shared" ca="1" si="32"/>
        <v>#VALUE!</v>
      </c>
      <c r="F75" s="1367" t="e">
        <f t="shared" ca="1" si="33"/>
        <v>#VALUE!</v>
      </c>
      <c r="G75" s="1367" t="e">
        <f t="shared" ca="1" si="34"/>
        <v>#VALUE!</v>
      </c>
      <c r="H75" s="1367" t="e">
        <f t="shared" ca="1" si="35"/>
        <v>#VALUE!</v>
      </c>
      <c r="I75" s="1367" t="e">
        <f t="shared" ca="1" si="36"/>
        <v>#VALUE!</v>
      </c>
      <c r="J75" s="1367" t="e">
        <f t="shared" ca="1" si="37"/>
        <v>#VALUE!</v>
      </c>
      <c r="K75" s="1367" t="e">
        <f t="shared" ca="1" si="38"/>
        <v>#VALUE!</v>
      </c>
      <c r="L75" s="1367" t="e">
        <f t="shared" ca="1" si="39"/>
        <v>#VALUE!</v>
      </c>
      <c r="M75" s="1367" t="e">
        <f t="shared" ca="1" si="40"/>
        <v>#VALUE!</v>
      </c>
      <c r="N75" s="13" t="e">
        <f t="shared" ca="1" si="43"/>
        <v>#VALUE!</v>
      </c>
      <c r="O75" s="13" t="e">
        <f t="shared" ca="1" si="44"/>
        <v>#VALUE!</v>
      </c>
      <c r="P75" s="1369" t="e">
        <f t="shared" ca="1" si="44"/>
        <v>#VALUE!</v>
      </c>
      <c r="Q75" s="13" t="e">
        <f t="shared" ca="1" si="45"/>
        <v>#VALUE!</v>
      </c>
      <c r="R75" s="13" t="e">
        <f t="shared" ca="1" si="46"/>
        <v>#VALUE!</v>
      </c>
      <c r="S75" s="1369" t="e">
        <f t="shared" ca="1" si="46"/>
        <v>#VALUE!</v>
      </c>
      <c r="U75" s="13" t="e">
        <f t="shared" ca="1" si="26"/>
        <v>#DIV/0!</v>
      </c>
      <c r="V75" s="13" t="e">
        <f t="shared" ca="1" si="27"/>
        <v>#DIV/0!</v>
      </c>
      <c r="W75" s="13" t="e">
        <f t="shared" ca="1" si="41"/>
        <v>#DIV/0!</v>
      </c>
      <c r="Y75" s="13" t="e">
        <f t="shared" ca="1" si="28"/>
        <v>#N/A</v>
      </c>
      <c r="Z75" s="13" t="e">
        <f t="shared" ca="1" si="29"/>
        <v>#DIV/0!</v>
      </c>
      <c r="AA75" s="13" t="e">
        <f t="shared" ca="1" si="42"/>
        <v>#N/A</v>
      </c>
    </row>
    <row r="76" spans="1:27" x14ac:dyDescent="0.25">
      <c r="A76" s="1366">
        <v>0.72</v>
      </c>
      <c r="B76" s="13">
        <f t="shared" si="30"/>
        <v>0</v>
      </c>
      <c r="C76" s="1367">
        <f t="shared" si="31"/>
        <v>0</v>
      </c>
      <c r="D76" s="1367" t="e">
        <f ca="1">B76*'Ввод исходных данных'!$G$285+C76+IF('Ввод исходных данных'!$D$159=0,7,10)</f>
        <v>#VALUE!</v>
      </c>
      <c r="E76" s="1434" t="e">
        <f t="shared" ca="1" si="32"/>
        <v>#VALUE!</v>
      </c>
      <c r="F76" s="1367" t="e">
        <f t="shared" ca="1" si="33"/>
        <v>#VALUE!</v>
      </c>
      <c r="G76" s="1367" t="e">
        <f t="shared" ca="1" si="34"/>
        <v>#VALUE!</v>
      </c>
      <c r="H76" s="1367" t="e">
        <f t="shared" ca="1" si="35"/>
        <v>#VALUE!</v>
      </c>
      <c r="I76" s="1367" t="e">
        <f t="shared" ca="1" si="36"/>
        <v>#VALUE!</v>
      </c>
      <c r="J76" s="1367" t="e">
        <f t="shared" ca="1" si="37"/>
        <v>#VALUE!</v>
      </c>
      <c r="K76" s="1367" t="e">
        <f t="shared" ca="1" si="38"/>
        <v>#VALUE!</v>
      </c>
      <c r="L76" s="1367" t="e">
        <f t="shared" ca="1" si="39"/>
        <v>#VALUE!</v>
      </c>
      <c r="M76" s="1367" t="e">
        <f t="shared" ca="1" si="40"/>
        <v>#VALUE!</v>
      </c>
      <c r="N76" s="13" t="e">
        <f t="shared" ca="1" si="43"/>
        <v>#VALUE!</v>
      </c>
      <c r="O76" s="13" t="e">
        <f t="shared" ca="1" si="44"/>
        <v>#VALUE!</v>
      </c>
      <c r="P76" s="1369" t="e">
        <f t="shared" ca="1" si="44"/>
        <v>#VALUE!</v>
      </c>
      <c r="Q76" s="13" t="e">
        <f t="shared" ca="1" si="45"/>
        <v>#VALUE!</v>
      </c>
      <c r="R76" s="13" t="e">
        <f t="shared" ca="1" si="46"/>
        <v>#VALUE!</v>
      </c>
      <c r="S76" s="1369" t="e">
        <f t="shared" ca="1" si="46"/>
        <v>#VALUE!</v>
      </c>
      <c r="U76" s="13" t="e">
        <f t="shared" ca="1" si="26"/>
        <v>#DIV/0!</v>
      </c>
      <c r="V76" s="13" t="e">
        <f t="shared" ca="1" si="27"/>
        <v>#DIV/0!</v>
      </c>
      <c r="W76" s="13" t="e">
        <f t="shared" ca="1" si="41"/>
        <v>#DIV/0!</v>
      </c>
      <c r="Y76" s="13" t="e">
        <f t="shared" ca="1" si="28"/>
        <v>#N/A</v>
      </c>
      <c r="Z76" s="13" t="e">
        <f t="shared" ca="1" si="29"/>
        <v>#DIV/0!</v>
      </c>
      <c r="AA76" s="13" t="e">
        <f t="shared" ca="1" si="42"/>
        <v>#N/A</v>
      </c>
    </row>
    <row r="77" spans="1:27" x14ac:dyDescent="0.25">
      <c r="A77" s="1366">
        <v>0.73</v>
      </c>
      <c r="B77" s="13">
        <f t="shared" si="30"/>
        <v>0</v>
      </c>
      <c r="C77" s="1367">
        <f t="shared" si="31"/>
        <v>0</v>
      </c>
      <c r="D77" s="1367" t="e">
        <f ca="1">B77*'Ввод исходных данных'!$G$285+C77+IF('Ввод исходных данных'!$D$159=0,7,10)</f>
        <v>#VALUE!</v>
      </c>
      <c r="E77" s="1434" t="e">
        <f t="shared" ca="1" si="32"/>
        <v>#VALUE!</v>
      </c>
      <c r="F77" s="1367" t="e">
        <f t="shared" ca="1" si="33"/>
        <v>#VALUE!</v>
      </c>
      <c r="G77" s="1367" t="e">
        <f t="shared" ca="1" si="34"/>
        <v>#VALUE!</v>
      </c>
      <c r="H77" s="1367" t="e">
        <f t="shared" ca="1" si="35"/>
        <v>#VALUE!</v>
      </c>
      <c r="I77" s="1367" t="e">
        <f t="shared" ca="1" si="36"/>
        <v>#VALUE!</v>
      </c>
      <c r="J77" s="1367" t="e">
        <f t="shared" ca="1" si="37"/>
        <v>#VALUE!</v>
      </c>
      <c r="K77" s="1367" t="e">
        <f t="shared" ca="1" si="38"/>
        <v>#VALUE!</v>
      </c>
      <c r="L77" s="1367" t="e">
        <f t="shared" ca="1" si="39"/>
        <v>#VALUE!</v>
      </c>
      <c r="M77" s="1367" t="e">
        <f t="shared" ca="1" si="40"/>
        <v>#VALUE!</v>
      </c>
      <c r="N77" s="13" t="e">
        <f t="shared" ca="1" si="43"/>
        <v>#VALUE!</v>
      </c>
      <c r="O77" s="13" t="e">
        <f t="shared" ca="1" si="44"/>
        <v>#VALUE!</v>
      </c>
      <c r="P77" s="1369" t="e">
        <f t="shared" ca="1" si="44"/>
        <v>#VALUE!</v>
      </c>
      <c r="Q77" s="13" t="e">
        <f t="shared" ca="1" si="45"/>
        <v>#VALUE!</v>
      </c>
      <c r="R77" s="13" t="e">
        <f t="shared" ca="1" si="46"/>
        <v>#VALUE!</v>
      </c>
      <c r="S77" s="1369" t="e">
        <f t="shared" ca="1" si="46"/>
        <v>#VALUE!</v>
      </c>
      <c r="U77" s="13" t="e">
        <f t="shared" ca="1" si="26"/>
        <v>#DIV/0!</v>
      </c>
      <c r="V77" s="13" t="e">
        <f t="shared" ca="1" si="27"/>
        <v>#DIV/0!</v>
      </c>
      <c r="W77" s="13" t="e">
        <f t="shared" ca="1" si="41"/>
        <v>#DIV/0!</v>
      </c>
      <c r="Y77" s="13" t="e">
        <f t="shared" ca="1" si="28"/>
        <v>#N/A</v>
      </c>
      <c r="Z77" s="13" t="e">
        <f t="shared" ca="1" si="29"/>
        <v>#DIV/0!</v>
      </c>
      <c r="AA77" s="13" t="e">
        <f t="shared" ca="1" si="42"/>
        <v>#N/A</v>
      </c>
    </row>
    <row r="78" spans="1:27" x14ac:dyDescent="0.25">
      <c r="A78" s="1366">
        <v>0.74</v>
      </c>
      <c r="B78" s="13">
        <f t="shared" si="30"/>
        <v>0</v>
      </c>
      <c r="C78" s="1367">
        <f t="shared" si="31"/>
        <v>0</v>
      </c>
      <c r="D78" s="1367" t="e">
        <f ca="1">B78*'Ввод исходных данных'!$G$285+C78+IF('Ввод исходных данных'!$D$159=0,7,10)</f>
        <v>#VALUE!</v>
      </c>
      <c r="E78" s="1434" t="e">
        <f t="shared" ca="1" si="32"/>
        <v>#VALUE!</v>
      </c>
      <c r="F78" s="1367" t="e">
        <f t="shared" ca="1" si="33"/>
        <v>#VALUE!</v>
      </c>
      <c r="G78" s="1367" t="e">
        <f t="shared" ca="1" si="34"/>
        <v>#VALUE!</v>
      </c>
      <c r="H78" s="1367" t="e">
        <f t="shared" ca="1" si="35"/>
        <v>#VALUE!</v>
      </c>
      <c r="I78" s="1367" t="e">
        <f t="shared" ca="1" si="36"/>
        <v>#VALUE!</v>
      </c>
      <c r="J78" s="1367" t="e">
        <f t="shared" ca="1" si="37"/>
        <v>#VALUE!</v>
      </c>
      <c r="K78" s="1367" t="e">
        <f t="shared" ca="1" si="38"/>
        <v>#VALUE!</v>
      </c>
      <c r="L78" s="1367" t="e">
        <f t="shared" ca="1" si="39"/>
        <v>#VALUE!</v>
      </c>
      <c r="M78" s="1367" t="e">
        <f t="shared" ca="1" si="40"/>
        <v>#VALUE!</v>
      </c>
      <c r="N78" s="13" t="e">
        <f t="shared" ca="1" si="43"/>
        <v>#VALUE!</v>
      </c>
      <c r="O78" s="13" t="e">
        <f t="shared" ca="1" si="44"/>
        <v>#VALUE!</v>
      </c>
      <c r="P78" s="1369" t="e">
        <f t="shared" ca="1" si="44"/>
        <v>#VALUE!</v>
      </c>
      <c r="Q78" s="13" t="e">
        <f t="shared" ca="1" si="45"/>
        <v>#VALUE!</v>
      </c>
      <c r="R78" s="13" t="e">
        <f t="shared" ca="1" si="46"/>
        <v>#VALUE!</v>
      </c>
      <c r="S78" s="1369" t="e">
        <f t="shared" ca="1" si="46"/>
        <v>#VALUE!</v>
      </c>
      <c r="U78" s="13" t="e">
        <f t="shared" ca="1" si="26"/>
        <v>#DIV/0!</v>
      </c>
      <c r="V78" s="13" t="e">
        <f t="shared" ca="1" si="27"/>
        <v>#DIV/0!</v>
      </c>
      <c r="W78" s="13" t="e">
        <f t="shared" ca="1" si="41"/>
        <v>#DIV/0!</v>
      </c>
      <c r="Y78" s="13" t="e">
        <f t="shared" ca="1" si="28"/>
        <v>#N/A</v>
      </c>
      <c r="Z78" s="13" t="e">
        <f t="shared" ca="1" si="29"/>
        <v>#DIV/0!</v>
      </c>
      <c r="AA78" s="13" t="e">
        <f t="shared" ca="1" si="42"/>
        <v>#N/A</v>
      </c>
    </row>
    <row r="79" spans="1:27" x14ac:dyDescent="0.25">
      <c r="A79" s="1366">
        <v>0.75</v>
      </c>
      <c r="B79" s="13">
        <f t="shared" si="30"/>
        <v>0</v>
      </c>
      <c r="C79" s="1367">
        <f t="shared" si="31"/>
        <v>0</v>
      </c>
      <c r="D79" s="1367" t="e">
        <f ca="1">B79*'Ввод исходных данных'!$G$285+C79+IF('Ввод исходных данных'!$D$159=0,7,10)</f>
        <v>#VALUE!</v>
      </c>
      <c r="E79" s="1434" t="e">
        <f t="shared" ca="1" si="32"/>
        <v>#VALUE!</v>
      </c>
      <c r="F79" s="1367" t="e">
        <f t="shared" ca="1" si="33"/>
        <v>#VALUE!</v>
      </c>
      <c r="G79" s="1367" t="e">
        <f t="shared" ca="1" si="34"/>
        <v>#VALUE!</v>
      </c>
      <c r="H79" s="1367" t="e">
        <f t="shared" ca="1" si="35"/>
        <v>#VALUE!</v>
      </c>
      <c r="I79" s="1367" t="e">
        <f t="shared" ca="1" si="36"/>
        <v>#VALUE!</v>
      </c>
      <c r="J79" s="1367" t="e">
        <f t="shared" ca="1" si="37"/>
        <v>#VALUE!</v>
      </c>
      <c r="K79" s="1367" t="e">
        <f t="shared" ca="1" si="38"/>
        <v>#VALUE!</v>
      </c>
      <c r="L79" s="1367" t="e">
        <f t="shared" ca="1" si="39"/>
        <v>#VALUE!</v>
      </c>
      <c r="M79" s="1367" t="e">
        <f t="shared" ca="1" si="40"/>
        <v>#VALUE!</v>
      </c>
      <c r="N79" s="13" t="e">
        <f t="shared" ca="1" si="43"/>
        <v>#VALUE!</v>
      </c>
      <c r="O79" s="13" t="e">
        <f t="shared" ca="1" si="44"/>
        <v>#VALUE!</v>
      </c>
      <c r="P79" s="1369" t="e">
        <f t="shared" ca="1" si="44"/>
        <v>#VALUE!</v>
      </c>
      <c r="Q79" s="13" t="e">
        <f t="shared" ca="1" si="45"/>
        <v>#VALUE!</v>
      </c>
      <c r="R79" s="13" t="e">
        <f t="shared" ca="1" si="46"/>
        <v>#VALUE!</v>
      </c>
      <c r="S79" s="1369" t="e">
        <f t="shared" ca="1" si="46"/>
        <v>#VALUE!</v>
      </c>
      <c r="U79" s="13" t="e">
        <f t="shared" ca="1" si="26"/>
        <v>#DIV/0!</v>
      </c>
      <c r="V79" s="13" t="e">
        <f t="shared" ca="1" si="27"/>
        <v>#DIV/0!</v>
      </c>
      <c r="W79" s="13" t="e">
        <f t="shared" ca="1" si="41"/>
        <v>#DIV/0!</v>
      </c>
      <c r="Y79" s="13" t="e">
        <f t="shared" ca="1" si="28"/>
        <v>#N/A</v>
      </c>
      <c r="Z79" s="13" t="e">
        <f t="shared" ca="1" si="29"/>
        <v>#DIV/0!</v>
      </c>
      <c r="AA79" s="13" t="e">
        <f t="shared" ca="1" si="42"/>
        <v>#N/A</v>
      </c>
    </row>
    <row r="80" spans="1:27" x14ac:dyDescent="0.25">
      <c r="A80" s="1366">
        <v>0.76</v>
      </c>
      <c r="B80" s="13">
        <f t="shared" si="30"/>
        <v>0</v>
      </c>
      <c r="C80" s="1367">
        <f t="shared" si="31"/>
        <v>0</v>
      </c>
      <c r="D80" s="1367" t="e">
        <f ca="1">B80*'Ввод исходных данных'!$G$285+C80+IF('Ввод исходных данных'!$D$159=0,7,10)</f>
        <v>#VALUE!</v>
      </c>
      <c r="E80" s="1434" t="e">
        <f t="shared" ca="1" si="32"/>
        <v>#VALUE!</v>
      </c>
      <c r="F80" s="1367" t="e">
        <f t="shared" ca="1" si="33"/>
        <v>#VALUE!</v>
      </c>
      <c r="G80" s="1367" t="e">
        <f t="shared" ca="1" si="34"/>
        <v>#VALUE!</v>
      </c>
      <c r="H80" s="1367" t="e">
        <f t="shared" ca="1" si="35"/>
        <v>#VALUE!</v>
      </c>
      <c r="I80" s="1367" t="e">
        <f t="shared" ca="1" si="36"/>
        <v>#VALUE!</v>
      </c>
      <c r="J80" s="1367" t="e">
        <f t="shared" ca="1" si="37"/>
        <v>#VALUE!</v>
      </c>
      <c r="K80" s="1367" t="e">
        <f t="shared" ca="1" si="38"/>
        <v>#VALUE!</v>
      </c>
      <c r="L80" s="1367" t="e">
        <f t="shared" ca="1" si="39"/>
        <v>#VALUE!</v>
      </c>
      <c r="M80" s="1367" t="e">
        <f t="shared" ca="1" si="40"/>
        <v>#VALUE!</v>
      </c>
      <c r="N80" s="13" t="e">
        <f t="shared" ca="1" si="43"/>
        <v>#VALUE!</v>
      </c>
      <c r="O80" s="13" t="e">
        <f t="shared" ca="1" si="44"/>
        <v>#VALUE!</v>
      </c>
      <c r="P80" s="1369" t="e">
        <f t="shared" ca="1" si="44"/>
        <v>#VALUE!</v>
      </c>
      <c r="Q80" s="13" t="e">
        <f t="shared" ca="1" si="45"/>
        <v>#VALUE!</v>
      </c>
      <c r="R80" s="13" t="e">
        <f t="shared" ca="1" si="46"/>
        <v>#VALUE!</v>
      </c>
      <c r="S80" s="1369" t="e">
        <f t="shared" ca="1" si="46"/>
        <v>#VALUE!</v>
      </c>
      <c r="U80" s="13" t="e">
        <f t="shared" ca="1" si="26"/>
        <v>#DIV/0!</v>
      </c>
      <c r="V80" s="13" t="e">
        <f t="shared" ca="1" si="27"/>
        <v>#DIV/0!</v>
      </c>
      <c r="W80" s="13" t="e">
        <f t="shared" ca="1" si="41"/>
        <v>#DIV/0!</v>
      </c>
      <c r="Y80" s="13" t="e">
        <f t="shared" ca="1" si="28"/>
        <v>#N/A</v>
      </c>
      <c r="Z80" s="13" t="e">
        <f t="shared" ca="1" si="29"/>
        <v>#DIV/0!</v>
      </c>
      <c r="AA80" s="13" t="e">
        <f t="shared" ca="1" si="42"/>
        <v>#N/A</v>
      </c>
    </row>
    <row r="81" spans="1:27" x14ac:dyDescent="0.25">
      <c r="A81" s="1366">
        <v>0.77</v>
      </c>
      <c r="B81" s="13">
        <f t="shared" si="30"/>
        <v>0</v>
      </c>
      <c r="C81" s="1367">
        <f t="shared" si="31"/>
        <v>0</v>
      </c>
      <c r="D81" s="1367" t="e">
        <f ca="1">B81*'Ввод исходных данных'!$G$285+C81+IF('Ввод исходных данных'!$D$159=0,7,10)</f>
        <v>#VALUE!</v>
      </c>
      <c r="E81" s="1434" t="e">
        <f t="shared" ca="1" si="32"/>
        <v>#VALUE!</v>
      </c>
      <c r="F81" s="1367" t="e">
        <f t="shared" ca="1" si="33"/>
        <v>#VALUE!</v>
      </c>
      <c r="G81" s="1367" t="e">
        <f t="shared" ca="1" si="34"/>
        <v>#VALUE!</v>
      </c>
      <c r="H81" s="1367" t="e">
        <f t="shared" ca="1" si="35"/>
        <v>#VALUE!</v>
      </c>
      <c r="I81" s="1367" t="e">
        <f t="shared" ca="1" si="36"/>
        <v>#VALUE!</v>
      </c>
      <c r="J81" s="1367" t="e">
        <f t="shared" ca="1" si="37"/>
        <v>#VALUE!</v>
      </c>
      <c r="K81" s="1367" t="e">
        <f t="shared" ca="1" si="38"/>
        <v>#VALUE!</v>
      </c>
      <c r="L81" s="1367" t="e">
        <f t="shared" ca="1" si="39"/>
        <v>#VALUE!</v>
      </c>
      <c r="M81" s="1367" t="e">
        <f t="shared" ca="1" si="40"/>
        <v>#VALUE!</v>
      </c>
      <c r="N81" s="13" t="e">
        <f t="shared" ca="1" si="43"/>
        <v>#VALUE!</v>
      </c>
      <c r="O81" s="13" t="e">
        <f t="shared" ca="1" si="44"/>
        <v>#VALUE!</v>
      </c>
      <c r="P81" s="1369" t="e">
        <f t="shared" ca="1" si="44"/>
        <v>#VALUE!</v>
      </c>
      <c r="Q81" s="13" t="e">
        <f t="shared" ca="1" si="45"/>
        <v>#VALUE!</v>
      </c>
      <c r="R81" s="13" t="e">
        <f t="shared" ca="1" si="46"/>
        <v>#VALUE!</v>
      </c>
      <c r="S81" s="1369" t="e">
        <f t="shared" ca="1" si="46"/>
        <v>#VALUE!</v>
      </c>
      <c r="U81" s="13" t="e">
        <f t="shared" ca="1" si="26"/>
        <v>#DIV/0!</v>
      </c>
      <c r="V81" s="13" t="e">
        <f t="shared" ca="1" si="27"/>
        <v>#DIV/0!</v>
      </c>
      <c r="W81" s="13" t="e">
        <f t="shared" ca="1" si="41"/>
        <v>#DIV/0!</v>
      </c>
      <c r="Y81" s="13" t="e">
        <f t="shared" ca="1" si="28"/>
        <v>#N/A</v>
      </c>
      <c r="Z81" s="13" t="e">
        <f t="shared" ca="1" si="29"/>
        <v>#DIV/0!</v>
      </c>
      <c r="AA81" s="13" t="e">
        <f t="shared" ca="1" si="42"/>
        <v>#N/A</v>
      </c>
    </row>
    <row r="82" spans="1:27" x14ac:dyDescent="0.25">
      <c r="A82" s="1366">
        <v>0.78</v>
      </c>
      <c r="B82" s="13">
        <f t="shared" si="30"/>
        <v>0</v>
      </c>
      <c r="C82" s="1367">
        <f t="shared" si="31"/>
        <v>0</v>
      </c>
      <c r="D82" s="1367" t="e">
        <f ca="1">B82*'Ввод исходных данных'!$G$285+C82+IF('Ввод исходных данных'!$D$159=0,7,10)</f>
        <v>#VALUE!</v>
      </c>
      <c r="E82" s="1434" t="e">
        <f t="shared" ca="1" si="32"/>
        <v>#VALUE!</v>
      </c>
      <c r="F82" s="1367" t="e">
        <f t="shared" ca="1" si="33"/>
        <v>#VALUE!</v>
      </c>
      <c r="G82" s="1367" t="e">
        <f t="shared" ca="1" si="34"/>
        <v>#VALUE!</v>
      </c>
      <c r="H82" s="1367" t="e">
        <f t="shared" ca="1" si="35"/>
        <v>#VALUE!</v>
      </c>
      <c r="I82" s="1367" t="e">
        <f t="shared" ca="1" si="36"/>
        <v>#VALUE!</v>
      </c>
      <c r="J82" s="1367" t="e">
        <f t="shared" ca="1" si="37"/>
        <v>#VALUE!</v>
      </c>
      <c r="K82" s="1367" t="e">
        <f t="shared" ca="1" si="38"/>
        <v>#VALUE!</v>
      </c>
      <c r="L82" s="1367" t="e">
        <f t="shared" ca="1" si="39"/>
        <v>#VALUE!</v>
      </c>
      <c r="M82" s="1367" t="e">
        <f t="shared" ca="1" si="40"/>
        <v>#VALUE!</v>
      </c>
      <c r="N82" s="13" t="e">
        <f t="shared" ca="1" si="43"/>
        <v>#VALUE!</v>
      </c>
      <c r="O82" s="13" t="e">
        <f t="shared" ca="1" si="44"/>
        <v>#VALUE!</v>
      </c>
      <c r="P82" s="1369" t="e">
        <f t="shared" ca="1" si="44"/>
        <v>#VALUE!</v>
      </c>
      <c r="Q82" s="13" t="e">
        <f t="shared" ca="1" si="45"/>
        <v>#VALUE!</v>
      </c>
      <c r="R82" s="13" t="e">
        <f t="shared" ca="1" si="46"/>
        <v>#VALUE!</v>
      </c>
      <c r="S82" s="1369" t="e">
        <f t="shared" ca="1" si="46"/>
        <v>#VALUE!</v>
      </c>
      <c r="U82" s="13" t="e">
        <f t="shared" ca="1" si="26"/>
        <v>#DIV/0!</v>
      </c>
      <c r="V82" s="13" t="e">
        <f t="shared" ca="1" si="27"/>
        <v>#DIV/0!</v>
      </c>
      <c r="W82" s="13" t="e">
        <f t="shared" ca="1" si="41"/>
        <v>#DIV/0!</v>
      </c>
      <c r="Y82" s="13" t="e">
        <f t="shared" ca="1" si="28"/>
        <v>#N/A</v>
      </c>
      <c r="Z82" s="13" t="e">
        <f t="shared" ca="1" si="29"/>
        <v>#DIV/0!</v>
      </c>
      <c r="AA82" s="13" t="e">
        <f t="shared" ca="1" si="42"/>
        <v>#N/A</v>
      </c>
    </row>
    <row r="83" spans="1:27" x14ac:dyDescent="0.25">
      <c r="A83" s="1366">
        <v>0.79</v>
      </c>
      <c r="B83" s="13">
        <f t="shared" si="30"/>
        <v>0</v>
      </c>
      <c r="C83" s="1367">
        <f t="shared" si="31"/>
        <v>0</v>
      </c>
      <c r="D83" s="1367" t="e">
        <f ca="1">B83*'Ввод исходных данных'!$G$285+C83+IF('Ввод исходных данных'!$D$159=0,7,10)</f>
        <v>#VALUE!</v>
      </c>
      <c r="E83" s="1434" t="e">
        <f t="shared" ca="1" si="32"/>
        <v>#VALUE!</v>
      </c>
      <c r="F83" s="1367" t="e">
        <f t="shared" ca="1" si="33"/>
        <v>#VALUE!</v>
      </c>
      <c r="G83" s="1367" t="e">
        <f t="shared" ca="1" si="34"/>
        <v>#VALUE!</v>
      </c>
      <c r="H83" s="1367" t="e">
        <f t="shared" ca="1" si="35"/>
        <v>#VALUE!</v>
      </c>
      <c r="I83" s="1367" t="e">
        <f t="shared" ca="1" si="36"/>
        <v>#VALUE!</v>
      </c>
      <c r="J83" s="1367" t="e">
        <f t="shared" ca="1" si="37"/>
        <v>#VALUE!</v>
      </c>
      <c r="K83" s="1367" t="e">
        <f t="shared" ca="1" si="38"/>
        <v>#VALUE!</v>
      </c>
      <c r="L83" s="1367" t="e">
        <f t="shared" ca="1" si="39"/>
        <v>#VALUE!</v>
      </c>
      <c r="M83" s="1367" t="e">
        <f t="shared" ca="1" si="40"/>
        <v>#VALUE!</v>
      </c>
      <c r="N83" s="13" t="e">
        <f t="shared" ca="1" si="43"/>
        <v>#VALUE!</v>
      </c>
      <c r="O83" s="13" t="e">
        <f t="shared" ca="1" si="44"/>
        <v>#VALUE!</v>
      </c>
      <c r="P83" s="1369" t="e">
        <f t="shared" ca="1" si="44"/>
        <v>#VALUE!</v>
      </c>
      <c r="Q83" s="13" t="e">
        <f t="shared" ca="1" si="45"/>
        <v>#VALUE!</v>
      </c>
      <c r="R83" s="13" t="e">
        <f t="shared" ca="1" si="46"/>
        <v>#VALUE!</v>
      </c>
      <c r="S83" s="1369" t="e">
        <f t="shared" ca="1" si="46"/>
        <v>#VALUE!</v>
      </c>
      <c r="U83" s="13" t="e">
        <f t="shared" ca="1" si="26"/>
        <v>#DIV/0!</v>
      </c>
      <c r="V83" s="13" t="e">
        <f t="shared" ca="1" si="27"/>
        <v>#DIV/0!</v>
      </c>
      <c r="W83" s="13" t="e">
        <f t="shared" ca="1" si="41"/>
        <v>#DIV/0!</v>
      </c>
      <c r="Y83" s="13" t="e">
        <f t="shared" ca="1" si="28"/>
        <v>#N/A</v>
      </c>
      <c r="Z83" s="13" t="e">
        <f t="shared" ca="1" si="29"/>
        <v>#DIV/0!</v>
      </c>
      <c r="AA83" s="13" t="e">
        <f t="shared" ca="1" si="42"/>
        <v>#N/A</v>
      </c>
    </row>
    <row r="84" spans="1:27" x14ac:dyDescent="0.25">
      <c r="A84" s="1366">
        <v>0.8</v>
      </c>
      <c r="B84" s="13">
        <f t="shared" si="30"/>
        <v>0</v>
      </c>
      <c r="C84" s="1367">
        <f t="shared" si="31"/>
        <v>0</v>
      </c>
      <c r="D84" s="1367" t="e">
        <f ca="1">B84*'Ввод исходных данных'!$G$285+C84+IF('Ввод исходных данных'!$D$159=0,7,10)</f>
        <v>#VALUE!</v>
      </c>
      <c r="E84" s="1434" t="e">
        <f t="shared" ca="1" si="32"/>
        <v>#VALUE!</v>
      </c>
      <c r="F84" s="1367" t="e">
        <f t="shared" ca="1" si="33"/>
        <v>#VALUE!</v>
      </c>
      <c r="G84" s="1367" t="e">
        <f t="shared" ca="1" si="34"/>
        <v>#VALUE!</v>
      </c>
      <c r="H84" s="1367" t="e">
        <f t="shared" ca="1" si="35"/>
        <v>#VALUE!</v>
      </c>
      <c r="I84" s="1367" t="e">
        <f t="shared" ca="1" si="36"/>
        <v>#VALUE!</v>
      </c>
      <c r="J84" s="1367" t="e">
        <f t="shared" ca="1" si="37"/>
        <v>#VALUE!</v>
      </c>
      <c r="K84" s="1367" t="e">
        <f t="shared" ca="1" si="38"/>
        <v>#VALUE!</v>
      </c>
      <c r="L84" s="1367" t="e">
        <f t="shared" ca="1" si="39"/>
        <v>#VALUE!</v>
      </c>
      <c r="M84" s="1367" t="e">
        <f t="shared" ca="1" si="40"/>
        <v>#VALUE!</v>
      </c>
      <c r="N84" s="13" t="e">
        <f t="shared" ca="1" si="43"/>
        <v>#VALUE!</v>
      </c>
      <c r="O84" s="13" t="e">
        <f t="shared" ca="1" si="44"/>
        <v>#VALUE!</v>
      </c>
      <c r="P84" s="1369" t="e">
        <f t="shared" ca="1" si="44"/>
        <v>#VALUE!</v>
      </c>
      <c r="Q84" s="13" t="e">
        <f t="shared" ca="1" si="45"/>
        <v>#VALUE!</v>
      </c>
      <c r="R84" s="13" t="e">
        <f t="shared" ca="1" si="46"/>
        <v>#VALUE!</v>
      </c>
      <c r="S84" s="1369" t="e">
        <f t="shared" ca="1" si="46"/>
        <v>#VALUE!</v>
      </c>
      <c r="U84" s="13" t="e">
        <f t="shared" ca="1" si="26"/>
        <v>#DIV/0!</v>
      </c>
      <c r="V84" s="13" t="e">
        <f t="shared" ca="1" si="27"/>
        <v>#DIV/0!</v>
      </c>
      <c r="W84" s="13" t="e">
        <f t="shared" ca="1" si="41"/>
        <v>#DIV/0!</v>
      </c>
      <c r="Y84" s="13" t="e">
        <f t="shared" ca="1" si="28"/>
        <v>#N/A</v>
      </c>
      <c r="Z84" s="13" t="e">
        <f t="shared" ca="1" si="29"/>
        <v>#DIV/0!</v>
      </c>
      <c r="AA84" s="13" t="e">
        <f t="shared" ca="1" si="42"/>
        <v>#N/A</v>
      </c>
    </row>
    <row r="85" spans="1:27" x14ac:dyDescent="0.25">
      <c r="A85" s="1366">
        <v>0.81</v>
      </c>
      <c r="B85" s="13">
        <f t="shared" si="30"/>
        <v>0</v>
      </c>
      <c r="C85" s="1367">
        <f t="shared" si="31"/>
        <v>0</v>
      </c>
      <c r="D85" s="1367" t="e">
        <f ca="1">B85*'Ввод исходных данных'!$G$285+C85+IF('Ввод исходных данных'!$D$159=0,7,10)</f>
        <v>#VALUE!</v>
      </c>
      <c r="E85" s="1434" t="e">
        <f t="shared" ca="1" si="32"/>
        <v>#VALUE!</v>
      </c>
      <c r="F85" s="1367" t="e">
        <f t="shared" ca="1" si="33"/>
        <v>#VALUE!</v>
      </c>
      <c r="G85" s="1367" t="e">
        <f t="shared" ca="1" si="34"/>
        <v>#VALUE!</v>
      </c>
      <c r="H85" s="1367" t="e">
        <f t="shared" ca="1" si="35"/>
        <v>#VALUE!</v>
      </c>
      <c r="I85" s="1367" t="e">
        <f t="shared" ca="1" si="36"/>
        <v>#VALUE!</v>
      </c>
      <c r="J85" s="1367" t="e">
        <f t="shared" ca="1" si="37"/>
        <v>#VALUE!</v>
      </c>
      <c r="K85" s="1367" t="e">
        <f t="shared" ca="1" si="38"/>
        <v>#VALUE!</v>
      </c>
      <c r="L85" s="1367" t="e">
        <f t="shared" ca="1" si="39"/>
        <v>#VALUE!</v>
      </c>
      <c r="M85" s="1367" t="e">
        <f t="shared" ca="1" si="40"/>
        <v>#VALUE!</v>
      </c>
      <c r="N85" s="13" t="e">
        <f t="shared" ca="1" si="43"/>
        <v>#VALUE!</v>
      </c>
      <c r="O85" s="13" t="e">
        <f t="shared" ca="1" si="44"/>
        <v>#VALUE!</v>
      </c>
      <c r="P85" s="1369" t="e">
        <f t="shared" ca="1" si="44"/>
        <v>#VALUE!</v>
      </c>
      <c r="Q85" s="13" t="e">
        <f t="shared" ca="1" si="45"/>
        <v>#VALUE!</v>
      </c>
      <c r="R85" s="13" t="e">
        <f t="shared" ca="1" si="46"/>
        <v>#VALUE!</v>
      </c>
      <c r="S85" s="1369" t="e">
        <f t="shared" ca="1" si="46"/>
        <v>#VALUE!</v>
      </c>
      <c r="U85" s="13" t="e">
        <f t="shared" ca="1" si="26"/>
        <v>#DIV/0!</v>
      </c>
      <c r="V85" s="13" t="e">
        <f t="shared" ca="1" si="27"/>
        <v>#DIV/0!</v>
      </c>
      <c r="W85" s="13" t="e">
        <f t="shared" ca="1" si="41"/>
        <v>#DIV/0!</v>
      </c>
      <c r="Y85" s="13" t="e">
        <f t="shared" ca="1" si="28"/>
        <v>#N/A</v>
      </c>
      <c r="Z85" s="13" t="e">
        <f t="shared" ca="1" si="29"/>
        <v>#DIV/0!</v>
      </c>
      <c r="AA85" s="13" t="e">
        <f t="shared" ca="1" si="42"/>
        <v>#N/A</v>
      </c>
    </row>
    <row r="86" spans="1:27" x14ac:dyDescent="0.25">
      <c r="A86" s="1366">
        <v>0.82</v>
      </c>
      <c r="B86" s="13">
        <f t="shared" si="30"/>
        <v>0</v>
      </c>
      <c r="C86" s="1367">
        <f t="shared" si="31"/>
        <v>0</v>
      </c>
      <c r="D86" s="1367" t="e">
        <f ca="1">B86*'Ввод исходных данных'!$G$285+C86+IF('Ввод исходных данных'!$D$159=0,7,10)</f>
        <v>#VALUE!</v>
      </c>
      <c r="E86" s="1434" t="e">
        <f t="shared" ca="1" si="32"/>
        <v>#VALUE!</v>
      </c>
      <c r="F86" s="1367" t="e">
        <f t="shared" ca="1" si="33"/>
        <v>#VALUE!</v>
      </c>
      <c r="G86" s="1367" t="e">
        <f t="shared" ca="1" si="34"/>
        <v>#VALUE!</v>
      </c>
      <c r="H86" s="1367" t="e">
        <f t="shared" ca="1" si="35"/>
        <v>#VALUE!</v>
      </c>
      <c r="I86" s="1367" t="e">
        <f t="shared" ca="1" si="36"/>
        <v>#VALUE!</v>
      </c>
      <c r="J86" s="1367" t="e">
        <f t="shared" ca="1" si="37"/>
        <v>#VALUE!</v>
      </c>
      <c r="K86" s="1367" t="e">
        <f t="shared" ca="1" si="38"/>
        <v>#VALUE!</v>
      </c>
      <c r="L86" s="1367" t="e">
        <f t="shared" ca="1" si="39"/>
        <v>#VALUE!</v>
      </c>
      <c r="M86" s="1367" t="e">
        <f t="shared" ca="1" si="40"/>
        <v>#VALUE!</v>
      </c>
      <c r="N86" s="13" t="e">
        <f t="shared" ca="1" si="43"/>
        <v>#VALUE!</v>
      </c>
      <c r="O86" s="13" t="e">
        <f t="shared" ca="1" si="44"/>
        <v>#VALUE!</v>
      </c>
      <c r="P86" s="1369" t="e">
        <f t="shared" ca="1" si="44"/>
        <v>#VALUE!</v>
      </c>
      <c r="Q86" s="13" t="e">
        <f t="shared" ca="1" si="45"/>
        <v>#VALUE!</v>
      </c>
      <c r="R86" s="13" t="e">
        <f t="shared" ca="1" si="46"/>
        <v>#VALUE!</v>
      </c>
      <c r="S86" s="1369" t="e">
        <f t="shared" ca="1" si="46"/>
        <v>#VALUE!</v>
      </c>
      <c r="U86" s="13" t="e">
        <f t="shared" ca="1" si="26"/>
        <v>#DIV/0!</v>
      </c>
      <c r="V86" s="13" t="e">
        <f t="shared" ca="1" si="27"/>
        <v>#DIV/0!</v>
      </c>
      <c r="W86" s="13" t="e">
        <f t="shared" ca="1" si="41"/>
        <v>#DIV/0!</v>
      </c>
      <c r="Y86" s="13" t="e">
        <f t="shared" ca="1" si="28"/>
        <v>#N/A</v>
      </c>
      <c r="Z86" s="13" t="e">
        <f t="shared" ca="1" si="29"/>
        <v>#DIV/0!</v>
      </c>
      <c r="AA86" s="13" t="e">
        <f t="shared" ca="1" si="42"/>
        <v>#N/A</v>
      </c>
    </row>
    <row r="87" spans="1:27" x14ac:dyDescent="0.25">
      <c r="A87" s="1366">
        <v>0.83</v>
      </c>
      <c r="B87" s="13">
        <f t="shared" si="30"/>
        <v>0</v>
      </c>
      <c r="C87" s="1367">
        <f t="shared" si="31"/>
        <v>0</v>
      </c>
      <c r="D87" s="1367" t="e">
        <f ca="1">B87*'Ввод исходных данных'!$G$285+C87+IF('Ввод исходных данных'!$D$159=0,7,10)</f>
        <v>#VALUE!</v>
      </c>
      <c r="E87" s="1434" t="e">
        <f t="shared" ca="1" si="32"/>
        <v>#VALUE!</v>
      </c>
      <c r="F87" s="1367" t="e">
        <f t="shared" ca="1" si="33"/>
        <v>#VALUE!</v>
      </c>
      <c r="G87" s="1367" t="e">
        <f t="shared" ca="1" si="34"/>
        <v>#VALUE!</v>
      </c>
      <c r="H87" s="1367" t="e">
        <f t="shared" ca="1" si="35"/>
        <v>#VALUE!</v>
      </c>
      <c r="I87" s="1367" t="e">
        <f t="shared" ca="1" si="36"/>
        <v>#VALUE!</v>
      </c>
      <c r="J87" s="1367" t="e">
        <f t="shared" ca="1" si="37"/>
        <v>#VALUE!</v>
      </c>
      <c r="K87" s="1367" t="e">
        <f t="shared" ca="1" si="38"/>
        <v>#VALUE!</v>
      </c>
      <c r="L87" s="1367" t="e">
        <f t="shared" ca="1" si="39"/>
        <v>#VALUE!</v>
      </c>
      <c r="M87" s="1367" t="e">
        <f t="shared" ca="1" si="40"/>
        <v>#VALUE!</v>
      </c>
      <c r="N87" s="13" t="e">
        <f t="shared" ca="1" si="43"/>
        <v>#VALUE!</v>
      </c>
      <c r="O87" s="13" t="e">
        <f t="shared" ca="1" si="44"/>
        <v>#VALUE!</v>
      </c>
      <c r="P87" s="1369" t="e">
        <f t="shared" ca="1" si="44"/>
        <v>#VALUE!</v>
      </c>
      <c r="Q87" s="13" t="e">
        <f t="shared" ca="1" si="45"/>
        <v>#VALUE!</v>
      </c>
      <c r="R87" s="13" t="e">
        <f t="shared" ca="1" si="46"/>
        <v>#VALUE!</v>
      </c>
      <c r="S87" s="1369" t="e">
        <f t="shared" ca="1" si="46"/>
        <v>#VALUE!</v>
      </c>
      <c r="U87" s="13" t="e">
        <f t="shared" ca="1" si="26"/>
        <v>#DIV/0!</v>
      </c>
      <c r="V87" s="13" t="e">
        <f t="shared" ca="1" si="27"/>
        <v>#DIV/0!</v>
      </c>
      <c r="W87" s="13" t="e">
        <f t="shared" ca="1" si="41"/>
        <v>#DIV/0!</v>
      </c>
      <c r="Y87" s="13" t="e">
        <f t="shared" ca="1" si="28"/>
        <v>#N/A</v>
      </c>
      <c r="Z87" s="13" t="e">
        <f t="shared" ca="1" si="29"/>
        <v>#DIV/0!</v>
      </c>
      <c r="AA87" s="13" t="e">
        <f t="shared" ca="1" si="42"/>
        <v>#N/A</v>
      </c>
    </row>
    <row r="88" spans="1:27" x14ac:dyDescent="0.25">
      <c r="A88" s="1366">
        <v>0.84</v>
      </c>
      <c r="B88" s="13">
        <f t="shared" si="30"/>
        <v>0</v>
      </c>
      <c r="C88" s="1367">
        <f t="shared" si="31"/>
        <v>0</v>
      </c>
      <c r="D88" s="1367" t="e">
        <f ca="1">B88*'Ввод исходных данных'!$G$285+C88+IF('Ввод исходных данных'!$D$159=0,7,10)</f>
        <v>#VALUE!</v>
      </c>
      <c r="E88" s="1434" t="e">
        <f t="shared" ca="1" si="32"/>
        <v>#VALUE!</v>
      </c>
      <c r="F88" s="1367" t="e">
        <f t="shared" ca="1" si="33"/>
        <v>#VALUE!</v>
      </c>
      <c r="G88" s="1367" t="e">
        <f t="shared" ca="1" si="34"/>
        <v>#VALUE!</v>
      </c>
      <c r="H88" s="1367" t="e">
        <f t="shared" ca="1" si="35"/>
        <v>#VALUE!</v>
      </c>
      <c r="I88" s="1367" t="e">
        <f t="shared" ca="1" si="36"/>
        <v>#VALUE!</v>
      </c>
      <c r="J88" s="1367" t="e">
        <f t="shared" ca="1" si="37"/>
        <v>#VALUE!</v>
      </c>
      <c r="K88" s="1367" t="e">
        <f t="shared" ca="1" si="38"/>
        <v>#VALUE!</v>
      </c>
      <c r="L88" s="1367" t="e">
        <f t="shared" ca="1" si="39"/>
        <v>#VALUE!</v>
      </c>
      <c r="M88" s="1367" t="e">
        <f t="shared" ca="1" si="40"/>
        <v>#VALUE!</v>
      </c>
      <c r="N88" s="13" t="e">
        <f t="shared" ca="1" si="43"/>
        <v>#VALUE!</v>
      </c>
      <c r="O88" s="13" t="e">
        <f t="shared" ca="1" si="44"/>
        <v>#VALUE!</v>
      </c>
      <c r="P88" s="1369" t="e">
        <f t="shared" ca="1" si="44"/>
        <v>#VALUE!</v>
      </c>
      <c r="Q88" s="13" t="e">
        <f t="shared" ca="1" si="45"/>
        <v>#VALUE!</v>
      </c>
      <c r="R88" s="13" t="e">
        <f t="shared" ca="1" si="46"/>
        <v>#VALUE!</v>
      </c>
      <c r="S88" s="1369" t="e">
        <f t="shared" ca="1" si="46"/>
        <v>#VALUE!</v>
      </c>
      <c r="U88" s="13" t="e">
        <f t="shared" ca="1" si="26"/>
        <v>#DIV/0!</v>
      </c>
      <c r="V88" s="13" t="e">
        <f t="shared" ca="1" si="27"/>
        <v>#DIV/0!</v>
      </c>
      <c r="W88" s="13" t="e">
        <f t="shared" ca="1" si="41"/>
        <v>#DIV/0!</v>
      </c>
      <c r="Y88" s="13" t="e">
        <f t="shared" ca="1" si="28"/>
        <v>#N/A</v>
      </c>
      <c r="Z88" s="13" t="e">
        <f t="shared" ca="1" si="29"/>
        <v>#DIV/0!</v>
      </c>
      <c r="AA88" s="13" t="e">
        <f t="shared" ca="1" si="42"/>
        <v>#N/A</v>
      </c>
    </row>
    <row r="89" spans="1:27" x14ac:dyDescent="0.25">
      <c r="A89" s="1366">
        <v>0.85</v>
      </c>
      <c r="B89" s="13">
        <f t="shared" si="30"/>
        <v>0</v>
      </c>
      <c r="C89" s="1367">
        <f t="shared" si="31"/>
        <v>0</v>
      </c>
      <c r="D89" s="1367" t="e">
        <f ca="1">B89*'Ввод исходных данных'!$G$285+C89+IF('Ввод исходных данных'!$D$159=0,7,10)</f>
        <v>#VALUE!</v>
      </c>
      <c r="E89" s="1434" t="e">
        <f t="shared" ca="1" si="32"/>
        <v>#VALUE!</v>
      </c>
      <c r="F89" s="1367" t="e">
        <f t="shared" ca="1" si="33"/>
        <v>#VALUE!</v>
      </c>
      <c r="G89" s="1367" t="e">
        <f t="shared" ca="1" si="34"/>
        <v>#VALUE!</v>
      </c>
      <c r="H89" s="1367" t="e">
        <f t="shared" ca="1" si="35"/>
        <v>#VALUE!</v>
      </c>
      <c r="I89" s="1367" t="e">
        <f t="shared" ca="1" si="36"/>
        <v>#VALUE!</v>
      </c>
      <c r="J89" s="1367" t="e">
        <f t="shared" ca="1" si="37"/>
        <v>#VALUE!</v>
      </c>
      <c r="K89" s="1367" t="e">
        <f t="shared" ca="1" si="38"/>
        <v>#VALUE!</v>
      </c>
      <c r="L89" s="1367" t="e">
        <f t="shared" ca="1" si="39"/>
        <v>#VALUE!</v>
      </c>
      <c r="M89" s="1367" t="e">
        <f t="shared" ca="1" si="40"/>
        <v>#VALUE!</v>
      </c>
      <c r="N89" s="13" t="e">
        <f t="shared" ca="1" si="43"/>
        <v>#VALUE!</v>
      </c>
      <c r="O89" s="13" t="e">
        <f t="shared" ca="1" si="44"/>
        <v>#VALUE!</v>
      </c>
      <c r="P89" s="1369" t="e">
        <f t="shared" ca="1" si="44"/>
        <v>#VALUE!</v>
      </c>
      <c r="Q89" s="13" t="e">
        <f t="shared" ca="1" si="45"/>
        <v>#VALUE!</v>
      </c>
      <c r="R89" s="13" t="e">
        <f t="shared" ca="1" si="46"/>
        <v>#VALUE!</v>
      </c>
      <c r="S89" s="1369" t="e">
        <f t="shared" ca="1" si="46"/>
        <v>#VALUE!</v>
      </c>
      <c r="U89" s="13" t="e">
        <f t="shared" ca="1" si="26"/>
        <v>#DIV/0!</v>
      </c>
      <c r="V89" s="13" t="e">
        <f t="shared" ca="1" si="27"/>
        <v>#DIV/0!</v>
      </c>
      <c r="W89" s="13" t="e">
        <f t="shared" ca="1" si="41"/>
        <v>#DIV/0!</v>
      </c>
      <c r="Y89" s="13" t="e">
        <f t="shared" ca="1" si="28"/>
        <v>#N/A</v>
      </c>
      <c r="Z89" s="13" t="e">
        <f t="shared" ca="1" si="29"/>
        <v>#DIV/0!</v>
      </c>
      <c r="AA89" s="13" t="e">
        <f t="shared" ca="1" si="42"/>
        <v>#N/A</v>
      </c>
    </row>
    <row r="90" spans="1:27" x14ac:dyDescent="0.25">
      <c r="A90" s="1366">
        <v>0.86</v>
      </c>
      <c r="B90" s="13">
        <f t="shared" si="30"/>
        <v>0</v>
      </c>
      <c r="C90" s="1367">
        <f t="shared" si="31"/>
        <v>0</v>
      </c>
      <c r="D90" s="1367" t="e">
        <f ca="1">B90*'Ввод исходных данных'!$G$285+C90+IF('Ввод исходных данных'!$D$159=0,7,10)</f>
        <v>#VALUE!</v>
      </c>
      <c r="E90" s="1434" t="e">
        <f t="shared" ca="1" si="32"/>
        <v>#VALUE!</v>
      </c>
      <c r="F90" s="1367" t="e">
        <f t="shared" ca="1" si="33"/>
        <v>#VALUE!</v>
      </c>
      <c r="G90" s="1367" t="e">
        <f t="shared" ca="1" si="34"/>
        <v>#VALUE!</v>
      </c>
      <c r="H90" s="1367" t="e">
        <f t="shared" ca="1" si="35"/>
        <v>#VALUE!</v>
      </c>
      <c r="I90" s="1367" t="e">
        <f t="shared" ca="1" si="36"/>
        <v>#VALUE!</v>
      </c>
      <c r="J90" s="1367" t="e">
        <f t="shared" ca="1" si="37"/>
        <v>#VALUE!</v>
      </c>
      <c r="K90" s="1367" t="e">
        <f t="shared" ca="1" si="38"/>
        <v>#VALUE!</v>
      </c>
      <c r="L90" s="1367" t="e">
        <f t="shared" ca="1" si="39"/>
        <v>#VALUE!</v>
      </c>
      <c r="M90" s="1367" t="e">
        <f t="shared" ca="1" si="40"/>
        <v>#VALUE!</v>
      </c>
      <c r="N90" s="13" t="e">
        <f t="shared" ca="1" si="43"/>
        <v>#VALUE!</v>
      </c>
      <c r="O90" s="13" t="e">
        <f t="shared" ca="1" si="44"/>
        <v>#VALUE!</v>
      </c>
      <c r="P90" s="1369" t="e">
        <f t="shared" ca="1" si="44"/>
        <v>#VALUE!</v>
      </c>
      <c r="Q90" s="13" t="e">
        <f t="shared" ca="1" si="45"/>
        <v>#VALUE!</v>
      </c>
      <c r="R90" s="13" t="e">
        <f t="shared" ca="1" si="46"/>
        <v>#VALUE!</v>
      </c>
      <c r="S90" s="1369" t="e">
        <f t="shared" ca="1" si="46"/>
        <v>#VALUE!</v>
      </c>
      <c r="U90" s="13" t="e">
        <f t="shared" ca="1" si="26"/>
        <v>#DIV/0!</v>
      </c>
      <c r="V90" s="13" t="e">
        <f t="shared" ca="1" si="27"/>
        <v>#DIV/0!</v>
      </c>
      <c r="W90" s="13" t="e">
        <f t="shared" ca="1" si="41"/>
        <v>#DIV/0!</v>
      </c>
      <c r="Y90" s="13" t="e">
        <f t="shared" ca="1" si="28"/>
        <v>#N/A</v>
      </c>
      <c r="Z90" s="13" t="e">
        <f t="shared" ca="1" si="29"/>
        <v>#DIV/0!</v>
      </c>
      <c r="AA90" s="13" t="e">
        <f t="shared" ca="1" si="42"/>
        <v>#N/A</v>
      </c>
    </row>
    <row r="91" spans="1:27" x14ac:dyDescent="0.25">
      <c r="A91" s="1366">
        <v>0.87</v>
      </c>
      <c r="B91" s="13">
        <f t="shared" si="30"/>
        <v>0</v>
      </c>
      <c r="C91" s="1367">
        <f t="shared" si="31"/>
        <v>0</v>
      </c>
      <c r="D91" s="1367" t="e">
        <f ca="1">B91*'Ввод исходных данных'!$G$285+C91+IF('Ввод исходных данных'!$D$159=0,7,10)</f>
        <v>#VALUE!</v>
      </c>
      <c r="E91" s="1434" t="e">
        <f t="shared" ca="1" si="32"/>
        <v>#VALUE!</v>
      </c>
      <c r="F91" s="1367" t="e">
        <f t="shared" ca="1" si="33"/>
        <v>#VALUE!</v>
      </c>
      <c r="G91" s="1367" t="e">
        <f t="shared" ca="1" si="34"/>
        <v>#VALUE!</v>
      </c>
      <c r="H91" s="1367" t="e">
        <f t="shared" ca="1" si="35"/>
        <v>#VALUE!</v>
      </c>
      <c r="I91" s="1367" t="e">
        <f t="shared" ca="1" si="36"/>
        <v>#VALUE!</v>
      </c>
      <c r="J91" s="1367" t="e">
        <f t="shared" ca="1" si="37"/>
        <v>#VALUE!</v>
      </c>
      <c r="K91" s="1367" t="e">
        <f t="shared" ca="1" si="38"/>
        <v>#VALUE!</v>
      </c>
      <c r="L91" s="1367" t="e">
        <f t="shared" ca="1" si="39"/>
        <v>#VALUE!</v>
      </c>
      <c r="M91" s="1367" t="e">
        <f t="shared" ca="1" si="40"/>
        <v>#VALUE!</v>
      </c>
      <c r="N91" s="13" t="e">
        <f t="shared" ca="1" si="43"/>
        <v>#VALUE!</v>
      </c>
      <c r="O91" s="13" t="e">
        <f t="shared" ca="1" si="44"/>
        <v>#VALUE!</v>
      </c>
      <c r="P91" s="1369" t="e">
        <f t="shared" ca="1" si="44"/>
        <v>#VALUE!</v>
      </c>
      <c r="Q91" s="13" t="e">
        <f t="shared" ca="1" si="45"/>
        <v>#VALUE!</v>
      </c>
      <c r="R91" s="13" t="e">
        <f t="shared" ca="1" si="46"/>
        <v>#VALUE!</v>
      </c>
      <c r="S91" s="1369" t="e">
        <f t="shared" ca="1" si="46"/>
        <v>#VALUE!</v>
      </c>
      <c r="U91" s="13" t="e">
        <f t="shared" ca="1" si="26"/>
        <v>#DIV/0!</v>
      </c>
      <c r="V91" s="13" t="e">
        <f t="shared" ca="1" si="27"/>
        <v>#DIV/0!</v>
      </c>
      <c r="W91" s="13" t="e">
        <f t="shared" ca="1" si="41"/>
        <v>#DIV/0!</v>
      </c>
      <c r="Y91" s="13" t="e">
        <f t="shared" ca="1" si="28"/>
        <v>#N/A</v>
      </c>
      <c r="Z91" s="13" t="e">
        <f t="shared" ca="1" si="29"/>
        <v>#DIV/0!</v>
      </c>
      <c r="AA91" s="13" t="e">
        <f t="shared" ca="1" si="42"/>
        <v>#N/A</v>
      </c>
    </row>
    <row r="92" spans="1:27" x14ac:dyDescent="0.25">
      <c r="A92" s="1366">
        <v>0.88</v>
      </c>
      <c r="B92" s="13">
        <f t="shared" si="30"/>
        <v>0</v>
      </c>
      <c r="C92" s="1367">
        <f t="shared" si="31"/>
        <v>0</v>
      </c>
      <c r="D92" s="1367" t="e">
        <f ca="1">B92*'Ввод исходных данных'!$G$285+C92+IF('Ввод исходных данных'!$D$159=0,7,10)</f>
        <v>#VALUE!</v>
      </c>
      <c r="E92" s="1434" t="e">
        <f t="shared" ca="1" si="32"/>
        <v>#VALUE!</v>
      </c>
      <c r="F92" s="1367" t="e">
        <f t="shared" ca="1" si="33"/>
        <v>#VALUE!</v>
      </c>
      <c r="G92" s="1367" t="e">
        <f t="shared" ca="1" si="34"/>
        <v>#VALUE!</v>
      </c>
      <c r="H92" s="1367" t="e">
        <f t="shared" ca="1" si="35"/>
        <v>#VALUE!</v>
      </c>
      <c r="I92" s="1367" t="e">
        <f t="shared" ca="1" si="36"/>
        <v>#VALUE!</v>
      </c>
      <c r="J92" s="1367" t="e">
        <f t="shared" ca="1" si="37"/>
        <v>#VALUE!</v>
      </c>
      <c r="K92" s="1367" t="e">
        <f t="shared" ca="1" si="38"/>
        <v>#VALUE!</v>
      </c>
      <c r="L92" s="1367" t="e">
        <f t="shared" ca="1" si="39"/>
        <v>#VALUE!</v>
      </c>
      <c r="M92" s="1367" t="e">
        <f t="shared" ca="1" si="40"/>
        <v>#VALUE!</v>
      </c>
      <c r="N92" s="13" t="e">
        <f t="shared" ca="1" si="43"/>
        <v>#VALUE!</v>
      </c>
      <c r="O92" s="13" t="e">
        <f t="shared" ca="1" si="44"/>
        <v>#VALUE!</v>
      </c>
      <c r="P92" s="1369" t="e">
        <f t="shared" ca="1" si="44"/>
        <v>#VALUE!</v>
      </c>
      <c r="Q92" s="13" t="e">
        <f t="shared" ca="1" si="45"/>
        <v>#VALUE!</v>
      </c>
      <c r="R92" s="13" t="e">
        <f t="shared" ca="1" si="46"/>
        <v>#VALUE!</v>
      </c>
      <c r="S92" s="1369" t="e">
        <f t="shared" ca="1" si="46"/>
        <v>#VALUE!</v>
      </c>
      <c r="U92" s="13" t="e">
        <f t="shared" ca="1" si="26"/>
        <v>#DIV/0!</v>
      </c>
      <c r="V92" s="13" t="e">
        <f t="shared" ca="1" si="27"/>
        <v>#DIV/0!</v>
      </c>
      <c r="W92" s="13" t="e">
        <f t="shared" ca="1" si="41"/>
        <v>#DIV/0!</v>
      </c>
      <c r="Y92" s="13" t="e">
        <f t="shared" ca="1" si="28"/>
        <v>#N/A</v>
      </c>
      <c r="Z92" s="13" t="e">
        <f t="shared" ca="1" si="29"/>
        <v>#DIV/0!</v>
      </c>
      <c r="AA92" s="13" t="e">
        <f t="shared" ca="1" si="42"/>
        <v>#N/A</v>
      </c>
    </row>
    <row r="93" spans="1:27" x14ac:dyDescent="0.25">
      <c r="A93" s="1366">
        <v>0.89</v>
      </c>
      <c r="B93" s="13">
        <f t="shared" si="30"/>
        <v>0</v>
      </c>
      <c r="C93" s="1367">
        <f t="shared" si="31"/>
        <v>0</v>
      </c>
      <c r="D93" s="1367" t="e">
        <f ca="1">B93*'Ввод исходных данных'!$G$285+C93+IF('Ввод исходных данных'!$D$159=0,7,10)</f>
        <v>#VALUE!</v>
      </c>
      <c r="E93" s="1434" t="e">
        <f t="shared" ca="1" si="32"/>
        <v>#VALUE!</v>
      </c>
      <c r="F93" s="1367" t="e">
        <f t="shared" ca="1" si="33"/>
        <v>#VALUE!</v>
      </c>
      <c r="G93" s="1367" t="e">
        <f t="shared" ca="1" si="34"/>
        <v>#VALUE!</v>
      </c>
      <c r="H93" s="1367" t="e">
        <f t="shared" ca="1" si="35"/>
        <v>#VALUE!</v>
      </c>
      <c r="I93" s="1367" t="e">
        <f t="shared" ca="1" si="36"/>
        <v>#VALUE!</v>
      </c>
      <c r="J93" s="1367" t="e">
        <f t="shared" ca="1" si="37"/>
        <v>#VALUE!</v>
      </c>
      <c r="K93" s="1367" t="e">
        <f t="shared" ca="1" si="38"/>
        <v>#VALUE!</v>
      </c>
      <c r="L93" s="1367" t="e">
        <f t="shared" ca="1" si="39"/>
        <v>#VALUE!</v>
      </c>
      <c r="M93" s="1367" t="e">
        <f t="shared" ca="1" si="40"/>
        <v>#VALUE!</v>
      </c>
      <c r="N93" s="13" t="e">
        <f t="shared" ca="1" si="43"/>
        <v>#VALUE!</v>
      </c>
      <c r="O93" s="13" t="e">
        <f t="shared" ca="1" si="44"/>
        <v>#VALUE!</v>
      </c>
      <c r="P93" s="1369" t="e">
        <f t="shared" ca="1" si="44"/>
        <v>#VALUE!</v>
      </c>
      <c r="Q93" s="13" t="e">
        <f t="shared" ca="1" si="45"/>
        <v>#VALUE!</v>
      </c>
      <c r="R93" s="13" t="e">
        <f t="shared" ca="1" si="46"/>
        <v>#VALUE!</v>
      </c>
      <c r="S93" s="1369" t="e">
        <f t="shared" ca="1" si="46"/>
        <v>#VALUE!</v>
      </c>
      <c r="U93" s="13" t="e">
        <f t="shared" ca="1" si="26"/>
        <v>#DIV/0!</v>
      </c>
      <c r="V93" s="13" t="e">
        <f t="shared" ca="1" si="27"/>
        <v>#DIV/0!</v>
      </c>
      <c r="W93" s="13" t="e">
        <f t="shared" ca="1" si="41"/>
        <v>#DIV/0!</v>
      </c>
      <c r="Y93" s="13" t="e">
        <f t="shared" ca="1" si="28"/>
        <v>#N/A</v>
      </c>
      <c r="Z93" s="13" t="e">
        <f t="shared" ca="1" si="29"/>
        <v>#DIV/0!</v>
      </c>
      <c r="AA93" s="13" t="e">
        <f t="shared" ca="1" si="42"/>
        <v>#N/A</v>
      </c>
    </row>
    <row r="94" spans="1:27" x14ac:dyDescent="0.25">
      <c r="A94" s="1366">
        <v>0.9</v>
      </c>
      <c r="B94" s="13">
        <f t="shared" si="30"/>
        <v>0</v>
      </c>
      <c r="C94" s="1367">
        <f t="shared" si="31"/>
        <v>0</v>
      </c>
      <c r="D94" s="1367" t="e">
        <f ca="1">B94*'Ввод исходных данных'!$G$285+C94+IF('Ввод исходных данных'!$D$159=0,7,10)</f>
        <v>#VALUE!</v>
      </c>
      <c r="E94" s="1434" t="e">
        <f t="shared" ca="1" si="32"/>
        <v>#VALUE!</v>
      </c>
      <c r="F94" s="1367" t="e">
        <f t="shared" ca="1" si="33"/>
        <v>#VALUE!</v>
      </c>
      <c r="G94" s="1367" t="e">
        <f t="shared" ca="1" si="34"/>
        <v>#VALUE!</v>
      </c>
      <c r="H94" s="1367" t="e">
        <f t="shared" ca="1" si="35"/>
        <v>#VALUE!</v>
      </c>
      <c r="I94" s="1367" t="e">
        <f t="shared" ca="1" si="36"/>
        <v>#VALUE!</v>
      </c>
      <c r="J94" s="1367" t="e">
        <f t="shared" ca="1" si="37"/>
        <v>#VALUE!</v>
      </c>
      <c r="K94" s="1367" t="e">
        <f t="shared" ca="1" si="38"/>
        <v>#VALUE!</v>
      </c>
      <c r="L94" s="1367" t="e">
        <f t="shared" ca="1" si="39"/>
        <v>#VALUE!</v>
      </c>
      <c r="M94" s="1367" t="e">
        <f t="shared" ca="1" si="40"/>
        <v>#VALUE!</v>
      </c>
      <c r="N94" s="13" t="e">
        <f t="shared" ca="1" si="43"/>
        <v>#VALUE!</v>
      </c>
      <c r="O94" s="13" t="e">
        <f t="shared" ca="1" si="44"/>
        <v>#VALUE!</v>
      </c>
      <c r="P94" s="1369" t="e">
        <f t="shared" ca="1" si="44"/>
        <v>#VALUE!</v>
      </c>
      <c r="Q94" s="13" t="e">
        <f t="shared" ca="1" si="45"/>
        <v>#VALUE!</v>
      </c>
      <c r="R94" s="13" t="e">
        <f t="shared" ca="1" si="46"/>
        <v>#VALUE!</v>
      </c>
      <c r="S94" s="1369" t="e">
        <f t="shared" ca="1" si="46"/>
        <v>#VALUE!</v>
      </c>
      <c r="U94" s="13" t="e">
        <f t="shared" ca="1" si="26"/>
        <v>#DIV/0!</v>
      </c>
      <c r="V94" s="13" t="e">
        <f t="shared" ca="1" si="27"/>
        <v>#DIV/0!</v>
      </c>
      <c r="W94" s="13" t="e">
        <f t="shared" ca="1" si="41"/>
        <v>#DIV/0!</v>
      </c>
      <c r="Y94" s="13" t="e">
        <f t="shared" ca="1" si="28"/>
        <v>#N/A</v>
      </c>
      <c r="Z94" s="13" t="e">
        <f t="shared" ca="1" si="29"/>
        <v>#DIV/0!</v>
      </c>
      <c r="AA94" s="13" t="e">
        <f t="shared" ca="1" si="42"/>
        <v>#N/A</v>
      </c>
    </row>
    <row r="95" spans="1:27" x14ac:dyDescent="0.25">
      <c r="A95" s="1366">
        <v>0.91</v>
      </c>
      <c r="B95" s="13">
        <f t="shared" si="30"/>
        <v>0</v>
      </c>
      <c r="C95" s="1367">
        <f t="shared" si="31"/>
        <v>0</v>
      </c>
      <c r="D95" s="1367" t="e">
        <f ca="1">B95*'Ввод исходных данных'!$G$285+C95+IF('Ввод исходных данных'!$D$159=0,7,10)</f>
        <v>#VALUE!</v>
      </c>
      <c r="E95" s="1434" t="e">
        <f t="shared" ca="1" si="32"/>
        <v>#VALUE!</v>
      </c>
      <c r="F95" s="1367" t="e">
        <f t="shared" ca="1" si="33"/>
        <v>#VALUE!</v>
      </c>
      <c r="G95" s="1367" t="e">
        <f t="shared" ca="1" si="34"/>
        <v>#VALUE!</v>
      </c>
      <c r="H95" s="1367" t="e">
        <f t="shared" ca="1" si="35"/>
        <v>#VALUE!</v>
      </c>
      <c r="I95" s="1367" t="e">
        <f t="shared" ca="1" si="36"/>
        <v>#VALUE!</v>
      </c>
      <c r="J95" s="1367" t="e">
        <f t="shared" ca="1" si="37"/>
        <v>#VALUE!</v>
      </c>
      <c r="K95" s="1367" t="e">
        <f t="shared" ca="1" si="38"/>
        <v>#VALUE!</v>
      </c>
      <c r="L95" s="1367" t="e">
        <f t="shared" ca="1" si="39"/>
        <v>#VALUE!</v>
      </c>
      <c r="M95" s="1367" t="e">
        <f t="shared" ca="1" si="40"/>
        <v>#VALUE!</v>
      </c>
      <c r="N95" s="13" t="e">
        <f t="shared" ca="1" si="43"/>
        <v>#VALUE!</v>
      </c>
      <c r="O95" s="13" t="e">
        <f t="shared" ca="1" si="44"/>
        <v>#VALUE!</v>
      </c>
      <c r="P95" s="1369" t="e">
        <f t="shared" ca="1" si="44"/>
        <v>#VALUE!</v>
      </c>
      <c r="Q95" s="13" t="e">
        <f t="shared" ca="1" si="45"/>
        <v>#VALUE!</v>
      </c>
      <c r="R95" s="13" t="e">
        <f t="shared" ca="1" si="46"/>
        <v>#VALUE!</v>
      </c>
      <c r="S95" s="1369" t="e">
        <f t="shared" ca="1" si="46"/>
        <v>#VALUE!</v>
      </c>
      <c r="U95" s="13" t="e">
        <f t="shared" ca="1" si="26"/>
        <v>#DIV/0!</v>
      </c>
      <c r="V95" s="13" t="e">
        <f t="shared" ca="1" si="27"/>
        <v>#DIV/0!</v>
      </c>
      <c r="W95" s="13" t="e">
        <f t="shared" ca="1" si="41"/>
        <v>#DIV/0!</v>
      </c>
      <c r="Y95" s="13" t="e">
        <f t="shared" ca="1" si="28"/>
        <v>#N/A</v>
      </c>
      <c r="Z95" s="13" t="e">
        <f t="shared" ca="1" si="29"/>
        <v>#DIV/0!</v>
      </c>
      <c r="AA95" s="13" t="e">
        <f t="shared" ca="1" si="42"/>
        <v>#N/A</v>
      </c>
    </row>
    <row r="96" spans="1:27" x14ac:dyDescent="0.25">
      <c r="A96" s="1366">
        <v>0.92</v>
      </c>
      <c r="B96" s="13">
        <f t="shared" si="30"/>
        <v>0</v>
      </c>
      <c r="C96" s="1367">
        <f t="shared" si="31"/>
        <v>0</v>
      </c>
      <c r="D96" s="1367" t="e">
        <f ca="1">B96*'Ввод исходных данных'!$G$285+C96+IF('Ввод исходных данных'!$D$159=0,7,10)</f>
        <v>#VALUE!</v>
      </c>
      <c r="E96" s="1434" t="e">
        <f t="shared" ca="1" si="32"/>
        <v>#VALUE!</v>
      </c>
      <c r="F96" s="1367" t="e">
        <f t="shared" ca="1" si="33"/>
        <v>#VALUE!</v>
      </c>
      <c r="G96" s="1367" t="e">
        <f t="shared" ca="1" si="34"/>
        <v>#VALUE!</v>
      </c>
      <c r="H96" s="1367" t="e">
        <f t="shared" ca="1" si="35"/>
        <v>#VALUE!</v>
      </c>
      <c r="I96" s="1367" t="e">
        <f t="shared" ca="1" si="36"/>
        <v>#VALUE!</v>
      </c>
      <c r="J96" s="1367" t="e">
        <f t="shared" ca="1" si="37"/>
        <v>#VALUE!</v>
      </c>
      <c r="K96" s="1367" t="e">
        <f t="shared" ca="1" si="38"/>
        <v>#VALUE!</v>
      </c>
      <c r="L96" s="1367" t="e">
        <f t="shared" ca="1" si="39"/>
        <v>#VALUE!</v>
      </c>
      <c r="M96" s="1367" t="e">
        <f t="shared" ca="1" si="40"/>
        <v>#VALUE!</v>
      </c>
      <c r="N96" s="13" t="e">
        <f t="shared" ca="1" si="43"/>
        <v>#VALUE!</v>
      </c>
      <c r="O96" s="13" t="e">
        <f t="shared" ca="1" si="44"/>
        <v>#VALUE!</v>
      </c>
      <c r="P96" s="1369" t="e">
        <f t="shared" ca="1" si="44"/>
        <v>#VALUE!</v>
      </c>
      <c r="Q96" s="13" t="e">
        <f t="shared" ca="1" si="45"/>
        <v>#VALUE!</v>
      </c>
      <c r="R96" s="13" t="e">
        <f t="shared" ca="1" si="46"/>
        <v>#VALUE!</v>
      </c>
      <c r="S96" s="1369" t="e">
        <f t="shared" ca="1" si="46"/>
        <v>#VALUE!</v>
      </c>
      <c r="U96" s="13" t="e">
        <f t="shared" ca="1" si="26"/>
        <v>#DIV/0!</v>
      </c>
      <c r="V96" s="13" t="e">
        <f t="shared" ca="1" si="27"/>
        <v>#DIV/0!</v>
      </c>
      <c r="W96" s="13" t="e">
        <f t="shared" ca="1" si="41"/>
        <v>#DIV/0!</v>
      </c>
      <c r="Y96" s="13" t="e">
        <f t="shared" ca="1" si="28"/>
        <v>#N/A</v>
      </c>
      <c r="Z96" s="13" t="e">
        <f t="shared" ca="1" si="29"/>
        <v>#DIV/0!</v>
      </c>
      <c r="AA96" s="13" t="e">
        <f t="shared" ca="1" si="42"/>
        <v>#N/A</v>
      </c>
    </row>
    <row r="97" spans="1:27" x14ac:dyDescent="0.25">
      <c r="A97" s="1366">
        <v>0.93</v>
      </c>
      <c r="B97" s="13">
        <f t="shared" si="30"/>
        <v>0</v>
      </c>
      <c r="C97" s="1367">
        <f t="shared" si="31"/>
        <v>0</v>
      </c>
      <c r="D97" s="1367" t="e">
        <f ca="1">B97*'Ввод исходных данных'!$G$285+C97+IF('Ввод исходных данных'!$D$159=0,7,10)</f>
        <v>#VALUE!</v>
      </c>
      <c r="E97" s="1434" t="e">
        <f t="shared" ca="1" si="32"/>
        <v>#VALUE!</v>
      </c>
      <c r="F97" s="1367" t="e">
        <f t="shared" ca="1" si="33"/>
        <v>#VALUE!</v>
      </c>
      <c r="G97" s="1367" t="e">
        <f t="shared" ca="1" si="34"/>
        <v>#VALUE!</v>
      </c>
      <c r="H97" s="1367" t="e">
        <f t="shared" ca="1" si="35"/>
        <v>#VALUE!</v>
      </c>
      <c r="I97" s="1367" t="e">
        <f t="shared" ca="1" si="36"/>
        <v>#VALUE!</v>
      </c>
      <c r="J97" s="1367" t="e">
        <f t="shared" ca="1" si="37"/>
        <v>#VALUE!</v>
      </c>
      <c r="K97" s="1367" t="e">
        <f t="shared" ca="1" si="38"/>
        <v>#VALUE!</v>
      </c>
      <c r="L97" s="1367" t="e">
        <f t="shared" ca="1" si="39"/>
        <v>#VALUE!</v>
      </c>
      <c r="M97" s="1367" t="e">
        <f t="shared" ca="1" si="40"/>
        <v>#VALUE!</v>
      </c>
      <c r="N97" s="13" t="e">
        <f t="shared" ca="1" si="43"/>
        <v>#VALUE!</v>
      </c>
      <c r="O97" s="13" t="e">
        <f t="shared" ca="1" si="44"/>
        <v>#VALUE!</v>
      </c>
      <c r="P97" s="1369" t="e">
        <f t="shared" ca="1" si="44"/>
        <v>#VALUE!</v>
      </c>
      <c r="Q97" s="13" t="e">
        <f t="shared" ca="1" si="45"/>
        <v>#VALUE!</v>
      </c>
      <c r="R97" s="13" t="e">
        <f t="shared" ca="1" si="46"/>
        <v>#VALUE!</v>
      </c>
      <c r="S97" s="1369" t="e">
        <f t="shared" ca="1" si="46"/>
        <v>#VALUE!</v>
      </c>
      <c r="U97" s="13" t="e">
        <f t="shared" ca="1" si="26"/>
        <v>#DIV/0!</v>
      </c>
      <c r="V97" s="13" t="e">
        <f t="shared" ca="1" si="27"/>
        <v>#DIV/0!</v>
      </c>
      <c r="W97" s="13" t="e">
        <f t="shared" ca="1" si="41"/>
        <v>#DIV/0!</v>
      </c>
      <c r="Y97" s="13" t="e">
        <f t="shared" ca="1" si="28"/>
        <v>#N/A</v>
      </c>
      <c r="Z97" s="13" t="e">
        <f t="shared" ca="1" si="29"/>
        <v>#DIV/0!</v>
      </c>
      <c r="AA97" s="13" t="e">
        <f t="shared" ca="1" si="42"/>
        <v>#N/A</v>
      </c>
    </row>
    <row r="98" spans="1:27" x14ac:dyDescent="0.25">
      <c r="A98" s="1366">
        <v>0.94</v>
      </c>
      <c r="B98" s="13">
        <f t="shared" si="30"/>
        <v>0</v>
      </c>
      <c r="C98" s="1367">
        <f t="shared" si="31"/>
        <v>0</v>
      </c>
      <c r="D98" s="1367" t="e">
        <f ca="1">B98*'Ввод исходных данных'!$G$285+C98+IF('Ввод исходных данных'!$D$159=0,7,10)</f>
        <v>#VALUE!</v>
      </c>
      <c r="E98" s="1434" t="e">
        <f t="shared" ca="1" si="32"/>
        <v>#VALUE!</v>
      </c>
      <c r="F98" s="1367" t="e">
        <f t="shared" ca="1" si="33"/>
        <v>#VALUE!</v>
      </c>
      <c r="G98" s="1367" t="e">
        <f t="shared" ca="1" si="34"/>
        <v>#VALUE!</v>
      </c>
      <c r="H98" s="1367" t="e">
        <f t="shared" ca="1" si="35"/>
        <v>#VALUE!</v>
      </c>
      <c r="I98" s="1367" t="e">
        <f t="shared" ca="1" si="36"/>
        <v>#VALUE!</v>
      </c>
      <c r="J98" s="1367" t="e">
        <f t="shared" ca="1" si="37"/>
        <v>#VALUE!</v>
      </c>
      <c r="K98" s="1367" t="e">
        <f t="shared" ca="1" si="38"/>
        <v>#VALUE!</v>
      </c>
      <c r="L98" s="1367" t="e">
        <f t="shared" ca="1" si="39"/>
        <v>#VALUE!</v>
      </c>
      <c r="M98" s="1367" t="e">
        <f t="shared" ca="1" si="40"/>
        <v>#VALUE!</v>
      </c>
      <c r="N98" s="13" t="e">
        <f t="shared" ca="1" si="43"/>
        <v>#VALUE!</v>
      </c>
      <c r="O98" s="13" t="e">
        <f t="shared" ca="1" si="44"/>
        <v>#VALUE!</v>
      </c>
      <c r="P98" s="1369" t="e">
        <f t="shared" ca="1" si="44"/>
        <v>#VALUE!</v>
      </c>
      <c r="Q98" s="13" t="e">
        <f t="shared" ca="1" si="45"/>
        <v>#VALUE!</v>
      </c>
      <c r="R98" s="13" t="e">
        <f t="shared" ca="1" si="46"/>
        <v>#VALUE!</v>
      </c>
      <c r="S98" s="1369" t="e">
        <f t="shared" ca="1" si="46"/>
        <v>#VALUE!</v>
      </c>
      <c r="U98" s="13" t="e">
        <f t="shared" ca="1" si="26"/>
        <v>#DIV/0!</v>
      </c>
      <c r="V98" s="13" t="e">
        <f t="shared" ca="1" si="27"/>
        <v>#DIV/0!</v>
      </c>
      <c r="W98" s="13" t="e">
        <f t="shared" ca="1" si="41"/>
        <v>#DIV/0!</v>
      </c>
      <c r="Y98" s="13" t="e">
        <f t="shared" ca="1" si="28"/>
        <v>#N/A</v>
      </c>
      <c r="Z98" s="13" t="e">
        <f t="shared" ca="1" si="29"/>
        <v>#DIV/0!</v>
      </c>
      <c r="AA98" s="13" t="e">
        <f t="shared" ca="1" si="42"/>
        <v>#N/A</v>
      </c>
    </row>
    <row r="99" spans="1:27" x14ac:dyDescent="0.25">
      <c r="A99" s="1366">
        <v>0.95</v>
      </c>
      <c r="B99" s="13">
        <f t="shared" si="30"/>
        <v>0</v>
      </c>
      <c r="C99" s="1367">
        <f t="shared" si="31"/>
        <v>0</v>
      </c>
      <c r="D99" s="1367" t="e">
        <f ca="1">B99*'Ввод исходных данных'!$G$285+C99+IF('Ввод исходных данных'!$D$159=0,7,10)</f>
        <v>#VALUE!</v>
      </c>
      <c r="E99" s="1434" t="e">
        <f t="shared" ca="1" si="32"/>
        <v>#VALUE!</v>
      </c>
      <c r="F99" s="1367" t="e">
        <f t="shared" ca="1" si="33"/>
        <v>#VALUE!</v>
      </c>
      <c r="G99" s="1367" t="e">
        <f t="shared" ca="1" si="34"/>
        <v>#VALUE!</v>
      </c>
      <c r="H99" s="1367" t="e">
        <f t="shared" ca="1" si="35"/>
        <v>#VALUE!</v>
      </c>
      <c r="I99" s="1367" t="e">
        <f t="shared" ca="1" si="36"/>
        <v>#VALUE!</v>
      </c>
      <c r="J99" s="1367" t="e">
        <f t="shared" ca="1" si="37"/>
        <v>#VALUE!</v>
      </c>
      <c r="K99" s="1367" t="e">
        <f t="shared" ca="1" si="38"/>
        <v>#VALUE!</v>
      </c>
      <c r="L99" s="1367" t="e">
        <f t="shared" ca="1" si="39"/>
        <v>#VALUE!</v>
      </c>
      <c r="M99" s="1367" t="e">
        <f t="shared" ca="1" si="40"/>
        <v>#VALUE!</v>
      </c>
      <c r="N99" s="13" t="e">
        <f t="shared" ca="1" si="43"/>
        <v>#VALUE!</v>
      </c>
      <c r="O99" s="13" t="e">
        <f t="shared" ca="1" si="44"/>
        <v>#VALUE!</v>
      </c>
      <c r="P99" s="1369" t="e">
        <f t="shared" ca="1" si="44"/>
        <v>#VALUE!</v>
      </c>
      <c r="Q99" s="13" t="e">
        <f t="shared" ca="1" si="45"/>
        <v>#VALUE!</v>
      </c>
      <c r="R99" s="13" t="e">
        <f t="shared" ca="1" si="46"/>
        <v>#VALUE!</v>
      </c>
      <c r="S99" s="1369" t="e">
        <f t="shared" ca="1" si="46"/>
        <v>#VALUE!</v>
      </c>
      <c r="U99" s="13" t="e">
        <f t="shared" ca="1" si="26"/>
        <v>#DIV/0!</v>
      </c>
      <c r="V99" s="13" t="e">
        <f t="shared" ca="1" si="27"/>
        <v>#DIV/0!</v>
      </c>
      <c r="W99" s="13" t="e">
        <f t="shared" ca="1" si="41"/>
        <v>#DIV/0!</v>
      </c>
      <c r="Y99" s="13" t="e">
        <f t="shared" ca="1" si="28"/>
        <v>#N/A</v>
      </c>
      <c r="Z99" s="13" t="e">
        <f t="shared" ca="1" si="29"/>
        <v>#DIV/0!</v>
      </c>
      <c r="AA99" s="13" t="e">
        <f t="shared" ca="1" si="42"/>
        <v>#N/A</v>
      </c>
    </row>
    <row r="100" spans="1:27" x14ac:dyDescent="0.25">
      <c r="A100" s="1366">
        <v>0.96</v>
      </c>
      <c r="B100" s="13">
        <f t="shared" si="30"/>
        <v>0</v>
      </c>
      <c r="C100" s="1367">
        <f t="shared" si="31"/>
        <v>0</v>
      </c>
      <c r="D100" s="1367" t="e">
        <f ca="1">B100*'Ввод исходных данных'!$G$285+C100+IF('Ввод исходных данных'!$D$159=0,7,10)</f>
        <v>#VALUE!</v>
      </c>
      <c r="E100" s="1434" t="e">
        <f t="shared" ca="1" si="32"/>
        <v>#VALUE!</v>
      </c>
      <c r="F100" s="1367" t="e">
        <f t="shared" ca="1" si="33"/>
        <v>#VALUE!</v>
      </c>
      <c r="G100" s="1367" t="e">
        <f t="shared" ca="1" si="34"/>
        <v>#VALUE!</v>
      </c>
      <c r="H100" s="1367" t="e">
        <f t="shared" ca="1" si="35"/>
        <v>#VALUE!</v>
      </c>
      <c r="I100" s="1367" t="e">
        <f t="shared" ca="1" si="36"/>
        <v>#VALUE!</v>
      </c>
      <c r="J100" s="1367" t="e">
        <f t="shared" ca="1" si="37"/>
        <v>#VALUE!</v>
      </c>
      <c r="K100" s="1367" t="e">
        <f t="shared" ca="1" si="38"/>
        <v>#VALUE!</v>
      </c>
      <c r="L100" s="1367" t="e">
        <f t="shared" ca="1" si="39"/>
        <v>#VALUE!</v>
      </c>
      <c r="M100" s="1367" t="e">
        <f t="shared" ca="1" si="40"/>
        <v>#VALUE!</v>
      </c>
      <c r="N100" s="13" t="e">
        <f t="shared" ca="1" si="43"/>
        <v>#VALUE!</v>
      </c>
      <c r="O100" s="13" t="e">
        <f t="shared" ca="1" si="44"/>
        <v>#VALUE!</v>
      </c>
      <c r="P100" s="1369" t="e">
        <f t="shared" ca="1" si="44"/>
        <v>#VALUE!</v>
      </c>
      <c r="Q100" s="13" t="e">
        <f t="shared" ca="1" si="45"/>
        <v>#VALUE!</v>
      </c>
      <c r="R100" s="13" t="e">
        <f t="shared" ca="1" si="46"/>
        <v>#VALUE!</v>
      </c>
      <c r="S100" s="1369" t="e">
        <f t="shared" ca="1" si="46"/>
        <v>#VALUE!</v>
      </c>
      <c r="U100" s="13" t="e">
        <f t="shared" ca="1" si="26"/>
        <v>#DIV/0!</v>
      </c>
      <c r="V100" s="13" t="e">
        <f t="shared" ca="1" si="27"/>
        <v>#DIV/0!</v>
      </c>
      <c r="W100" s="13" t="e">
        <f t="shared" ca="1" si="41"/>
        <v>#DIV/0!</v>
      </c>
      <c r="Y100" s="13" t="e">
        <f t="shared" ca="1" si="28"/>
        <v>#N/A</v>
      </c>
      <c r="Z100" s="13" t="e">
        <f t="shared" ca="1" si="29"/>
        <v>#DIV/0!</v>
      </c>
      <c r="AA100" s="13" t="e">
        <f t="shared" ca="1" si="42"/>
        <v>#N/A</v>
      </c>
    </row>
    <row r="101" spans="1:27" x14ac:dyDescent="0.25">
      <c r="A101" s="1366">
        <v>0.97</v>
      </c>
      <c r="B101" s="13">
        <f t="shared" si="30"/>
        <v>0</v>
      </c>
      <c r="C101" s="1367">
        <f t="shared" si="31"/>
        <v>0</v>
      </c>
      <c r="D101" s="1367" t="e">
        <f ca="1">B101*'Ввод исходных данных'!$G$285+C101+IF('Ввод исходных данных'!$D$159=0,7,10)</f>
        <v>#VALUE!</v>
      </c>
      <c r="E101" s="1434" t="e">
        <f t="shared" ca="1" si="32"/>
        <v>#VALUE!</v>
      </c>
      <c r="F101" s="1367" t="e">
        <f t="shared" ca="1" si="33"/>
        <v>#VALUE!</v>
      </c>
      <c r="G101" s="1367" t="e">
        <f t="shared" ca="1" si="34"/>
        <v>#VALUE!</v>
      </c>
      <c r="H101" s="1367" t="e">
        <f t="shared" ca="1" si="35"/>
        <v>#VALUE!</v>
      </c>
      <c r="I101" s="1367" t="e">
        <f t="shared" ca="1" si="36"/>
        <v>#VALUE!</v>
      </c>
      <c r="J101" s="1367" t="e">
        <f t="shared" ca="1" si="37"/>
        <v>#VALUE!</v>
      </c>
      <c r="K101" s="1367" t="e">
        <f t="shared" ca="1" si="38"/>
        <v>#VALUE!</v>
      </c>
      <c r="L101" s="1367" t="e">
        <f t="shared" ca="1" si="39"/>
        <v>#VALUE!</v>
      </c>
      <c r="M101" s="1367" t="e">
        <f t="shared" ca="1" si="40"/>
        <v>#VALUE!</v>
      </c>
      <c r="N101" s="13" t="e">
        <f t="shared" ca="1" si="43"/>
        <v>#VALUE!</v>
      </c>
      <c r="O101" s="13" t="e">
        <f t="shared" ca="1" si="44"/>
        <v>#VALUE!</v>
      </c>
      <c r="P101" s="1369" t="e">
        <f t="shared" ca="1" si="44"/>
        <v>#VALUE!</v>
      </c>
      <c r="Q101" s="13" t="e">
        <f t="shared" ca="1" si="45"/>
        <v>#VALUE!</v>
      </c>
      <c r="R101" s="13" t="e">
        <f t="shared" ca="1" si="46"/>
        <v>#VALUE!</v>
      </c>
      <c r="S101" s="1369" t="e">
        <f t="shared" ca="1" si="46"/>
        <v>#VALUE!</v>
      </c>
      <c r="U101" s="13" t="e">
        <f t="shared" ca="1" si="26"/>
        <v>#DIV/0!</v>
      </c>
      <c r="V101" s="13" t="e">
        <f t="shared" ca="1" si="27"/>
        <v>#DIV/0!</v>
      </c>
      <c r="W101" s="13" t="e">
        <f t="shared" ca="1" si="41"/>
        <v>#DIV/0!</v>
      </c>
      <c r="Y101" s="13" t="e">
        <f t="shared" ca="1" si="28"/>
        <v>#N/A</v>
      </c>
      <c r="Z101" s="13" t="e">
        <f t="shared" ca="1" si="29"/>
        <v>#DIV/0!</v>
      </c>
      <c r="AA101" s="13" t="e">
        <f t="shared" ca="1" si="42"/>
        <v>#N/A</v>
      </c>
    </row>
    <row r="102" spans="1:27" x14ac:dyDescent="0.25">
      <c r="A102" s="1366">
        <v>0.98</v>
      </c>
      <c r="B102" s="13">
        <f t="shared" si="30"/>
        <v>0</v>
      </c>
      <c r="C102" s="1367">
        <f t="shared" si="31"/>
        <v>0</v>
      </c>
      <c r="D102" s="1367" t="e">
        <f ca="1">B102*'Ввод исходных данных'!$G$285+C102+IF('Ввод исходных данных'!$D$159=0,7,10)</f>
        <v>#VALUE!</v>
      </c>
      <c r="E102" s="1434" t="e">
        <f t="shared" ca="1" si="32"/>
        <v>#VALUE!</v>
      </c>
      <c r="F102" s="1367" t="e">
        <f t="shared" ca="1" si="33"/>
        <v>#VALUE!</v>
      </c>
      <c r="G102" s="1367" t="e">
        <f t="shared" ca="1" si="34"/>
        <v>#VALUE!</v>
      </c>
      <c r="H102" s="1367" t="e">
        <f t="shared" ca="1" si="35"/>
        <v>#VALUE!</v>
      </c>
      <c r="I102" s="1367" t="e">
        <f t="shared" ca="1" si="36"/>
        <v>#VALUE!</v>
      </c>
      <c r="J102" s="1367" t="e">
        <f t="shared" ca="1" si="37"/>
        <v>#VALUE!</v>
      </c>
      <c r="K102" s="1367" t="e">
        <f t="shared" ca="1" si="38"/>
        <v>#VALUE!</v>
      </c>
      <c r="L102" s="1367" t="e">
        <f t="shared" ca="1" si="39"/>
        <v>#VALUE!</v>
      </c>
      <c r="M102" s="1367" t="e">
        <f t="shared" ca="1" si="40"/>
        <v>#VALUE!</v>
      </c>
      <c r="N102" s="13" t="e">
        <f t="shared" ca="1" si="43"/>
        <v>#VALUE!</v>
      </c>
      <c r="O102" s="13" t="e">
        <f t="shared" ca="1" si="44"/>
        <v>#VALUE!</v>
      </c>
      <c r="P102" s="1369" t="e">
        <f t="shared" ca="1" si="44"/>
        <v>#VALUE!</v>
      </c>
      <c r="Q102" s="13" t="e">
        <f t="shared" ca="1" si="45"/>
        <v>#VALUE!</v>
      </c>
      <c r="R102" s="13" t="e">
        <f t="shared" ca="1" si="46"/>
        <v>#VALUE!</v>
      </c>
      <c r="S102" s="1369" t="e">
        <f t="shared" ca="1" si="46"/>
        <v>#VALUE!</v>
      </c>
      <c r="U102" s="13" t="e">
        <f t="shared" ca="1" si="26"/>
        <v>#DIV/0!</v>
      </c>
      <c r="V102" s="13" t="e">
        <f t="shared" ca="1" si="27"/>
        <v>#DIV/0!</v>
      </c>
      <c r="W102" s="13" t="e">
        <f t="shared" ca="1" si="41"/>
        <v>#DIV/0!</v>
      </c>
      <c r="Y102" s="13" t="e">
        <f t="shared" ca="1" si="28"/>
        <v>#N/A</v>
      </c>
      <c r="Z102" s="13" t="e">
        <f t="shared" ca="1" si="29"/>
        <v>#DIV/0!</v>
      </c>
      <c r="AA102" s="13" t="e">
        <f t="shared" ca="1" si="42"/>
        <v>#N/A</v>
      </c>
    </row>
    <row r="103" spans="1:27" x14ac:dyDescent="0.25">
      <c r="A103" s="1366">
        <v>0.99</v>
      </c>
      <c r="B103" s="13">
        <f t="shared" si="30"/>
        <v>0</v>
      </c>
      <c r="C103" s="1367">
        <f t="shared" si="31"/>
        <v>0</v>
      </c>
      <c r="D103" s="1367" t="e">
        <f ca="1">B103*'Ввод исходных данных'!$G$285+C103+IF('Ввод исходных данных'!$D$159=0,7,10)</f>
        <v>#VALUE!</v>
      </c>
      <c r="E103" s="1434" t="e">
        <f t="shared" ca="1" si="32"/>
        <v>#VALUE!</v>
      </c>
      <c r="F103" s="1367" t="e">
        <f t="shared" ca="1" si="33"/>
        <v>#VALUE!</v>
      </c>
      <c r="G103" s="1367" t="e">
        <f t="shared" ca="1" si="34"/>
        <v>#VALUE!</v>
      </c>
      <c r="H103" s="1367" t="e">
        <f t="shared" ca="1" si="35"/>
        <v>#VALUE!</v>
      </c>
      <c r="I103" s="1367" t="e">
        <f t="shared" ca="1" si="36"/>
        <v>#VALUE!</v>
      </c>
      <c r="J103" s="1367" t="e">
        <f t="shared" ca="1" si="37"/>
        <v>#VALUE!</v>
      </c>
      <c r="K103" s="1367" t="e">
        <f t="shared" ca="1" si="38"/>
        <v>#VALUE!</v>
      </c>
      <c r="L103" s="1367" t="e">
        <f t="shared" ca="1" si="39"/>
        <v>#VALUE!</v>
      </c>
      <c r="M103" s="1367" t="e">
        <f t="shared" ca="1" si="40"/>
        <v>#VALUE!</v>
      </c>
      <c r="N103" s="13" t="e">
        <f t="shared" ca="1" si="43"/>
        <v>#VALUE!</v>
      </c>
      <c r="O103" s="13" t="e">
        <f t="shared" ca="1" si="44"/>
        <v>#VALUE!</v>
      </c>
      <c r="P103" s="1369" t="e">
        <f t="shared" ca="1" si="44"/>
        <v>#VALUE!</v>
      </c>
      <c r="Q103" s="13" t="e">
        <f t="shared" ca="1" si="45"/>
        <v>#VALUE!</v>
      </c>
      <c r="R103" s="13" t="e">
        <f t="shared" ca="1" si="46"/>
        <v>#VALUE!</v>
      </c>
      <c r="S103" s="1369" t="e">
        <f t="shared" ca="1" si="46"/>
        <v>#VALUE!</v>
      </c>
      <c r="U103" s="13" t="e">
        <f t="shared" ca="1" si="26"/>
        <v>#DIV/0!</v>
      </c>
      <c r="V103" s="13" t="e">
        <f t="shared" ca="1" si="27"/>
        <v>#DIV/0!</v>
      </c>
      <c r="W103" s="13" t="e">
        <f t="shared" ca="1" si="41"/>
        <v>#DIV/0!</v>
      </c>
      <c r="Y103" s="13" t="e">
        <f t="shared" ca="1" si="28"/>
        <v>#N/A</v>
      </c>
      <c r="Z103" s="13" t="e">
        <f t="shared" ca="1" si="29"/>
        <v>#DIV/0!</v>
      </c>
      <c r="AA103" s="13" t="e">
        <f ca="1">IF(AND($AA$3&gt;=SUM(E103:M103),$AA$3&lt;SUM(E104:M104)),$AA$3,"")</f>
        <v>#N/A</v>
      </c>
    </row>
    <row r="104" spans="1:27" x14ac:dyDescent="0.25">
      <c r="A104" s="1366">
        <v>1</v>
      </c>
      <c r="B104" s="13">
        <f t="shared" si="30"/>
        <v>0</v>
      </c>
      <c r="C104" s="1367">
        <f t="shared" si="31"/>
        <v>0</v>
      </c>
      <c r="D104" s="1367" t="e">
        <f ca="1">B104*'Ввод исходных данных'!$G$285+C104+IF('Ввод исходных данных'!$D$159=0,7,10)</f>
        <v>#VALUE!</v>
      </c>
      <c r="E104" s="1434" t="e">
        <f t="shared" ca="1" si="32"/>
        <v>#VALUE!</v>
      </c>
      <c r="F104" s="1367" t="e">
        <f t="shared" ca="1" si="33"/>
        <v>#VALUE!</v>
      </c>
      <c r="G104" s="1367" t="e">
        <f t="shared" ca="1" si="34"/>
        <v>#VALUE!</v>
      </c>
      <c r="H104" s="1367" t="e">
        <f t="shared" ca="1" si="35"/>
        <v>#VALUE!</v>
      </c>
      <c r="I104" s="1367" t="e">
        <f t="shared" ca="1" si="36"/>
        <v>#VALUE!</v>
      </c>
      <c r="J104" s="1367" t="e">
        <f t="shared" ca="1" si="37"/>
        <v>#VALUE!</v>
      </c>
      <c r="K104" s="1367" t="e">
        <f t="shared" ca="1" si="38"/>
        <v>#VALUE!</v>
      </c>
      <c r="L104" s="1367" t="e">
        <f t="shared" ca="1" si="39"/>
        <v>#VALUE!</v>
      </c>
      <c r="M104" s="1367" t="e">
        <f t="shared" ca="1" si="40"/>
        <v>#VALUE!</v>
      </c>
      <c r="N104" s="13" t="e">
        <f t="shared" ca="1" si="43"/>
        <v>#VALUE!</v>
      </c>
      <c r="O104" s="13" t="e">
        <f t="shared" ca="1" si="44"/>
        <v>#VALUE!</v>
      </c>
      <c r="P104" s="1369" t="e">
        <f t="shared" ca="1" si="44"/>
        <v>#VALUE!</v>
      </c>
      <c r="Q104" s="13" t="e">
        <f t="shared" ca="1" si="45"/>
        <v>#VALUE!</v>
      </c>
      <c r="R104" s="13" t="e">
        <f t="shared" ca="1" si="46"/>
        <v>#VALUE!</v>
      </c>
      <c r="S104" s="1369" t="e">
        <f t="shared" ca="1" si="46"/>
        <v>#VALUE!</v>
      </c>
      <c r="U104" s="13" t="e">
        <f ca="1">IF(AND($U$3&gt;=B104),$U$3,"")</f>
        <v>#DIV/0!</v>
      </c>
      <c r="V104" s="13" t="e">
        <f ca="1">IF(AND($V$3&gt;=C104),$V$3,"")</f>
        <v>#DIV/0!</v>
      </c>
      <c r="W104" s="13" t="e">
        <f ca="1">IF(AND($W$3&gt;=SUM(E104:M104)),$W$3,"")</f>
        <v>#DIV/0!</v>
      </c>
      <c r="Y104" s="13" t="e">
        <f ca="1">IF(AND($Y$3&gt;=B104),$Y$3,"")</f>
        <v>#N/A</v>
      </c>
      <c r="Z104" s="13" t="e">
        <f ca="1">IF(AND($Z$3&gt;=C104),$Z$3,"")</f>
        <v>#DIV/0!</v>
      </c>
      <c r="AA104" s="13" t="e">
        <f ca="1">IF(AND($AA$3&gt;=SUM(E104:M104)),$AA$3,"")</f>
        <v>#N/A</v>
      </c>
    </row>
    <row r="106" spans="1:27" x14ac:dyDescent="0.25">
      <c r="B106">
        <f>IF(AND('Ввод исходных данных'!$D$19&gt;=1,'Ввод исходных данных'!$D$19&lt;=2,'Ввод исходных данных'!$D$12&lt;=1999),1,0)</f>
        <v>0</v>
      </c>
      <c r="C106">
        <f>IF(AND('Ввод исходных данных'!$D$19&gt;=1,'Ввод исходных данных'!$D$19&lt;=2,'Ввод исходных данных'!$D$12&gt;1999),1,0)</f>
        <v>0</v>
      </c>
      <c r="D106" s="13">
        <f>IF(AND('Ввод исходных данных'!$D$19&gt;=3,'Ввод исходных данных'!$D$19&lt;=4,'Ввод исходных данных'!$D$12&lt;=1999),1,0)</f>
        <v>0</v>
      </c>
      <c r="E106" s="13">
        <f>IF(AND('Ввод исходных данных'!$D$19&gt;=3,'Ввод исходных данных'!$D$19&lt;=4,'Ввод исходных данных'!$D$12&gt;1999),1,0)</f>
        <v>0</v>
      </c>
      <c r="F106" s="13">
        <f>IF(AND('Ввод исходных данных'!$D$19&gt;=5,'Ввод исходных данных'!$D$19&lt;=6,'Ввод исходных данных'!$D$12&lt;=1999),1,0)</f>
        <v>0</v>
      </c>
      <c r="G106" s="13">
        <f>IF(AND('Ввод исходных данных'!$D$19&gt;=5,'Ввод исходных данных'!$D$19&lt;=6,'Ввод исходных данных'!$D$12&gt;1999),1,0)</f>
        <v>0</v>
      </c>
      <c r="H106" s="13">
        <f>IF(AND('Ввод исходных данных'!$D$19&gt;=7,'Ввод исходных данных'!$D$19&lt;=8,'Ввод исходных данных'!$D$12&lt;=1999),1,0)</f>
        <v>0</v>
      </c>
      <c r="I106" s="1369">
        <f>IF(AND('Ввод исходных данных'!$D$19&gt;=7,'Ввод исходных данных'!$D$19&lt;=8,'Ввод исходных данных'!$D$12&gt;1999),1,0)</f>
        <v>0</v>
      </c>
      <c r="J106" s="13">
        <f>IF(AND('Ввод исходных данных'!$D$19&gt;=9,'Ввод исходных данных'!$D$19&lt;=10,'Ввод исходных данных'!$D$12&lt;=1999),1,0)</f>
        <v>0</v>
      </c>
      <c r="K106" s="13">
        <f>IF(AND('Ввод исходных данных'!$D$19&gt;=9,'Ввод исходных данных'!$D$19&lt;=10,'Ввод исходных данных'!$D$12&gt;1999),1,0)</f>
        <v>0</v>
      </c>
      <c r="L106" s="13">
        <f>IF(AND('Ввод исходных данных'!$D$19&gt;=11,'Ввод исходных данных'!$D$12&lt;=1999),1,0)</f>
        <v>0</v>
      </c>
      <c r="M106" s="13">
        <f>IF(AND('Ввод исходных данных'!$D$19&gt;=11,'Ввод исходных данных'!$D$12&gt;1999),1,0)</f>
        <v>0</v>
      </c>
    </row>
    <row r="107" spans="1:27" x14ac:dyDescent="0.25">
      <c r="A107" t="s">
        <v>982</v>
      </c>
      <c r="B107" t="s">
        <v>1845</v>
      </c>
      <c r="C107" s="13" t="s">
        <v>1846</v>
      </c>
      <c r="D107" s="13" t="s">
        <v>1847</v>
      </c>
      <c r="E107" s="13" t="s">
        <v>1848</v>
      </c>
      <c r="F107" s="13" t="s">
        <v>1849</v>
      </c>
      <c r="G107" s="13" t="s">
        <v>1850</v>
      </c>
      <c r="H107" s="13" t="s">
        <v>1851</v>
      </c>
      <c r="I107" s="1369" t="s">
        <v>1852</v>
      </c>
      <c r="J107" s="13" t="s">
        <v>1853</v>
      </c>
      <c r="K107" s="13" t="s">
        <v>1854</v>
      </c>
      <c r="L107" t="s">
        <v>1855</v>
      </c>
      <c r="M107" t="s">
        <v>1856</v>
      </c>
    </row>
    <row r="108" spans="1:27" x14ac:dyDescent="0.25">
      <c r="A108" s="1368">
        <v>0</v>
      </c>
      <c r="B108">
        <v>1.2518611009768933E-2</v>
      </c>
      <c r="C108" s="13">
        <v>1.4047915768288561E-2</v>
      </c>
      <c r="D108">
        <v>1.2E-2</v>
      </c>
      <c r="E108">
        <v>1.2999999999999999E-2</v>
      </c>
      <c r="F108">
        <v>1.12E-2</v>
      </c>
      <c r="G108">
        <v>0.01</v>
      </c>
      <c r="H108">
        <v>1.26E-2</v>
      </c>
      <c r="I108" s="1369">
        <v>8.9999999999999993E-3</v>
      </c>
      <c r="J108">
        <v>0.01</v>
      </c>
      <c r="K108">
        <v>0.01</v>
      </c>
      <c r="L108">
        <v>9.4099272569436107E-3</v>
      </c>
      <c r="M108">
        <v>0.01</v>
      </c>
      <c r="N108" s="13">
        <f>$B$106*B108+$C$106*C108+$D$106*D108+$E$106*E108+$F$106*F108+$G$106*G108+$H$106*H108+$I$106*I108+$J$106*J108+$K$106*K108+$L$106*L108+$M$106*M108</f>
        <v>0</v>
      </c>
    </row>
    <row r="109" spans="1:27" x14ac:dyDescent="0.25">
      <c r="A109" s="1368">
        <v>0.01</v>
      </c>
      <c r="B109">
        <v>1.2518611009768933E-2</v>
      </c>
      <c r="C109" s="13">
        <v>1.6744486152101039E-2</v>
      </c>
      <c r="D109">
        <v>1.2999999999999999E-2</v>
      </c>
      <c r="E109">
        <v>1.4E-2</v>
      </c>
      <c r="F109">
        <v>1.4500000000000001E-2</v>
      </c>
      <c r="G109">
        <v>0.01</v>
      </c>
      <c r="H109">
        <v>1.3899999999999999E-2</v>
      </c>
      <c r="I109" s="1369">
        <v>1.0200000000000001E-2</v>
      </c>
      <c r="J109">
        <v>1.6E-2</v>
      </c>
      <c r="K109">
        <v>1.234662179741482E-2</v>
      </c>
      <c r="L109">
        <v>1.5409927256943611E-2</v>
      </c>
      <c r="M109">
        <v>1.6E-2</v>
      </c>
      <c r="N109" s="13">
        <f t="shared" ref="N109:N172" si="47">$B$106*B109+$C$106*C109+$D$106*D109+$E$106*E109+$F$106*F109+$G$106*G109+$H$106*H109+$I$106*I109+$J$106*J109+$K$106*K109+$L$106*L109+$M$106*M109</f>
        <v>0</v>
      </c>
    </row>
    <row r="110" spans="1:27" x14ac:dyDescent="0.25">
      <c r="A110" s="1368">
        <v>0.02</v>
      </c>
      <c r="B110">
        <v>2.3730427195291521E-2</v>
      </c>
      <c r="C110" s="13">
        <v>1.7994539046042025E-2</v>
      </c>
      <c r="D110">
        <v>1.4E-2</v>
      </c>
      <c r="E110">
        <v>1.4999999999999999E-2</v>
      </c>
      <c r="F110">
        <v>1.7000000000000001E-2</v>
      </c>
      <c r="G110">
        <v>1.0999999999999999E-2</v>
      </c>
      <c r="H110">
        <v>1.6400000000000001E-2</v>
      </c>
      <c r="I110" s="1369">
        <v>1.0999999999999999E-2</v>
      </c>
      <c r="J110">
        <v>1.7000000000000001E-2</v>
      </c>
      <c r="K110">
        <v>1.325700504526809E-2</v>
      </c>
      <c r="L110">
        <v>1.7027405640847443E-2</v>
      </c>
      <c r="M110">
        <v>1.6E-2</v>
      </c>
      <c r="N110" s="13">
        <f t="shared" si="47"/>
        <v>0</v>
      </c>
    </row>
    <row r="111" spans="1:27" x14ac:dyDescent="0.25">
      <c r="A111" s="1368">
        <v>0.03</v>
      </c>
      <c r="B111">
        <v>2.8207780011331618E-2</v>
      </c>
      <c r="C111" s="13">
        <v>1.8587151483553447E-2</v>
      </c>
      <c r="D111">
        <v>1.6E-2</v>
      </c>
      <c r="E111">
        <v>1.4999999999999999E-2</v>
      </c>
      <c r="F111">
        <v>1.8499999999999999E-2</v>
      </c>
      <c r="G111">
        <v>1.0999999999999999E-2</v>
      </c>
      <c r="H111">
        <v>1.8499999999999999E-2</v>
      </c>
      <c r="I111" s="1369">
        <v>1.23E-2</v>
      </c>
      <c r="J111">
        <v>1.7999999999999999E-2</v>
      </c>
      <c r="K111">
        <v>1.4052958120005163E-2</v>
      </c>
      <c r="L111">
        <v>2.0340342096888515E-2</v>
      </c>
      <c r="M111">
        <v>2.1999999999999999E-2</v>
      </c>
      <c r="N111" s="13">
        <f t="shared" si="47"/>
        <v>0</v>
      </c>
    </row>
    <row r="112" spans="1:27" x14ac:dyDescent="0.25">
      <c r="A112" s="1368">
        <v>0.04</v>
      </c>
      <c r="B112">
        <v>3.1315578974189691E-2</v>
      </c>
      <c r="C112" s="13">
        <v>1.9213086603724425E-2</v>
      </c>
      <c r="D112">
        <v>1.7999999999999999E-2</v>
      </c>
      <c r="E112">
        <v>1.6E-2</v>
      </c>
      <c r="F112">
        <v>2.0199999999999999E-2</v>
      </c>
      <c r="G112">
        <v>1.2999999999999999E-2</v>
      </c>
      <c r="H112">
        <v>1.9800000000000002E-2</v>
      </c>
      <c r="I112" s="1369">
        <v>1.38E-2</v>
      </c>
      <c r="J112">
        <v>1.9E-2</v>
      </c>
      <c r="K112">
        <v>1.4822130137515242E-2</v>
      </c>
      <c r="L112">
        <v>2.3647531042765228E-2</v>
      </c>
      <c r="M112">
        <v>2.1999999999999999E-2</v>
      </c>
      <c r="N112" s="13">
        <f t="shared" si="47"/>
        <v>0</v>
      </c>
    </row>
    <row r="113" spans="1:14" x14ac:dyDescent="0.25">
      <c r="A113" s="1368">
        <v>0.05</v>
      </c>
      <c r="B113">
        <v>3.2711214641022224E-2</v>
      </c>
      <c r="C113" s="13">
        <v>2.0551086509565587E-2</v>
      </c>
      <c r="D113">
        <v>0.02</v>
      </c>
      <c r="E113">
        <v>1.6E-2</v>
      </c>
      <c r="F113">
        <v>2.18E-2</v>
      </c>
      <c r="G113">
        <v>1.2999999999999999E-2</v>
      </c>
      <c r="H113">
        <v>2.0899999999999998E-2</v>
      </c>
      <c r="I113" s="1369">
        <v>1.5100000000000001E-2</v>
      </c>
      <c r="J113">
        <v>2.1000000000000001E-2</v>
      </c>
      <c r="K113">
        <v>1.5620551011048823E-2</v>
      </c>
      <c r="L113">
        <v>2.405787392088762E-2</v>
      </c>
      <c r="M113">
        <v>2.5000000000000001E-2</v>
      </c>
      <c r="N113" s="13">
        <f t="shared" si="47"/>
        <v>0</v>
      </c>
    </row>
    <row r="114" spans="1:14" x14ac:dyDescent="0.25">
      <c r="A114" s="1368">
        <v>0.06</v>
      </c>
      <c r="B114">
        <v>3.4561155794208036E-2</v>
      </c>
      <c r="C114" s="13">
        <v>2.0892659679225895E-2</v>
      </c>
      <c r="D114">
        <v>2.1999999999999999E-2</v>
      </c>
      <c r="E114">
        <v>1.7000000000000001E-2</v>
      </c>
      <c r="F114">
        <v>2.3300000000000001E-2</v>
      </c>
      <c r="G114">
        <v>1.4999999999999999E-2</v>
      </c>
      <c r="H114">
        <v>2.1899999999999999E-2</v>
      </c>
      <c r="I114" s="1369">
        <v>1.5699999999999999E-2</v>
      </c>
      <c r="J114">
        <v>2.1999999999999999E-2</v>
      </c>
      <c r="K114">
        <v>1.6369951330399042E-2</v>
      </c>
      <c r="L114">
        <v>2.5870648308864937E-2</v>
      </c>
      <c r="M114">
        <v>2.5000000000000001E-2</v>
      </c>
      <c r="N114" s="13">
        <f t="shared" si="47"/>
        <v>0</v>
      </c>
    </row>
    <row r="115" spans="1:14" x14ac:dyDescent="0.25">
      <c r="A115" s="1368">
        <v>7.0000000000000007E-2</v>
      </c>
      <c r="B115">
        <v>3.6167907269765195E-2</v>
      </c>
      <c r="C115" s="13">
        <v>2.1852629067088892E-2</v>
      </c>
      <c r="D115">
        <v>2.3E-2</v>
      </c>
      <c r="E115">
        <v>1.7999999999999999E-2</v>
      </c>
      <c r="F115">
        <v>2.46E-2</v>
      </c>
      <c r="G115">
        <v>1.4999999999999999E-2</v>
      </c>
      <c r="H115">
        <v>2.29E-2</v>
      </c>
      <c r="I115" s="1369">
        <v>1.6199999999999999E-2</v>
      </c>
      <c r="J115">
        <v>2.1999999999999999E-2</v>
      </c>
      <c r="K115">
        <v>1.6811995848327547E-2</v>
      </c>
      <c r="L115">
        <v>2.7492432232979699E-2</v>
      </c>
      <c r="M115">
        <v>2.8000000000000001E-2</v>
      </c>
      <c r="N115" s="13">
        <f t="shared" si="47"/>
        <v>0</v>
      </c>
    </row>
    <row r="116" spans="1:14" x14ac:dyDescent="0.25">
      <c r="A116" s="1368">
        <v>0.08</v>
      </c>
      <c r="B116">
        <v>3.8090889275272773E-2</v>
      </c>
      <c r="C116" s="13">
        <v>2.3368432058205598E-2</v>
      </c>
      <c r="D116">
        <v>2.5000000000000001E-2</v>
      </c>
      <c r="E116">
        <v>1.7999999999999999E-2</v>
      </c>
      <c r="F116">
        <v>2.5600000000000001E-2</v>
      </c>
      <c r="G116">
        <v>1.6E-2</v>
      </c>
      <c r="H116">
        <v>2.3400000000000001E-2</v>
      </c>
      <c r="I116" s="1369">
        <v>1.66E-2</v>
      </c>
      <c r="J116">
        <v>2.5999999999999999E-2</v>
      </c>
      <c r="K116">
        <v>1.7752587690267739E-2</v>
      </c>
      <c r="L116">
        <v>3.0312879599075297E-2</v>
      </c>
      <c r="M116">
        <v>2.8000000000000001E-2</v>
      </c>
      <c r="N116" s="13">
        <f t="shared" si="47"/>
        <v>0</v>
      </c>
    </row>
    <row r="117" spans="1:14" x14ac:dyDescent="0.25">
      <c r="A117" s="1368">
        <v>0.09</v>
      </c>
      <c r="B117">
        <v>3.8998525963169502E-2</v>
      </c>
      <c r="C117" s="13">
        <v>2.414475391002224E-2</v>
      </c>
      <c r="D117">
        <v>2.5999999999999999E-2</v>
      </c>
      <c r="E117">
        <v>1.7999999999999999E-2</v>
      </c>
      <c r="F117">
        <v>2.64E-2</v>
      </c>
      <c r="G117">
        <v>1.6E-2</v>
      </c>
      <c r="H117">
        <v>2.3800000000000002E-2</v>
      </c>
      <c r="I117" s="1369">
        <v>1.7000000000000001E-2</v>
      </c>
      <c r="J117">
        <v>2.5999999999999999E-2</v>
      </c>
      <c r="K117">
        <v>1.8266019851654793E-2</v>
      </c>
      <c r="L117">
        <v>3.0872565525811201E-2</v>
      </c>
      <c r="M117">
        <v>3.1E-2</v>
      </c>
      <c r="N117" s="13">
        <f t="shared" si="47"/>
        <v>0</v>
      </c>
    </row>
    <row r="118" spans="1:14" x14ac:dyDescent="0.25">
      <c r="A118" s="1368">
        <v>0.1</v>
      </c>
      <c r="B118">
        <v>4.0586187952889118E-2</v>
      </c>
      <c r="C118" s="13">
        <v>2.4522761015102632E-2</v>
      </c>
      <c r="D118">
        <v>2.7E-2</v>
      </c>
      <c r="E118">
        <v>1.9E-2</v>
      </c>
      <c r="F118">
        <v>2.7199999999999998E-2</v>
      </c>
      <c r="G118">
        <v>1.7000000000000001E-2</v>
      </c>
      <c r="H118">
        <v>2.4400000000000002E-2</v>
      </c>
      <c r="I118" s="1369">
        <v>1.7600000000000001E-2</v>
      </c>
      <c r="J118">
        <v>2.8000000000000001E-2</v>
      </c>
      <c r="K118">
        <v>1.8916997917546977E-2</v>
      </c>
      <c r="L118">
        <v>3.1251241226264839E-2</v>
      </c>
      <c r="M118">
        <v>3.1E-2</v>
      </c>
      <c r="N118" s="13">
        <f t="shared" si="47"/>
        <v>0</v>
      </c>
    </row>
    <row r="119" spans="1:14" x14ac:dyDescent="0.25">
      <c r="A119" s="1368">
        <v>0.11</v>
      </c>
      <c r="B119">
        <v>4.1791698663043698E-2</v>
      </c>
      <c r="C119" s="13">
        <v>2.5342519185278203E-2</v>
      </c>
      <c r="D119">
        <v>2.7E-2</v>
      </c>
      <c r="E119">
        <v>0.02</v>
      </c>
      <c r="F119">
        <v>2.8000000000000001E-2</v>
      </c>
      <c r="G119">
        <v>1.7000000000000001E-2</v>
      </c>
      <c r="H119">
        <v>2.4799999999999999E-2</v>
      </c>
      <c r="I119" s="1369">
        <v>1.7999999999999999E-2</v>
      </c>
      <c r="J119">
        <v>2.8000000000000001E-2</v>
      </c>
      <c r="K119">
        <v>1.9442595570374196E-2</v>
      </c>
      <c r="L119">
        <v>3.19958476783061E-2</v>
      </c>
      <c r="M119">
        <v>3.3000000000000002E-2</v>
      </c>
      <c r="N119" s="13">
        <f t="shared" si="47"/>
        <v>0</v>
      </c>
    </row>
    <row r="120" spans="1:14" x14ac:dyDescent="0.25">
      <c r="A120" s="1368">
        <v>0.12</v>
      </c>
      <c r="B120">
        <v>4.2662232746286007E-2</v>
      </c>
      <c r="C120" s="13">
        <v>2.5704335669128019E-2</v>
      </c>
      <c r="D120">
        <v>2.8000000000000001E-2</v>
      </c>
      <c r="E120">
        <v>0.02</v>
      </c>
      <c r="F120">
        <v>2.87E-2</v>
      </c>
      <c r="G120">
        <v>1.7999999999999999E-2</v>
      </c>
      <c r="H120">
        <v>2.53E-2</v>
      </c>
      <c r="I120" s="1369">
        <v>1.8599999999999998E-2</v>
      </c>
      <c r="J120">
        <v>2.9000000000000001E-2</v>
      </c>
      <c r="K120">
        <v>1.9817689612917907E-2</v>
      </c>
      <c r="L120">
        <v>3.2728869587910381E-2</v>
      </c>
      <c r="M120">
        <v>3.3000000000000002E-2</v>
      </c>
      <c r="N120" s="13">
        <f t="shared" si="47"/>
        <v>0</v>
      </c>
    </row>
    <row r="121" spans="1:14" x14ac:dyDescent="0.25">
      <c r="A121" s="1368">
        <v>0.13</v>
      </c>
      <c r="B121">
        <v>4.3718239170003691E-2</v>
      </c>
      <c r="C121" s="13">
        <v>2.6228852246727122E-2</v>
      </c>
      <c r="D121">
        <v>2.9000000000000001E-2</v>
      </c>
      <c r="E121">
        <v>2.1000000000000001E-2</v>
      </c>
      <c r="F121">
        <v>2.92E-2</v>
      </c>
      <c r="G121">
        <v>1.7999999999999999E-2</v>
      </c>
      <c r="H121">
        <v>2.5700000000000001E-2</v>
      </c>
      <c r="I121" s="1369">
        <v>1.9300000000000001E-2</v>
      </c>
      <c r="J121">
        <v>2.9000000000000001E-2</v>
      </c>
      <c r="K121">
        <v>2.0378749311284718E-2</v>
      </c>
      <c r="L121">
        <v>3.3460169531503013E-2</v>
      </c>
      <c r="M121">
        <v>3.4000000000000002E-2</v>
      </c>
      <c r="N121" s="13">
        <f t="shared" si="47"/>
        <v>0</v>
      </c>
    </row>
    <row r="122" spans="1:14" x14ac:dyDescent="0.25">
      <c r="A122" s="1368">
        <v>0.14000000000000001</v>
      </c>
      <c r="B122">
        <v>4.427244871091375E-2</v>
      </c>
      <c r="C122" s="13">
        <v>2.6600713942119512E-2</v>
      </c>
      <c r="D122">
        <v>0.03</v>
      </c>
      <c r="E122">
        <v>2.1000000000000001E-2</v>
      </c>
      <c r="F122">
        <v>2.9700000000000001E-2</v>
      </c>
      <c r="G122">
        <v>1.9E-2</v>
      </c>
      <c r="H122">
        <v>2.6200000000000001E-2</v>
      </c>
      <c r="I122" s="1369">
        <v>1.9800000000000002E-2</v>
      </c>
      <c r="J122">
        <v>3.1E-2</v>
      </c>
      <c r="K122">
        <v>2.1028110096437319E-2</v>
      </c>
      <c r="L122">
        <v>3.3866357879394404E-2</v>
      </c>
      <c r="M122">
        <v>3.4000000000000002E-2</v>
      </c>
      <c r="N122" s="13">
        <f t="shared" si="47"/>
        <v>0</v>
      </c>
    </row>
    <row r="123" spans="1:14" x14ac:dyDescent="0.25">
      <c r="A123" s="1368">
        <v>0.15</v>
      </c>
      <c r="B123">
        <v>4.4802375688124028E-2</v>
      </c>
      <c r="C123" s="13">
        <v>2.6726429576302866E-2</v>
      </c>
      <c r="D123">
        <v>3.1E-2</v>
      </c>
      <c r="E123">
        <v>2.1000000000000001E-2</v>
      </c>
      <c r="F123">
        <v>3.0099999999999998E-2</v>
      </c>
      <c r="G123">
        <v>1.9E-2</v>
      </c>
      <c r="H123">
        <v>2.6700000000000002E-2</v>
      </c>
      <c r="I123" s="1369">
        <v>2.0299999999999999E-2</v>
      </c>
      <c r="J123">
        <v>3.1E-2</v>
      </c>
      <c r="K123">
        <v>2.1399775730222333E-2</v>
      </c>
      <c r="L123">
        <v>3.4428427215100178E-2</v>
      </c>
      <c r="M123">
        <v>3.5000000000000003E-2</v>
      </c>
      <c r="N123" s="13">
        <f t="shared" si="47"/>
        <v>0</v>
      </c>
    </row>
    <row r="124" spans="1:14" x14ac:dyDescent="0.25">
      <c r="A124" s="1368">
        <v>0.16</v>
      </c>
      <c r="B124">
        <v>4.5009215790145864E-2</v>
      </c>
      <c r="C124" s="13">
        <v>2.7027709470229623E-2</v>
      </c>
      <c r="D124">
        <v>3.1E-2</v>
      </c>
      <c r="E124">
        <v>2.1999999999999999E-2</v>
      </c>
      <c r="F124">
        <v>3.0599999999999999E-2</v>
      </c>
      <c r="G124">
        <v>2.1000000000000001E-2</v>
      </c>
      <c r="H124">
        <v>2.7199999999999998E-2</v>
      </c>
      <c r="I124" s="1369">
        <v>2.07E-2</v>
      </c>
      <c r="J124">
        <v>3.2000000000000001E-2</v>
      </c>
      <c r="K124">
        <v>2.185637915131429E-2</v>
      </c>
      <c r="L124">
        <v>3.4605575642488062E-2</v>
      </c>
      <c r="M124">
        <v>3.5000000000000003E-2</v>
      </c>
      <c r="N124" s="13">
        <f t="shared" si="47"/>
        <v>0</v>
      </c>
    </row>
    <row r="125" spans="1:14" x14ac:dyDescent="0.25">
      <c r="A125" s="1368">
        <v>0.17</v>
      </c>
      <c r="B125">
        <v>4.5082021272042402E-2</v>
      </c>
      <c r="C125" s="13">
        <v>2.7665747119575829E-2</v>
      </c>
      <c r="D125">
        <v>3.2000000000000001E-2</v>
      </c>
      <c r="E125">
        <v>2.1999999999999999E-2</v>
      </c>
      <c r="F125">
        <v>3.1E-2</v>
      </c>
      <c r="G125">
        <v>2.1000000000000001E-2</v>
      </c>
      <c r="H125">
        <v>2.76E-2</v>
      </c>
      <c r="I125" s="1369">
        <v>2.1100000000000001E-2</v>
      </c>
      <c r="J125">
        <v>3.2000000000000001E-2</v>
      </c>
      <c r="K125">
        <v>2.1984020671084049E-2</v>
      </c>
      <c r="L125">
        <v>3.4817425366653887E-2</v>
      </c>
      <c r="M125">
        <v>3.5999999999999997E-2</v>
      </c>
      <c r="N125" s="13">
        <f t="shared" si="47"/>
        <v>0</v>
      </c>
    </row>
    <row r="126" spans="1:14" x14ac:dyDescent="0.25">
      <c r="A126" s="1368">
        <v>0.18</v>
      </c>
      <c r="B126">
        <v>4.5168756818054739E-2</v>
      </c>
      <c r="C126" s="13">
        <v>2.8204982049412859E-2</v>
      </c>
      <c r="D126">
        <v>3.2000000000000001E-2</v>
      </c>
      <c r="E126">
        <v>2.1999999999999999E-2</v>
      </c>
      <c r="F126">
        <v>3.15E-2</v>
      </c>
      <c r="G126">
        <v>2.1999999999999999E-2</v>
      </c>
      <c r="H126">
        <v>2.8199999999999999E-2</v>
      </c>
      <c r="I126" s="1369">
        <v>2.1499999999999998E-2</v>
      </c>
      <c r="J126">
        <v>3.3000000000000002E-2</v>
      </c>
      <c r="K126">
        <v>2.2460605852421271E-2</v>
      </c>
      <c r="L126">
        <v>3.6471213550236498E-2</v>
      </c>
      <c r="M126">
        <v>3.5999999999999997E-2</v>
      </c>
      <c r="N126" s="13">
        <f t="shared" si="47"/>
        <v>0</v>
      </c>
    </row>
    <row r="127" spans="1:14" x14ac:dyDescent="0.25">
      <c r="A127" s="1368">
        <v>0.19</v>
      </c>
      <c r="B127">
        <v>4.5617682523408448E-2</v>
      </c>
      <c r="C127" s="13">
        <v>2.8637196297272637E-2</v>
      </c>
      <c r="D127">
        <v>3.3000000000000002E-2</v>
      </c>
      <c r="E127">
        <v>2.3E-2</v>
      </c>
      <c r="F127">
        <v>3.1899999999999998E-2</v>
      </c>
      <c r="G127">
        <v>2.1999999999999999E-2</v>
      </c>
      <c r="H127">
        <v>2.8500000000000001E-2</v>
      </c>
      <c r="I127" s="1369">
        <v>2.1700000000000001E-2</v>
      </c>
      <c r="J127">
        <v>3.3000000000000002E-2</v>
      </c>
      <c r="K127">
        <v>2.2838194022122699E-2</v>
      </c>
      <c r="L127">
        <v>3.6728572993301969E-2</v>
      </c>
      <c r="M127">
        <v>3.6999999999999998E-2</v>
      </c>
      <c r="N127" s="13">
        <f t="shared" si="47"/>
        <v>0</v>
      </c>
    </row>
    <row r="128" spans="1:14" x14ac:dyDescent="0.25">
      <c r="A128" s="1368">
        <v>0.2</v>
      </c>
      <c r="B128">
        <v>4.6517433520909195E-2</v>
      </c>
      <c r="C128" s="13">
        <v>2.9059986982400851E-2</v>
      </c>
      <c r="D128">
        <v>3.3000000000000002E-2</v>
      </c>
      <c r="E128">
        <v>2.3E-2</v>
      </c>
      <c r="F128">
        <v>3.2300000000000002E-2</v>
      </c>
      <c r="G128">
        <v>2.3E-2</v>
      </c>
      <c r="H128">
        <v>2.8899999999999999E-2</v>
      </c>
      <c r="I128" s="1369">
        <v>2.1999999999999999E-2</v>
      </c>
      <c r="J128">
        <v>3.4000000000000002E-2</v>
      </c>
      <c r="K128">
        <v>2.3024044755924799E-2</v>
      </c>
      <c r="L128">
        <v>3.7221276778921654E-2</v>
      </c>
      <c r="M128">
        <v>3.6999999999999998E-2</v>
      </c>
      <c r="N128" s="13">
        <f t="shared" si="47"/>
        <v>0</v>
      </c>
    </row>
    <row r="129" spans="1:14" x14ac:dyDescent="0.25">
      <c r="A129" s="1368">
        <v>0.21</v>
      </c>
      <c r="B129">
        <v>4.7426905508617466E-2</v>
      </c>
      <c r="C129" s="13">
        <v>2.9390290978797352E-2</v>
      </c>
      <c r="D129">
        <v>3.4000000000000002E-2</v>
      </c>
      <c r="E129">
        <v>2.3E-2</v>
      </c>
      <c r="F129">
        <v>3.2800000000000003E-2</v>
      </c>
      <c r="G129">
        <v>2.3E-2</v>
      </c>
      <c r="H129">
        <v>2.92E-2</v>
      </c>
      <c r="I129" s="1369">
        <v>2.24E-2</v>
      </c>
      <c r="J129">
        <v>3.4000000000000002E-2</v>
      </c>
      <c r="K129">
        <v>2.337339301438951E-2</v>
      </c>
      <c r="L129">
        <v>3.7629890684089271E-2</v>
      </c>
      <c r="M129">
        <v>3.7999999999999999E-2</v>
      </c>
      <c r="N129" s="13">
        <f t="shared" si="47"/>
        <v>0</v>
      </c>
    </row>
    <row r="130" spans="1:14" x14ac:dyDescent="0.25">
      <c r="A130" s="1368">
        <v>0.22</v>
      </c>
      <c r="B130">
        <v>4.8355801953879153E-2</v>
      </c>
      <c r="C130" s="13">
        <v>2.9672242497434925E-2</v>
      </c>
      <c r="D130">
        <v>3.4000000000000002E-2</v>
      </c>
      <c r="E130">
        <v>2.4E-2</v>
      </c>
      <c r="F130">
        <v>3.32E-2</v>
      </c>
      <c r="G130">
        <v>2.3E-2</v>
      </c>
      <c r="H130">
        <v>2.9499999999999998E-2</v>
      </c>
      <c r="I130" s="1369">
        <v>2.3099999999999999E-2</v>
      </c>
      <c r="J130">
        <v>3.4000000000000002E-2</v>
      </c>
      <c r="K130">
        <v>2.3784054794430177E-2</v>
      </c>
      <c r="L130">
        <v>3.8222424475728732E-2</v>
      </c>
      <c r="M130">
        <v>3.7999999999999999E-2</v>
      </c>
      <c r="N130" s="13">
        <f t="shared" si="47"/>
        <v>0</v>
      </c>
    </row>
    <row r="131" spans="1:14" x14ac:dyDescent="0.25">
      <c r="A131" s="1368">
        <v>0.23</v>
      </c>
      <c r="B131">
        <v>4.916526721425931E-2</v>
      </c>
      <c r="C131" s="13">
        <v>3.0039662349583936E-2</v>
      </c>
      <c r="D131">
        <v>3.5000000000000003E-2</v>
      </c>
      <c r="E131">
        <v>2.4E-2</v>
      </c>
      <c r="F131">
        <v>3.3599999999999998E-2</v>
      </c>
      <c r="G131">
        <v>2.3E-2</v>
      </c>
      <c r="H131">
        <v>2.98E-2</v>
      </c>
      <c r="I131" s="1369">
        <v>2.3400000000000001E-2</v>
      </c>
      <c r="J131">
        <v>3.4000000000000002E-2</v>
      </c>
      <c r="K131">
        <v>2.4037690526315283E-2</v>
      </c>
      <c r="L131">
        <v>3.856076114365764E-2</v>
      </c>
      <c r="M131">
        <v>3.9E-2</v>
      </c>
      <c r="N131" s="13">
        <f t="shared" si="47"/>
        <v>0</v>
      </c>
    </row>
    <row r="132" spans="1:14" x14ac:dyDescent="0.25">
      <c r="A132" s="1368">
        <v>0.24</v>
      </c>
      <c r="B132">
        <v>4.9775640895176429E-2</v>
      </c>
      <c r="C132" s="13">
        <v>3.0650000425583503E-2</v>
      </c>
      <c r="D132">
        <v>3.5000000000000003E-2</v>
      </c>
      <c r="E132">
        <v>2.4E-2</v>
      </c>
      <c r="F132">
        <v>3.4000000000000002E-2</v>
      </c>
      <c r="G132">
        <v>2.4E-2</v>
      </c>
      <c r="H132">
        <v>3.0200000000000001E-2</v>
      </c>
      <c r="I132" s="1369">
        <v>2.3699999999999999E-2</v>
      </c>
      <c r="J132">
        <v>3.5000000000000003E-2</v>
      </c>
      <c r="K132">
        <v>2.4182719469181484E-2</v>
      </c>
      <c r="L132">
        <v>3.9184574821927352E-2</v>
      </c>
      <c r="M132">
        <v>3.9E-2</v>
      </c>
      <c r="N132" s="13">
        <f t="shared" si="47"/>
        <v>0</v>
      </c>
    </row>
    <row r="133" spans="1:14" x14ac:dyDescent="0.25">
      <c r="A133" s="1368">
        <v>0.25</v>
      </c>
      <c r="B133">
        <v>5.0381056759138482E-2</v>
      </c>
      <c r="C133" s="13">
        <v>3.0905306722958832E-2</v>
      </c>
      <c r="D133">
        <v>3.5999999999999997E-2</v>
      </c>
      <c r="E133">
        <v>2.4E-2</v>
      </c>
      <c r="F133">
        <v>3.4299999999999997E-2</v>
      </c>
      <c r="G133">
        <v>2.4E-2</v>
      </c>
      <c r="H133">
        <v>3.04E-2</v>
      </c>
      <c r="I133" s="1369">
        <v>2.4E-2</v>
      </c>
      <c r="J133">
        <v>3.5000000000000003E-2</v>
      </c>
      <c r="K133">
        <v>2.4523814168516386E-2</v>
      </c>
      <c r="L133">
        <v>3.92559701969964E-2</v>
      </c>
      <c r="M133">
        <v>0.04</v>
      </c>
      <c r="N133" s="13">
        <f t="shared" si="47"/>
        <v>0</v>
      </c>
    </row>
    <row r="134" spans="1:14" x14ac:dyDescent="0.25">
      <c r="A134" s="1368">
        <v>0.26</v>
      </c>
      <c r="B134">
        <v>5.0742570966739307E-2</v>
      </c>
      <c r="C134" s="13">
        <v>3.1147892105285794E-2</v>
      </c>
      <c r="D134">
        <v>3.5999999999999997E-2</v>
      </c>
      <c r="E134">
        <v>2.4E-2</v>
      </c>
      <c r="F134">
        <v>3.4599999999999999E-2</v>
      </c>
      <c r="G134">
        <v>2.5000000000000001E-2</v>
      </c>
      <c r="H134">
        <v>3.09E-2</v>
      </c>
      <c r="I134" s="1369">
        <v>2.4299999999999999E-2</v>
      </c>
      <c r="J134">
        <v>3.5999999999999997E-2</v>
      </c>
      <c r="K134">
        <v>2.47151846103488E-2</v>
      </c>
      <c r="L134">
        <v>3.9383862902457066E-2</v>
      </c>
      <c r="M134">
        <v>0.04</v>
      </c>
      <c r="N134" s="13">
        <f t="shared" si="47"/>
        <v>0</v>
      </c>
    </row>
    <row r="135" spans="1:14" x14ac:dyDescent="0.25">
      <c r="A135" s="1368">
        <v>0.27</v>
      </c>
      <c r="B135">
        <v>5.0909083930084274E-2</v>
      </c>
      <c r="C135" s="13">
        <v>3.1447122860292581E-2</v>
      </c>
      <c r="D135">
        <v>3.5999999999999997E-2</v>
      </c>
      <c r="E135">
        <v>2.5000000000000001E-2</v>
      </c>
      <c r="F135">
        <v>3.5000000000000003E-2</v>
      </c>
      <c r="G135">
        <v>2.5000000000000001E-2</v>
      </c>
      <c r="H135">
        <v>3.1300000000000001E-2</v>
      </c>
      <c r="I135" s="1369">
        <v>2.46E-2</v>
      </c>
      <c r="J135">
        <v>3.5999999999999997E-2</v>
      </c>
      <c r="K135">
        <v>2.4992289286376076E-2</v>
      </c>
      <c r="L135">
        <v>3.9910711445470134E-2</v>
      </c>
      <c r="M135">
        <v>0.04</v>
      </c>
      <c r="N135" s="13">
        <f t="shared" si="47"/>
        <v>0</v>
      </c>
    </row>
    <row r="136" spans="1:14" x14ac:dyDescent="0.25">
      <c r="A136" s="1368">
        <v>0.28000000000000003</v>
      </c>
      <c r="B136">
        <v>5.1135859202961181E-2</v>
      </c>
      <c r="C136" s="13">
        <v>3.1701796813415749E-2</v>
      </c>
      <c r="D136">
        <v>3.6999999999999998E-2</v>
      </c>
      <c r="E136">
        <v>2.5000000000000001E-2</v>
      </c>
      <c r="F136">
        <v>3.5299999999999998E-2</v>
      </c>
      <c r="G136">
        <v>2.5999999999999999E-2</v>
      </c>
      <c r="H136">
        <v>3.15E-2</v>
      </c>
      <c r="I136" s="1369">
        <v>2.47E-2</v>
      </c>
      <c r="J136">
        <v>3.6999999999999998E-2</v>
      </c>
      <c r="K136">
        <v>2.5202479244295823E-2</v>
      </c>
      <c r="L136">
        <v>4.0272033102540482E-2</v>
      </c>
      <c r="M136">
        <v>0.04</v>
      </c>
      <c r="N136" s="13">
        <f t="shared" si="47"/>
        <v>0</v>
      </c>
    </row>
    <row r="137" spans="1:14" x14ac:dyDescent="0.25">
      <c r="A137" s="1368">
        <v>0.28999999999999998</v>
      </c>
      <c r="B137">
        <v>5.153380456137354E-2</v>
      </c>
      <c r="C137" s="13">
        <v>3.2210461894634564E-2</v>
      </c>
      <c r="D137">
        <v>3.6999999999999998E-2</v>
      </c>
      <c r="E137">
        <v>2.5000000000000001E-2</v>
      </c>
      <c r="F137">
        <v>3.56E-2</v>
      </c>
      <c r="G137">
        <v>2.5999999999999999E-2</v>
      </c>
      <c r="H137">
        <v>3.1899999999999998E-2</v>
      </c>
      <c r="I137" s="1369">
        <v>2.5000000000000001E-2</v>
      </c>
      <c r="J137">
        <v>3.6999999999999998E-2</v>
      </c>
      <c r="K137">
        <v>2.5457737912973628E-2</v>
      </c>
      <c r="L137">
        <v>4.0402740134908702E-2</v>
      </c>
      <c r="M137">
        <v>4.1000000000000002E-2</v>
      </c>
      <c r="N137" s="13">
        <f t="shared" si="47"/>
        <v>0</v>
      </c>
    </row>
    <row r="138" spans="1:14" x14ac:dyDescent="0.25">
      <c r="A138" s="1368">
        <v>0.3</v>
      </c>
      <c r="B138">
        <v>5.1789172209903908E-2</v>
      </c>
      <c r="C138" s="13">
        <v>3.2586676169386014E-2</v>
      </c>
      <c r="D138">
        <v>3.6999999999999998E-2</v>
      </c>
      <c r="E138">
        <v>2.5999999999999999E-2</v>
      </c>
      <c r="F138">
        <v>3.5900000000000001E-2</v>
      </c>
      <c r="G138">
        <v>2.5999999999999999E-2</v>
      </c>
      <c r="H138">
        <v>3.2399999999999998E-2</v>
      </c>
      <c r="I138" s="1369">
        <v>2.5399999999999999E-2</v>
      </c>
      <c r="J138">
        <v>3.6999999999999998E-2</v>
      </c>
      <c r="K138">
        <v>2.5957346568731578E-2</v>
      </c>
      <c r="L138">
        <v>4.0605837544805186E-2</v>
      </c>
      <c r="M138">
        <v>4.1000000000000002E-2</v>
      </c>
      <c r="N138" s="13">
        <f t="shared" si="47"/>
        <v>0</v>
      </c>
    </row>
    <row r="139" spans="1:14" x14ac:dyDescent="0.25">
      <c r="A139" s="1368">
        <v>0.31</v>
      </c>
      <c r="B139">
        <v>5.2083811406984759E-2</v>
      </c>
      <c r="C139" s="13">
        <v>3.2853893033698331E-2</v>
      </c>
      <c r="D139">
        <v>3.7999999999999999E-2</v>
      </c>
      <c r="E139">
        <v>2.5999999999999999E-2</v>
      </c>
      <c r="F139">
        <v>3.6200000000000003E-2</v>
      </c>
      <c r="G139">
        <v>2.5999999999999999E-2</v>
      </c>
      <c r="H139">
        <v>3.27E-2</v>
      </c>
      <c r="I139" s="1369">
        <v>2.5700000000000001E-2</v>
      </c>
      <c r="J139">
        <v>3.6999999999999998E-2</v>
      </c>
      <c r="K139">
        <v>2.6246949567622781E-2</v>
      </c>
      <c r="L139">
        <v>4.0760910563487573E-2</v>
      </c>
      <c r="M139">
        <v>4.1000000000000002E-2</v>
      </c>
      <c r="N139" s="13">
        <f t="shared" si="47"/>
        <v>0</v>
      </c>
    </row>
    <row r="140" spans="1:14" x14ac:dyDescent="0.25">
      <c r="A140" s="1368">
        <v>0.32</v>
      </c>
      <c r="B140">
        <v>5.2555871911190287E-2</v>
      </c>
      <c r="C140" s="13">
        <v>3.3778225822532461E-2</v>
      </c>
      <c r="D140">
        <v>3.7999999999999999E-2</v>
      </c>
      <c r="E140">
        <v>2.5999999999999999E-2</v>
      </c>
      <c r="F140">
        <v>3.6600000000000001E-2</v>
      </c>
      <c r="G140">
        <v>2.7E-2</v>
      </c>
      <c r="H140">
        <v>3.3099999999999997E-2</v>
      </c>
      <c r="I140" s="1369">
        <v>2.5899999999999999E-2</v>
      </c>
      <c r="J140">
        <v>3.7999999999999999E-2</v>
      </c>
      <c r="K140">
        <v>2.669886829312202E-2</v>
      </c>
      <c r="L140">
        <v>4.1076705645151368E-2</v>
      </c>
      <c r="M140">
        <v>4.1000000000000002E-2</v>
      </c>
      <c r="N140" s="13">
        <f t="shared" si="47"/>
        <v>0</v>
      </c>
    </row>
    <row r="141" spans="1:14" x14ac:dyDescent="0.25">
      <c r="A141" s="1368">
        <v>0.33</v>
      </c>
      <c r="B141">
        <v>5.2884086679258833E-2</v>
      </c>
      <c r="C141" s="13">
        <v>3.4336497086751433E-2</v>
      </c>
      <c r="D141">
        <v>3.7999999999999999E-2</v>
      </c>
      <c r="E141">
        <v>2.7E-2</v>
      </c>
      <c r="F141">
        <v>3.6799999999999999E-2</v>
      </c>
      <c r="G141">
        <v>2.7E-2</v>
      </c>
      <c r="H141">
        <v>3.3700000000000001E-2</v>
      </c>
      <c r="I141" s="1369">
        <v>2.6200000000000001E-2</v>
      </c>
      <c r="J141">
        <v>3.7999999999999999E-2</v>
      </c>
      <c r="K141">
        <v>2.6864425871191835E-2</v>
      </c>
      <c r="L141">
        <v>4.1400305394836079E-2</v>
      </c>
      <c r="M141">
        <v>4.2000000000000003E-2</v>
      </c>
      <c r="N141" s="13">
        <f t="shared" si="47"/>
        <v>0</v>
      </c>
    </row>
    <row r="142" spans="1:14" x14ac:dyDescent="0.25">
      <c r="A142" s="1368">
        <v>0.34</v>
      </c>
      <c r="B142">
        <v>5.3277470173128672E-2</v>
      </c>
      <c r="C142" s="13">
        <v>3.5590154836656271E-2</v>
      </c>
      <c r="D142">
        <v>3.9E-2</v>
      </c>
      <c r="E142">
        <v>2.7E-2</v>
      </c>
      <c r="F142">
        <v>3.7100000000000001E-2</v>
      </c>
      <c r="G142">
        <v>2.7E-2</v>
      </c>
      <c r="H142">
        <v>3.39E-2</v>
      </c>
      <c r="I142" s="1369">
        <v>2.6499999999999999E-2</v>
      </c>
      <c r="J142">
        <v>3.9E-2</v>
      </c>
      <c r="K142">
        <v>2.7108844776049107E-2</v>
      </c>
      <c r="L142">
        <v>4.1687041456473735E-2</v>
      </c>
      <c r="M142">
        <v>4.2000000000000003E-2</v>
      </c>
      <c r="N142" s="13">
        <f t="shared" si="47"/>
        <v>0</v>
      </c>
    </row>
    <row r="143" spans="1:14" x14ac:dyDescent="0.25">
      <c r="A143" s="1368">
        <v>0.35</v>
      </c>
      <c r="B143">
        <v>5.3652490423361718E-2</v>
      </c>
      <c r="C143" s="13">
        <v>3.5797269568661409E-2</v>
      </c>
      <c r="D143">
        <v>3.9E-2</v>
      </c>
      <c r="E143">
        <v>2.8000000000000001E-2</v>
      </c>
      <c r="F143">
        <v>3.7400000000000003E-2</v>
      </c>
      <c r="G143">
        <v>2.7E-2</v>
      </c>
      <c r="H143">
        <v>3.4299999999999997E-2</v>
      </c>
      <c r="I143" s="1369">
        <v>2.69E-2</v>
      </c>
      <c r="J143">
        <v>3.9E-2</v>
      </c>
      <c r="K143">
        <v>2.7351962679644046E-2</v>
      </c>
      <c r="L143">
        <v>4.1776362920549114E-2</v>
      </c>
      <c r="M143">
        <v>4.2000000000000003E-2</v>
      </c>
      <c r="N143" s="13">
        <f t="shared" si="47"/>
        <v>0</v>
      </c>
    </row>
    <row r="144" spans="1:14" x14ac:dyDescent="0.25">
      <c r="A144" s="1368">
        <v>0.36</v>
      </c>
      <c r="B144">
        <v>5.3948847227570276E-2</v>
      </c>
      <c r="C144" s="13">
        <v>3.6237242218519691E-2</v>
      </c>
      <c r="D144">
        <v>3.9E-2</v>
      </c>
      <c r="E144">
        <v>2.8000000000000001E-2</v>
      </c>
      <c r="F144">
        <v>3.7600000000000001E-2</v>
      </c>
      <c r="G144">
        <v>2.7E-2</v>
      </c>
      <c r="H144">
        <v>3.4599999999999999E-2</v>
      </c>
      <c r="I144" s="1369">
        <v>2.7E-2</v>
      </c>
      <c r="J144">
        <v>3.9E-2</v>
      </c>
      <c r="K144">
        <v>2.7675662658581401E-2</v>
      </c>
      <c r="L144">
        <v>4.1986464701455929E-2</v>
      </c>
      <c r="M144">
        <v>4.2000000000000003E-2</v>
      </c>
      <c r="N144" s="13">
        <f t="shared" si="47"/>
        <v>0</v>
      </c>
    </row>
    <row r="145" spans="1:14" x14ac:dyDescent="0.25">
      <c r="A145" s="1368">
        <v>0.37</v>
      </c>
      <c r="B145">
        <v>5.4092444445379986E-2</v>
      </c>
      <c r="C145" s="13">
        <v>3.6814894764674887E-2</v>
      </c>
      <c r="D145">
        <v>0.04</v>
      </c>
      <c r="E145">
        <v>2.8000000000000001E-2</v>
      </c>
      <c r="F145">
        <v>3.78E-2</v>
      </c>
      <c r="G145">
        <v>2.7E-2</v>
      </c>
      <c r="H145">
        <v>3.4799999999999998E-2</v>
      </c>
      <c r="I145" s="1369">
        <v>2.7300000000000001E-2</v>
      </c>
      <c r="J145">
        <v>3.9E-2</v>
      </c>
      <c r="K145">
        <v>2.8037214169787113E-2</v>
      </c>
      <c r="L145">
        <v>4.2339138590193635E-2</v>
      </c>
      <c r="M145">
        <v>4.2999999999999997E-2</v>
      </c>
      <c r="N145" s="13">
        <f t="shared" si="47"/>
        <v>0</v>
      </c>
    </row>
    <row r="146" spans="1:14" x14ac:dyDescent="0.25">
      <c r="A146" s="1368">
        <v>0.38</v>
      </c>
      <c r="B146">
        <v>5.4289499018747973E-2</v>
      </c>
      <c r="C146" s="13">
        <v>3.7435537836574197E-2</v>
      </c>
      <c r="D146">
        <v>0.04</v>
      </c>
      <c r="E146">
        <v>2.9000000000000001E-2</v>
      </c>
      <c r="F146">
        <v>3.7999999999999999E-2</v>
      </c>
      <c r="G146">
        <v>2.8000000000000001E-2</v>
      </c>
      <c r="H146">
        <v>3.5099999999999999E-2</v>
      </c>
      <c r="I146" s="1369">
        <v>2.7799999999999998E-2</v>
      </c>
      <c r="J146">
        <v>0.04</v>
      </c>
      <c r="K146">
        <v>2.8320792779633123E-2</v>
      </c>
      <c r="L146">
        <v>4.2460675478967258E-2</v>
      </c>
      <c r="M146">
        <v>4.2999999999999997E-2</v>
      </c>
      <c r="N146" s="13">
        <f t="shared" si="47"/>
        <v>0</v>
      </c>
    </row>
    <row r="147" spans="1:14" x14ac:dyDescent="0.25">
      <c r="A147" s="1368">
        <v>0.39</v>
      </c>
      <c r="B147">
        <v>5.4452898453940239E-2</v>
      </c>
      <c r="C147" s="13">
        <v>3.8117556312100342E-2</v>
      </c>
      <c r="D147">
        <v>0.04</v>
      </c>
      <c r="E147">
        <v>2.9000000000000001E-2</v>
      </c>
      <c r="F147">
        <v>3.8399999999999997E-2</v>
      </c>
      <c r="G147">
        <v>2.8000000000000001E-2</v>
      </c>
      <c r="H147">
        <v>3.5400000000000001E-2</v>
      </c>
      <c r="I147" s="1369">
        <v>2.8199999999999999E-2</v>
      </c>
      <c r="J147">
        <v>0.04</v>
      </c>
      <c r="K147">
        <v>2.87051452439719E-2</v>
      </c>
      <c r="L147">
        <v>4.3047880591495141E-2</v>
      </c>
      <c r="M147">
        <v>4.2999999999999997E-2</v>
      </c>
      <c r="N147" s="13">
        <f t="shared" si="47"/>
        <v>0</v>
      </c>
    </row>
    <row r="148" spans="1:14" x14ac:dyDescent="0.25">
      <c r="A148" s="1368">
        <v>0.4</v>
      </c>
      <c r="B148">
        <v>5.4506833575229799E-2</v>
      </c>
      <c r="C148" s="13">
        <v>3.8382607137626049E-2</v>
      </c>
      <c r="D148">
        <v>4.1000000000000002E-2</v>
      </c>
      <c r="E148">
        <v>2.9000000000000001E-2</v>
      </c>
      <c r="F148">
        <v>3.8699999999999998E-2</v>
      </c>
      <c r="G148">
        <v>2.8000000000000001E-2</v>
      </c>
      <c r="H148">
        <v>3.5799999999999998E-2</v>
      </c>
      <c r="I148" s="1369">
        <v>2.8400000000000002E-2</v>
      </c>
      <c r="J148">
        <v>4.1000000000000002E-2</v>
      </c>
      <c r="K148">
        <v>2.8917834768769492E-2</v>
      </c>
      <c r="L148">
        <v>4.3125977317664065E-2</v>
      </c>
      <c r="M148">
        <v>4.2999999999999997E-2</v>
      </c>
      <c r="N148" s="13">
        <f t="shared" si="47"/>
        <v>0</v>
      </c>
    </row>
    <row r="149" spans="1:14" x14ac:dyDescent="0.25">
      <c r="A149" s="1368">
        <v>0.41</v>
      </c>
      <c r="B149">
        <v>5.4744668888057589E-2</v>
      </c>
      <c r="C149" s="13">
        <v>3.8397800759593446E-2</v>
      </c>
      <c r="D149">
        <v>4.1000000000000002E-2</v>
      </c>
      <c r="E149">
        <v>0.03</v>
      </c>
      <c r="F149">
        <v>3.9E-2</v>
      </c>
      <c r="G149">
        <v>2.8000000000000001E-2</v>
      </c>
      <c r="H149">
        <v>3.61E-2</v>
      </c>
      <c r="I149" s="1369">
        <v>2.86E-2</v>
      </c>
      <c r="J149">
        <v>4.1000000000000002E-2</v>
      </c>
      <c r="K149">
        <v>2.9398956776057954E-2</v>
      </c>
      <c r="L149">
        <v>4.3727730241633997E-2</v>
      </c>
      <c r="M149">
        <v>4.3999999999999997E-2</v>
      </c>
      <c r="N149" s="13">
        <f t="shared" si="47"/>
        <v>0</v>
      </c>
    </row>
    <row r="150" spans="1:14" x14ac:dyDescent="0.25">
      <c r="A150" s="1368">
        <v>0.42</v>
      </c>
      <c r="B150">
        <v>5.5164398198701448E-2</v>
      </c>
      <c r="C150" s="13">
        <v>3.8612295465153657E-2</v>
      </c>
      <c r="D150">
        <v>4.1000000000000002E-2</v>
      </c>
      <c r="E150">
        <v>0.03</v>
      </c>
      <c r="F150">
        <v>3.9199999999999999E-2</v>
      </c>
      <c r="G150">
        <v>2.9000000000000001E-2</v>
      </c>
      <c r="H150">
        <v>3.6400000000000002E-2</v>
      </c>
      <c r="I150" s="1369">
        <v>2.8899999999999999E-2</v>
      </c>
      <c r="J150">
        <v>4.1000000000000002E-2</v>
      </c>
      <c r="K150">
        <v>2.984959335676254E-2</v>
      </c>
      <c r="L150">
        <v>4.3933457393797434E-2</v>
      </c>
      <c r="M150">
        <v>4.3999999999999997E-2</v>
      </c>
      <c r="N150" s="13">
        <f t="shared" si="47"/>
        <v>0</v>
      </c>
    </row>
    <row r="151" spans="1:14" x14ac:dyDescent="0.25">
      <c r="A151" s="1368">
        <v>0.43</v>
      </c>
      <c r="B151">
        <v>5.5241782097762621E-2</v>
      </c>
      <c r="C151" s="13">
        <v>3.8694897814089378E-2</v>
      </c>
      <c r="D151">
        <v>4.2000000000000003E-2</v>
      </c>
      <c r="E151">
        <v>0.03</v>
      </c>
      <c r="F151">
        <v>3.95E-2</v>
      </c>
      <c r="G151">
        <v>2.9000000000000001E-2</v>
      </c>
      <c r="H151">
        <v>3.6600000000000001E-2</v>
      </c>
      <c r="I151" s="1369">
        <v>2.93E-2</v>
      </c>
      <c r="J151">
        <v>4.1000000000000002E-2</v>
      </c>
      <c r="K151">
        <v>3.0420541896604848E-2</v>
      </c>
      <c r="L151">
        <v>4.4075969608607296E-2</v>
      </c>
      <c r="M151">
        <v>4.3999999999999997E-2</v>
      </c>
      <c r="N151" s="13">
        <f t="shared" si="47"/>
        <v>0</v>
      </c>
    </row>
    <row r="152" spans="1:14" x14ac:dyDescent="0.25">
      <c r="A152" s="1368">
        <v>0.44</v>
      </c>
      <c r="B152">
        <v>5.5244940328453986E-2</v>
      </c>
      <c r="C152" s="13">
        <v>3.9247680216587588E-2</v>
      </c>
      <c r="D152">
        <v>4.2000000000000003E-2</v>
      </c>
      <c r="E152">
        <v>3.1E-2</v>
      </c>
      <c r="F152">
        <v>3.9800000000000002E-2</v>
      </c>
      <c r="G152">
        <v>2.9000000000000001E-2</v>
      </c>
      <c r="H152">
        <v>3.6900000000000002E-2</v>
      </c>
      <c r="I152" s="1369">
        <v>2.9600000000000001E-2</v>
      </c>
      <c r="J152">
        <v>4.2000000000000003E-2</v>
      </c>
      <c r="K152">
        <v>3.0705056930463701E-2</v>
      </c>
      <c r="L152">
        <v>4.4249322191753683E-2</v>
      </c>
      <c r="M152">
        <v>4.3999999999999997E-2</v>
      </c>
      <c r="N152" s="13">
        <f t="shared" si="47"/>
        <v>0</v>
      </c>
    </row>
    <row r="153" spans="1:14" x14ac:dyDescent="0.25">
      <c r="A153" s="1368">
        <v>0.45</v>
      </c>
      <c r="B153">
        <v>5.540878218248986E-2</v>
      </c>
      <c r="C153" s="13">
        <v>3.9253585188469373E-2</v>
      </c>
      <c r="D153">
        <v>4.2000000000000003E-2</v>
      </c>
      <c r="E153">
        <v>3.1E-2</v>
      </c>
      <c r="F153">
        <v>0.04</v>
      </c>
      <c r="G153">
        <v>2.9000000000000001E-2</v>
      </c>
      <c r="H153">
        <v>3.7199999999999997E-2</v>
      </c>
      <c r="I153" s="1369">
        <v>3.0200000000000001E-2</v>
      </c>
      <c r="J153">
        <v>4.2000000000000003E-2</v>
      </c>
      <c r="K153">
        <v>3.096117712720909E-2</v>
      </c>
      <c r="L153">
        <v>4.4408664553057871E-2</v>
      </c>
      <c r="M153">
        <v>4.4999999999999998E-2</v>
      </c>
      <c r="N153" s="13">
        <f t="shared" si="47"/>
        <v>0</v>
      </c>
    </row>
    <row r="154" spans="1:14" x14ac:dyDescent="0.25">
      <c r="A154" s="1368">
        <v>0.46</v>
      </c>
      <c r="B154">
        <v>5.5568196099962636E-2</v>
      </c>
      <c r="C154" s="13">
        <v>3.9384022136596884E-2</v>
      </c>
      <c r="D154">
        <v>4.2999999999999997E-2</v>
      </c>
      <c r="E154">
        <v>3.2000000000000001E-2</v>
      </c>
      <c r="F154">
        <v>4.02E-2</v>
      </c>
      <c r="G154">
        <v>0.03</v>
      </c>
      <c r="H154">
        <v>3.7499999999999999E-2</v>
      </c>
      <c r="I154" s="1369">
        <v>3.0800000000000001E-2</v>
      </c>
      <c r="J154">
        <v>4.2999999999999997E-2</v>
      </c>
      <c r="K154">
        <v>3.1367679398762241E-2</v>
      </c>
      <c r="L154">
        <v>4.4922689854593037E-2</v>
      </c>
      <c r="M154">
        <v>4.4999999999999998E-2</v>
      </c>
      <c r="N154" s="13">
        <f t="shared" si="47"/>
        <v>0</v>
      </c>
    </row>
    <row r="155" spans="1:14" x14ac:dyDescent="0.25">
      <c r="A155" s="1368">
        <v>0.47</v>
      </c>
      <c r="B155">
        <v>5.5661717680561995E-2</v>
      </c>
      <c r="C155" s="13">
        <v>3.9390932108340798E-2</v>
      </c>
      <c r="D155">
        <v>4.2999999999999997E-2</v>
      </c>
      <c r="E155">
        <v>3.2000000000000001E-2</v>
      </c>
      <c r="F155">
        <v>4.0500000000000001E-2</v>
      </c>
      <c r="G155">
        <v>0.03</v>
      </c>
      <c r="H155">
        <v>3.78E-2</v>
      </c>
      <c r="I155" s="1369">
        <v>3.1099999999999999E-2</v>
      </c>
      <c r="J155">
        <v>4.2999999999999997E-2</v>
      </c>
      <c r="K155">
        <v>3.1669511405534902E-2</v>
      </c>
      <c r="L155">
        <v>4.5055243260778269E-2</v>
      </c>
      <c r="M155">
        <v>4.4999999999999998E-2</v>
      </c>
      <c r="N155" s="13">
        <f t="shared" si="47"/>
        <v>0</v>
      </c>
    </row>
    <row r="156" spans="1:14" x14ac:dyDescent="0.25">
      <c r="A156" s="1368">
        <v>0.48</v>
      </c>
      <c r="B156">
        <v>5.6009613309651041E-2</v>
      </c>
      <c r="C156" s="13">
        <v>4.0047276841607353E-2</v>
      </c>
      <c r="D156">
        <v>4.2999999999999997E-2</v>
      </c>
      <c r="E156">
        <v>3.3000000000000002E-2</v>
      </c>
      <c r="F156">
        <v>4.0800000000000003E-2</v>
      </c>
      <c r="G156">
        <v>3.1E-2</v>
      </c>
      <c r="H156">
        <v>3.7999999999999999E-2</v>
      </c>
      <c r="I156" s="1369">
        <v>3.1300000000000001E-2</v>
      </c>
      <c r="J156">
        <v>4.2999999999999997E-2</v>
      </c>
      <c r="K156">
        <v>3.2154930163845005E-2</v>
      </c>
      <c r="L156">
        <v>4.5290820077962347E-2</v>
      </c>
      <c r="M156">
        <v>4.4999999999999998E-2</v>
      </c>
      <c r="N156" s="13">
        <f t="shared" si="47"/>
        <v>0</v>
      </c>
    </row>
    <row r="157" spans="1:14" x14ac:dyDescent="0.25">
      <c r="A157" s="1368">
        <v>0.49</v>
      </c>
      <c r="B157">
        <v>5.618933659796331E-2</v>
      </c>
      <c r="C157" s="13">
        <v>4.0873862203469322E-2</v>
      </c>
      <c r="D157">
        <v>4.3999999999999997E-2</v>
      </c>
      <c r="E157">
        <v>3.3000000000000002E-2</v>
      </c>
      <c r="F157">
        <v>4.1000000000000002E-2</v>
      </c>
      <c r="G157">
        <v>3.1E-2</v>
      </c>
      <c r="H157">
        <v>3.8100000000000002E-2</v>
      </c>
      <c r="I157" s="1369">
        <v>3.15E-2</v>
      </c>
      <c r="J157">
        <v>4.2999999999999997E-2</v>
      </c>
      <c r="K157">
        <v>3.2452671302605485E-2</v>
      </c>
      <c r="L157">
        <v>4.5395535093422541E-2</v>
      </c>
      <c r="M157">
        <v>4.5999999999999999E-2</v>
      </c>
      <c r="N157" s="13">
        <f t="shared" si="47"/>
        <v>0</v>
      </c>
    </row>
    <row r="158" spans="1:14" x14ac:dyDescent="0.25">
      <c r="A158" s="1368">
        <v>0.5</v>
      </c>
      <c r="B158">
        <v>5.641300874051005E-2</v>
      </c>
      <c r="C158" s="13">
        <v>4.1126294139575123E-2</v>
      </c>
      <c r="D158">
        <v>4.3999999999999997E-2</v>
      </c>
      <c r="E158">
        <v>3.4000000000000002E-2</v>
      </c>
      <c r="F158">
        <v>4.1300000000000003E-2</v>
      </c>
      <c r="G158">
        <v>3.1E-2</v>
      </c>
      <c r="H158">
        <v>3.8300000000000001E-2</v>
      </c>
      <c r="I158" s="1369">
        <v>3.1600000000000003E-2</v>
      </c>
      <c r="J158">
        <v>4.3999999999999997E-2</v>
      </c>
      <c r="K158">
        <v>3.2705526341410648E-2</v>
      </c>
      <c r="L158">
        <v>4.5558037309514535E-2</v>
      </c>
      <c r="M158">
        <v>4.5999999999999999E-2</v>
      </c>
      <c r="N158" s="13">
        <f t="shared" si="47"/>
        <v>0</v>
      </c>
    </row>
    <row r="159" spans="1:14" x14ac:dyDescent="0.25">
      <c r="A159" s="1368">
        <v>0.51</v>
      </c>
      <c r="B159">
        <v>5.6507349733221149E-2</v>
      </c>
      <c r="C159" s="13">
        <v>4.1621987829197141E-2</v>
      </c>
      <c r="D159">
        <v>4.3999999999999997E-2</v>
      </c>
      <c r="E159">
        <v>3.4000000000000002E-2</v>
      </c>
      <c r="F159">
        <v>4.1599999999999998E-2</v>
      </c>
      <c r="G159">
        <v>3.1E-2</v>
      </c>
      <c r="H159">
        <v>3.8399999999999997E-2</v>
      </c>
      <c r="I159" s="1369">
        <v>3.1800000000000002E-2</v>
      </c>
      <c r="J159">
        <v>4.3999999999999997E-2</v>
      </c>
      <c r="K159">
        <v>3.2978399725053446E-2</v>
      </c>
      <c r="L159">
        <v>4.5661520863357716E-2</v>
      </c>
      <c r="M159">
        <v>4.5999999999999999E-2</v>
      </c>
      <c r="N159" s="13">
        <f t="shared" si="47"/>
        <v>0</v>
      </c>
    </row>
    <row r="160" spans="1:14" x14ac:dyDescent="0.25">
      <c r="A160" s="1368">
        <v>0.52</v>
      </c>
      <c r="B160">
        <v>5.6865743090744339E-2</v>
      </c>
      <c r="C160" s="13">
        <v>4.2066556817304875E-2</v>
      </c>
      <c r="D160">
        <v>4.3999999999999997E-2</v>
      </c>
      <c r="E160">
        <v>3.4000000000000002E-2</v>
      </c>
      <c r="F160">
        <v>4.1799999999999997E-2</v>
      </c>
      <c r="G160">
        <v>3.2000000000000001E-2</v>
      </c>
      <c r="H160">
        <v>3.8699999999999998E-2</v>
      </c>
      <c r="I160" s="1369">
        <v>3.2000000000000001E-2</v>
      </c>
      <c r="J160">
        <v>4.4999999999999998E-2</v>
      </c>
      <c r="K160">
        <v>3.3421016918594899E-2</v>
      </c>
      <c r="L160">
        <v>4.576316852144259E-2</v>
      </c>
      <c r="M160">
        <v>4.5999999999999999E-2</v>
      </c>
      <c r="N160" s="13">
        <f t="shared" si="47"/>
        <v>0</v>
      </c>
    </row>
    <row r="161" spans="1:14" x14ac:dyDescent="0.25">
      <c r="A161" s="1368">
        <v>0.53</v>
      </c>
      <c r="B161">
        <v>5.7250305423915231E-2</v>
      </c>
      <c r="C161" s="13">
        <v>4.2363311590304105E-2</v>
      </c>
      <c r="D161">
        <v>4.4999999999999998E-2</v>
      </c>
      <c r="E161">
        <v>3.5000000000000003E-2</v>
      </c>
      <c r="F161">
        <v>4.2099999999999999E-2</v>
      </c>
      <c r="G161">
        <v>3.2000000000000001E-2</v>
      </c>
      <c r="H161">
        <v>3.8800000000000001E-2</v>
      </c>
      <c r="I161" s="1369">
        <v>3.2500000000000001E-2</v>
      </c>
      <c r="J161">
        <v>4.4999999999999998E-2</v>
      </c>
      <c r="K161">
        <v>3.3711493482834406E-2</v>
      </c>
      <c r="L161">
        <v>4.6130075846659749E-2</v>
      </c>
      <c r="M161">
        <v>4.5999999999999999E-2</v>
      </c>
      <c r="N161" s="13">
        <f t="shared" si="47"/>
        <v>0</v>
      </c>
    </row>
    <row r="162" spans="1:14" x14ac:dyDescent="0.25">
      <c r="A162" s="1368">
        <v>0.54</v>
      </c>
      <c r="B162">
        <v>5.77555110714447E-2</v>
      </c>
      <c r="C162" s="13">
        <v>4.2617424250240135E-2</v>
      </c>
      <c r="D162">
        <v>4.4999999999999998E-2</v>
      </c>
      <c r="E162">
        <v>3.5000000000000003E-2</v>
      </c>
      <c r="F162">
        <v>4.24E-2</v>
      </c>
      <c r="G162">
        <v>3.3000000000000002E-2</v>
      </c>
      <c r="H162">
        <v>3.9100000000000003E-2</v>
      </c>
      <c r="I162" s="1369">
        <v>3.2800000000000003E-2</v>
      </c>
      <c r="J162">
        <v>4.4999999999999998E-2</v>
      </c>
      <c r="K162">
        <v>3.3991835695975546E-2</v>
      </c>
      <c r="L162">
        <v>4.6234510174179476E-2</v>
      </c>
      <c r="M162">
        <v>4.5999999999999999E-2</v>
      </c>
      <c r="N162" s="13">
        <f t="shared" si="47"/>
        <v>0</v>
      </c>
    </row>
    <row r="163" spans="1:14" x14ac:dyDescent="0.25">
      <c r="A163" s="1368">
        <v>0.55000000000000004</v>
      </c>
      <c r="B163">
        <v>5.8232697138469618E-2</v>
      </c>
      <c r="C163" s="13">
        <v>4.2837337671028722E-2</v>
      </c>
      <c r="D163">
        <v>4.4999999999999998E-2</v>
      </c>
      <c r="E163">
        <v>3.5000000000000003E-2</v>
      </c>
      <c r="F163">
        <v>4.2599999999999999E-2</v>
      </c>
      <c r="G163">
        <v>3.3000000000000002E-2</v>
      </c>
      <c r="H163">
        <v>3.9399999999999998E-2</v>
      </c>
      <c r="I163" s="1369">
        <v>3.3000000000000002E-2</v>
      </c>
      <c r="J163">
        <v>4.4999999999999998E-2</v>
      </c>
      <c r="K163">
        <v>3.4558157605951809E-2</v>
      </c>
      <c r="L163">
        <v>4.6377488486796986E-2</v>
      </c>
      <c r="M163">
        <v>4.5999999999999999E-2</v>
      </c>
      <c r="N163" s="13">
        <f t="shared" si="47"/>
        <v>0</v>
      </c>
    </row>
    <row r="164" spans="1:14" x14ac:dyDescent="0.25">
      <c r="A164" s="1368">
        <v>0.56000000000000005</v>
      </c>
      <c r="B164">
        <v>5.8495261356277764E-2</v>
      </c>
      <c r="C164" s="13">
        <v>4.2934685653304695E-2</v>
      </c>
      <c r="D164">
        <v>4.4999999999999998E-2</v>
      </c>
      <c r="E164">
        <v>3.5999999999999997E-2</v>
      </c>
      <c r="F164">
        <v>4.2799999999999998E-2</v>
      </c>
      <c r="G164">
        <v>3.4000000000000002E-2</v>
      </c>
      <c r="H164">
        <v>3.9600000000000003E-2</v>
      </c>
      <c r="I164" s="1369">
        <v>3.32E-2</v>
      </c>
      <c r="J164">
        <v>4.5999999999999999E-2</v>
      </c>
      <c r="K164">
        <v>3.4844086396925739E-2</v>
      </c>
      <c r="L164">
        <v>4.6720740013203019E-2</v>
      </c>
      <c r="M164">
        <v>4.7E-2</v>
      </c>
      <c r="N164" s="13">
        <f t="shared" si="47"/>
        <v>0</v>
      </c>
    </row>
    <row r="165" spans="1:14" x14ac:dyDescent="0.25">
      <c r="A165" s="1368">
        <v>0.56999999999999995</v>
      </c>
      <c r="B165">
        <v>5.8808085128157855E-2</v>
      </c>
      <c r="C165" s="13">
        <v>4.2973752398593988E-2</v>
      </c>
      <c r="D165">
        <v>4.5999999999999999E-2</v>
      </c>
      <c r="E165">
        <v>3.5999999999999997E-2</v>
      </c>
      <c r="F165">
        <v>4.2999999999999997E-2</v>
      </c>
      <c r="G165">
        <v>3.4000000000000002E-2</v>
      </c>
      <c r="H165">
        <v>3.9800000000000002E-2</v>
      </c>
      <c r="I165" s="1369">
        <v>3.3500000000000002E-2</v>
      </c>
      <c r="J165">
        <v>4.5999999999999999E-2</v>
      </c>
      <c r="K165">
        <v>3.5175788727915533E-2</v>
      </c>
      <c r="L165">
        <v>4.6971866876044897E-2</v>
      </c>
      <c r="M165">
        <v>4.7E-2</v>
      </c>
      <c r="N165" s="13">
        <f t="shared" si="47"/>
        <v>0</v>
      </c>
    </row>
    <row r="166" spans="1:14" x14ac:dyDescent="0.25">
      <c r="A166" s="1368">
        <v>0.57999999999999996</v>
      </c>
      <c r="B166">
        <v>5.9401806673005708E-2</v>
      </c>
      <c r="C166" s="13">
        <v>4.3003407840047005E-2</v>
      </c>
      <c r="D166">
        <v>4.5999999999999999E-2</v>
      </c>
      <c r="E166">
        <v>3.5999999999999997E-2</v>
      </c>
      <c r="F166">
        <v>4.3200000000000002E-2</v>
      </c>
      <c r="G166">
        <v>3.4000000000000002E-2</v>
      </c>
      <c r="H166">
        <v>0.04</v>
      </c>
      <c r="I166" s="1369">
        <v>3.3799999999999997E-2</v>
      </c>
      <c r="J166">
        <v>4.7E-2</v>
      </c>
      <c r="K166">
        <v>3.5413354397402071E-2</v>
      </c>
      <c r="L166">
        <v>4.7153428355569876E-2</v>
      </c>
      <c r="M166">
        <v>4.7E-2</v>
      </c>
      <c r="N166" s="13">
        <f t="shared" si="47"/>
        <v>0</v>
      </c>
    </row>
    <row r="167" spans="1:14" x14ac:dyDescent="0.25">
      <c r="A167" s="1368">
        <v>0.59</v>
      </c>
      <c r="B167">
        <v>5.9673758045255487E-2</v>
      </c>
      <c r="C167" s="13">
        <v>4.3143449126851335E-2</v>
      </c>
      <c r="D167">
        <v>4.5999999999999999E-2</v>
      </c>
      <c r="E167">
        <v>3.5999999999999997E-2</v>
      </c>
      <c r="F167">
        <v>4.3299999999999998E-2</v>
      </c>
      <c r="G167">
        <v>3.4000000000000002E-2</v>
      </c>
      <c r="H167">
        <v>4.02E-2</v>
      </c>
      <c r="I167" s="1369">
        <v>3.4099999999999998E-2</v>
      </c>
      <c r="J167">
        <v>4.7E-2</v>
      </c>
      <c r="K167">
        <v>3.5641548407323115E-2</v>
      </c>
      <c r="L167">
        <v>4.7282686568670906E-2</v>
      </c>
      <c r="M167">
        <v>4.7E-2</v>
      </c>
      <c r="N167" s="13">
        <f t="shared" si="47"/>
        <v>0</v>
      </c>
    </row>
    <row r="168" spans="1:14" x14ac:dyDescent="0.25">
      <c r="A168" s="1368">
        <v>0.6</v>
      </c>
      <c r="B168">
        <v>5.9694839481855715E-2</v>
      </c>
      <c r="C168" s="13">
        <v>4.351874790608886E-2</v>
      </c>
      <c r="D168">
        <v>4.7E-2</v>
      </c>
      <c r="E168">
        <v>3.6999999999999998E-2</v>
      </c>
      <c r="F168">
        <v>4.36E-2</v>
      </c>
      <c r="G168">
        <v>3.5000000000000003E-2</v>
      </c>
      <c r="H168">
        <v>4.0399999999999998E-2</v>
      </c>
      <c r="I168" s="1369">
        <v>3.44E-2</v>
      </c>
      <c r="J168">
        <v>4.7E-2</v>
      </c>
      <c r="K168">
        <v>3.5917884231703417E-2</v>
      </c>
      <c r="L168">
        <v>4.7598998859950205E-2</v>
      </c>
      <c r="M168">
        <v>4.7E-2</v>
      </c>
      <c r="N168" s="13">
        <f t="shared" si="47"/>
        <v>0</v>
      </c>
    </row>
    <row r="169" spans="1:14" x14ac:dyDescent="0.25">
      <c r="A169" s="1368">
        <v>0.61</v>
      </c>
      <c r="B169">
        <v>5.9765808480453972E-2</v>
      </c>
      <c r="C169" s="13">
        <v>4.3624480357623376E-2</v>
      </c>
      <c r="D169">
        <v>4.7E-2</v>
      </c>
      <c r="E169">
        <v>3.6999999999999998E-2</v>
      </c>
      <c r="F169">
        <v>4.3799999999999999E-2</v>
      </c>
      <c r="G169">
        <v>3.5000000000000003E-2</v>
      </c>
      <c r="H169">
        <v>4.0599999999999997E-2</v>
      </c>
      <c r="I169" s="1369">
        <v>3.4700000000000002E-2</v>
      </c>
      <c r="J169">
        <v>4.7E-2</v>
      </c>
      <c r="K169">
        <v>3.633676371355847E-2</v>
      </c>
      <c r="L169">
        <v>4.8001328966228954E-2</v>
      </c>
      <c r="M169">
        <v>4.8000000000000001E-2</v>
      </c>
      <c r="N169" s="13">
        <f t="shared" si="47"/>
        <v>0</v>
      </c>
    </row>
    <row r="170" spans="1:14" x14ac:dyDescent="0.25">
      <c r="A170" s="1368">
        <v>0.62</v>
      </c>
      <c r="B170">
        <v>6.0036043907060667E-2</v>
      </c>
      <c r="C170" s="13">
        <v>4.391138395125533E-2</v>
      </c>
      <c r="D170">
        <v>4.7E-2</v>
      </c>
      <c r="E170">
        <v>3.6999999999999998E-2</v>
      </c>
      <c r="F170">
        <v>4.3999999999999997E-2</v>
      </c>
      <c r="G170">
        <v>3.5999999999999997E-2</v>
      </c>
      <c r="H170">
        <v>4.0800000000000003E-2</v>
      </c>
      <c r="I170" s="1369">
        <v>3.5099999999999999E-2</v>
      </c>
      <c r="J170">
        <v>4.8000000000000001E-2</v>
      </c>
      <c r="K170">
        <v>3.6589695320860281E-2</v>
      </c>
      <c r="L170">
        <v>4.8054745418665744E-2</v>
      </c>
      <c r="M170">
        <v>4.8000000000000001E-2</v>
      </c>
      <c r="N170" s="13">
        <f t="shared" si="47"/>
        <v>0</v>
      </c>
    </row>
    <row r="171" spans="1:14" x14ac:dyDescent="0.25">
      <c r="A171" s="1368">
        <v>0.63</v>
      </c>
      <c r="B171">
        <v>6.0142210730446025E-2</v>
      </c>
      <c r="C171" s="13">
        <v>4.4221953916955027E-2</v>
      </c>
      <c r="D171">
        <v>4.8000000000000001E-2</v>
      </c>
      <c r="E171">
        <v>3.7999999999999999E-2</v>
      </c>
      <c r="F171">
        <v>4.4299999999999999E-2</v>
      </c>
      <c r="G171">
        <v>3.5999999999999997E-2</v>
      </c>
      <c r="H171">
        <v>4.1000000000000002E-2</v>
      </c>
      <c r="I171" s="1369">
        <v>3.56E-2</v>
      </c>
      <c r="J171">
        <v>4.8000000000000001E-2</v>
      </c>
      <c r="K171">
        <v>3.7108125355449495E-2</v>
      </c>
      <c r="L171">
        <v>4.8444437606418235E-2</v>
      </c>
      <c r="M171">
        <v>4.9000000000000002E-2</v>
      </c>
      <c r="N171" s="13">
        <f t="shared" si="47"/>
        <v>0</v>
      </c>
    </row>
    <row r="172" spans="1:14" x14ac:dyDescent="0.25">
      <c r="A172" s="1368">
        <v>0.64</v>
      </c>
      <c r="B172">
        <v>6.0364056525526739E-2</v>
      </c>
      <c r="C172" s="13">
        <v>4.4628627129574432E-2</v>
      </c>
      <c r="D172">
        <v>4.8000000000000001E-2</v>
      </c>
      <c r="E172">
        <v>3.7999999999999999E-2</v>
      </c>
      <c r="F172">
        <v>4.4499999999999998E-2</v>
      </c>
      <c r="G172">
        <v>3.6999999999999998E-2</v>
      </c>
      <c r="H172">
        <v>4.1200000000000001E-2</v>
      </c>
      <c r="I172" s="1369">
        <v>3.5900000000000001E-2</v>
      </c>
      <c r="J172">
        <v>4.9000000000000002E-2</v>
      </c>
      <c r="K172">
        <v>3.7524226971752242E-2</v>
      </c>
      <c r="L172">
        <v>4.8955642758507653E-2</v>
      </c>
      <c r="M172">
        <v>4.9000000000000002E-2</v>
      </c>
      <c r="N172" s="13">
        <f t="shared" si="47"/>
        <v>0</v>
      </c>
    </row>
    <row r="173" spans="1:14" x14ac:dyDescent="0.25">
      <c r="A173" s="1368">
        <v>0.65</v>
      </c>
      <c r="B173">
        <v>6.0477010106429141E-2</v>
      </c>
      <c r="C173" s="13">
        <v>4.5500690929498711E-2</v>
      </c>
      <c r="D173">
        <v>4.8000000000000001E-2</v>
      </c>
      <c r="E173">
        <v>3.9E-2</v>
      </c>
      <c r="F173">
        <v>4.4699999999999997E-2</v>
      </c>
      <c r="G173">
        <v>3.6999999999999998E-2</v>
      </c>
      <c r="H173">
        <v>4.1300000000000003E-2</v>
      </c>
      <c r="I173" s="1369">
        <v>3.6200000000000003E-2</v>
      </c>
      <c r="J173">
        <v>4.9000000000000002E-2</v>
      </c>
      <c r="K173">
        <v>3.7776577131107783E-2</v>
      </c>
      <c r="L173">
        <v>4.9372895295845674E-2</v>
      </c>
      <c r="M173">
        <v>0.05</v>
      </c>
      <c r="N173" s="13">
        <f t="shared" ref="N173:N208" si="48">$B$106*B173+$C$106*C173+$D$106*D173+$E$106*E173+$F$106*F173+$G$106*G173+$H$106*H173+$I$106*I173+$J$106*J173+$K$106*K173+$L$106*L173+$M$106*M173</f>
        <v>0</v>
      </c>
    </row>
    <row r="174" spans="1:14" x14ac:dyDescent="0.25">
      <c r="A174" s="1368">
        <v>0.66</v>
      </c>
      <c r="B174">
        <v>6.06386304608297E-2</v>
      </c>
      <c r="C174" s="13">
        <v>4.5724026774067637E-2</v>
      </c>
      <c r="D174">
        <v>4.8000000000000001E-2</v>
      </c>
      <c r="E174">
        <v>3.9E-2</v>
      </c>
      <c r="F174">
        <v>4.4900000000000002E-2</v>
      </c>
      <c r="G174">
        <v>3.7999999999999999E-2</v>
      </c>
      <c r="H174">
        <v>4.1599999999999998E-2</v>
      </c>
      <c r="I174" s="1369">
        <v>3.6600000000000001E-2</v>
      </c>
      <c r="J174">
        <v>4.9000000000000002E-2</v>
      </c>
      <c r="K174">
        <v>3.8264268922340257E-2</v>
      </c>
      <c r="L174">
        <v>4.9700278098286435E-2</v>
      </c>
      <c r="M174">
        <v>0.05</v>
      </c>
      <c r="N174" s="13">
        <f t="shared" si="48"/>
        <v>0</v>
      </c>
    </row>
    <row r="175" spans="1:14" x14ac:dyDescent="0.25">
      <c r="A175" s="1368">
        <v>0.67</v>
      </c>
      <c r="B175">
        <v>6.10329442238823E-2</v>
      </c>
      <c r="C175" s="13">
        <v>4.6935719465885144E-2</v>
      </c>
      <c r="D175">
        <v>4.9000000000000002E-2</v>
      </c>
      <c r="E175">
        <v>3.9E-2</v>
      </c>
      <c r="F175">
        <v>4.53E-2</v>
      </c>
      <c r="G175">
        <v>3.7999999999999999E-2</v>
      </c>
      <c r="H175">
        <v>4.2000000000000003E-2</v>
      </c>
      <c r="I175" s="1369">
        <v>3.6999999999999998E-2</v>
      </c>
      <c r="J175">
        <v>4.9000000000000002E-2</v>
      </c>
      <c r="K175">
        <v>3.8485211337677544E-2</v>
      </c>
      <c r="L175">
        <v>5.0424696175639841E-2</v>
      </c>
      <c r="M175">
        <v>0.05</v>
      </c>
      <c r="N175" s="13">
        <f t="shared" si="48"/>
        <v>0</v>
      </c>
    </row>
    <row r="176" spans="1:14" x14ac:dyDescent="0.25">
      <c r="A176" s="1368">
        <v>0.68</v>
      </c>
      <c r="B176">
        <v>6.1425523027486731E-2</v>
      </c>
      <c r="C176" s="13">
        <v>4.8745105755270877E-2</v>
      </c>
      <c r="D176">
        <v>4.9000000000000002E-2</v>
      </c>
      <c r="E176">
        <v>3.9E-2</v>
      </c>
      <c r="F176">
        <v>4.5499999999999999E-2</v>
      </c>
      <c r="G176">
        <v>3.9E-2</v>
      </c>
      <c r="H176">
        <v>4.24E-2</v>
      </c>
      <c r="I176" s="1369">
        <v>3.7400000000000003E-2</v>
      </c>
      <c r="J176">
        <v>0.05</v>
      </c>
      <c r="K176">
        <v>3.8813488010396038E-2</v>
      </c>
      <c r="L176">
        <v>5.0561959085433823E-2</v>
      </c>
      <c r="M176">
        <v>0.05</v>
      </c>
      <c r="N176" s="13">
        <f t="shared" si="48"/>
        <v>0</v>
      </c>
    </row>
    <row r="177" spans="1:14" x14ac:dyDescent="0.25">
      <c r="A177" s="1368">
        <v>0.69</v>
      </c>
      <c r="B177">
        <v>6.1764865298909712E-2</v>
      </c>
      <c r="C177" s="13">
        <v>4.9591215204466806E-2</v>
      </c>
      <c r="D177">
        <v>4.9000000000000002E-2</v>
      </c>
      <c r="E177">
        <v>0.04</v>
      </c>
      <c r="F177">
        <v>4.5699999999999998E-2</v>
      </c>
      <c r="G177">
        <v>3.9E-2</v>
      </c>
      <c r="H177">
        <v>4.2999999999999997E-2</v>
      </c>
      <c r="I177" s="1369">
        <v>3.7699999999999997E-2</v>
      </c>
      <c r="J177">
        <v>0.05</v>
      </c>
      <c r="K177">
        <v>3.9182077144234419E-2</v>
      </c>
      <c r="L177">
        <v>5.0752148473064321E-2</v>
      </c>
      <c r="M177">
        <v>5.0999999999999997E-2</v>
      </c>
      <c r="N177" s="13">
        <f t="shared" si="48"/>
        <v>0</v>
      </c>
    </row>
    <row r="178" spans="1:14" x14ac:dyDescent="0.25">
      <c r="A178" s="1368">
        <v>0.7</v>
      </c>
      <c r="B178">
        <v>6.2217856782215551E-2</v>
      </c>
      <c r="C178" s="13">
        <v>5.0001772587591246E-2</v>
      </c>
      <c r="D178">
        <v>0.05</v>
      </c>
      <c r="E178">
        <v>0.04</v>
      </c>
      <c r="F178">
        <v>4.5999999999999999E-2</v>
      </c>
      <c r="G178">
        <v>0.04</v>
      </c>
      <c r="H178">
        <v>4.3400000000000001E-2</v>
      </c>
      <c r="I178" s="1369">
        <v>3.8100000000000002E-2</v>
      </c>
      <c r="J178">
        <v>5.0999999999999997E-2</v>
      </c>
      <c r="K178">
        <v>3.9674465191540137E-2</v>
      </c>
      <c r="L178">
        <v>5.1512900077914724E-2</v>
      </c>
      <c r="M178">
        <v>5.0999999999999997E-2</v>
      </c>
      <c r="N178" s="13">
        <f t="shared" si="48"/>
        <v>0</v>
      </c>
    </row>
    <row r="179" spans="1:14" x14ac:dyDescent="0.25">
      <c r="A179" s="1368">
        <v>0.71</v>
      </c>
      <c r="B179">
        <v>6.2867453158528999E-2</v>
      </c>
      <c r="C179" s="13">
        <v>5.0441000314209027E-2</v>
      </c>
      <c r="D179">
        <v>0.05</v>
      </c>
      <c r="E179">
        <v>0.04</v>
      </c>
      <c r="F179">
        <v>4.6300000000000001E-2</v>
      </c>
      <c r="G179">
        <v>0.04</v>
      </c>
      <c r="H179">
        <v>4.3700000000000003E-2</v>
      </c>
      <c r="I179" s="1369">
        <v>3.8600000000000002E-2</v>
      </c>
      <c r="J179">
        <v>5.0999999999999997E-2</v>
      </c>
      <c r="K179">
        <v>4.0208883491339539E-2</v>
      </c>
      <c r="L179">
        <v>5.1618527676763573E-2</v>
      </c>
      <c r="M179">
        <v>5.1999999999999998E-2</v>
      </c>
      <c r="N179" s="13">
        <f t="shared" si="48"/>
        <v>0</v>
      </c>
    </row>
    <row r="180" spans="1:14" x14ac:dyDescent="0.25">
      <c r="A180" s="1368">
        <v>0.72</v>
      </c>
      <c r="B180">
        <v>6.3503170889803298E-2</v>
      </c>
      <c r="C180" s="13">
        <v>5.0449889059123607E-2</v>
      </c>
      <c r="D180">
        <v>5.0999999999999997E-2</v>
      </c>
      <c r="E180">
        <v>0.04</v>
      </c>
      <c r="F180">
        <v>4.6600000000000003E-2</v>
      </c>
      <c r="G180">
        <v>4.2000000000000003E-2</v>
      </c>
      <c r="H180">
        <v>4.3999999999999997E-2</v>
      </c>
      <c r="I180" s="1369">
        <v>3.9199999999999999E-2</v>
      </c>
      <c r="J180">
        <v>5.1999999999999998E-2</v>
      </c>
      <c r="K180">
        <v>4.072728663357765E-2</v>
      </c>
      <c r="L180">
        <v>5.1930651505107783E-2</v>
      </c>
      <c r="M180">
        <v>5.1999999999999998E-2</v>
      </c>
      <c r="N180" s="13">
        <f t="shared" si="48"/>
        <v>0</v>
      </c>
    </row>
    <row r="181" spans="1:14" x14ac:dyDescent="0.25">
      <c r="A181" s="1368">
        <v>0.73</v>
      </c>
      <c r="B181">
        <v>6.3917803193482808E-2</v>
      </c>
      <c r="C181" s="13">
        <v>5.1356818055562296E-2</v>
      </c>
      <c r="D181">
        <v>5.0999999999999997E-2</v>
      </c>
      <c r="E181">
        <v>0.04</v>
      </c>
      <c r="F181">
        <v>4.6800000000000001E-2</v>
      </c>
      <c r="G181">
        <v>4.2000000000000003E-2</v>
      </c>
      <c r="H181">
        <v>4.4400000000000002E-2</v>
      </c>
      <c r="I181" s="1369">
        <v>3.9600000000000003E-2</v>
      </c>
      <c r="J181">
        <v>5.1999999999999998E-2</v>
      </c>
      <c r="K181">
        <v>4.1214801476608921E-2</v>
      </c>
      <c r="L181">
        <v>5.198054395752752E-2</v>
      </c>
      <c r="M181">
        <v>5.1999999999999998E-2</v>
      </c>
      <c r="N181" s="13">
        <f t="shared" si="48"/>
        <v>0</v>
      </c>
    </row>
    <row r="182" spans="1:14" x14ac:dyDescent="0.25">
      <c r="A182" s="1368">
        <v>0.74</v>
      </c>
      <c r="B182">
        <v>6.4570030498758535E-2</v>
      </c>
      <c r="C182" s="13">
        <v>5.1787673196368851E-2</v>
      </c>
      <c r="D182">
        <v>5.0999999999999997E-2</v>
      </c>
      <c r="E182">
        <v>4.1000000000000002E-2</v>
      </c>
      <c r="F182">
        <v>4.7199999999999999E-2</v>
      </c>
      <c r="G182">
        <v>4.2999999999999997E-2</v>
      </c>
      <c r="H182">
        <v>4.4699999999999997E-2</v>
      </c>
      <c r="I182" s="1369">
        <v>0.04</v>
      </c>
      <c r="J182">
        <v>5.1999999999999998E-2</v>
      </c>
      <c r="K182">
        <v>4.1545136269954215E-2</v>
      </c>
      <c r="L182">
        <v>5.1995382203931143E-2</v>
      </c>
      <c r="M182">
        <v>5.1999999999999998E-2</v>
      </c>
      <c r="N182" s="13">
        <f t="shared" si="48"/>
        <v>0</v>
      </c>
    </row>
    <row r="183" spans="1:14" x14ac:dyDescent="0.25">
      <c r="A183" s="1368">
        <v>0.75</v>
      </c>
      <c r="B183">
        <v>6.4958322752453695E-2</v>
      </c>
      <c r="C183" s="13">
        <v>5.2438074151340226E-2</v>
      </c>
      <c r="D183">
        <v>5.1999999999999998E-2</v>
      </c>
      <c r="E183">
        <v>4.1000000000000002E-2</v>
      </c>
      <c r="F183">
        <v>4.7500000000000001E-2</v>
      </c>
      <c r="G183">
        <v>4.2999999999999997E-2</v>
      </c>
      <c r="H183">
        <v>4.4999999999999998E-2</v>
      </c>
      <c r="I183" s="1369">
        <v>4.0599999999999997E-2</v>
      </c>
      <c r="J183">
        <v>5.1999999999999998E-2</v>
      </c>
      <c r="K183">
        <v>4.2054286113998904E-2</v>
      </c>
      <c r="L183">
        <v>5.2030530964466228E-2</v>
      </c>
      <c r="M183">
        <v>5.1999999999999998E-2</v>
      </c>
      <c r="N183" s="13">
        <f t="shared" si="48"/>
        <v>0</v>
      </c>
    </row>
    <row r="184" spans="1:14" x14ac:dyDescent="0.25">
      <c r="A184" s="1368">
        <v>0.76</v>
      </c>
      <c r="B184">
        <v>6.5143073686451849E-2</v>
      </c>
      <c r="C184" s="13">
        <v>5.3150627166755511E-2</v>
      </c>
      <c r="D184">
        <v>5.1999999999999998E-2</v>
      </c>
      <c r="E184">
        <v>4.1000000000000002E-2</v>
      </c>
      <c r="F184">
        <v>4.7899999999999998E-2</v>
      </c>
      <c r="G184">
        <v>4.2999999999999997E-2</v>
      </c>
      <c r="H184">
        <v>4.53E-2</v>
      </c>
      <c r="I184" s="1369">
        <v>4.0899999999999999E-2</v>
      </c>
      <c r="J184">
        <v>5.2999999999999999E-2</v>
      </c>
      <c r="K184">
        <v>4.2335172817900862E-2</v>
      </c>
      <c r="L184">
        <v>5.2612679062316745E-2</v>
      </c>
      <c r="M184">
        <v>5.1999999999999998E-2</v>
      </c>
      <c r="N184" s="13">
        <f t="shared" si="48"/>
        <v>0</v>
      </c>
    </row>
    <row r="185" spans="1:14" x14ac:dyDescent="0.25">
      <c r="A185" s="1368">
        <v>0.77</v>
      </c>
      <c r="B185">
        <v>6.6317489288618206E-2</v>
      </c>
      <c r="C185" s="13">
        <v>5.4873094518331514E-2</v>
      </c>
      <c r="D185">
        <v>5.2999999999999999E-2</v>
      </c>
      <c r="E185">
        <v>4.1000000000000002E-2</v>
      </c>
      <c r="F185">
        <v>4.82E-2</v>
      </c>
      <c r="G185">
        <v>4.2999999999999997E-2</v>
      </c>
      <c r="H185">
        <v>4.5600000000000002E-2</v>
      </c>
      <c r="I185" s="1369">
        <v>4.1599999999999998E-2</v>
      </c>
      <c r="J185">
        <v>5.2999999999999999E-2</v>
      </c>
      <c r="K185">
        <v>4.2929771238112015E-2</v>
      </c>
      <c r="L185">
        <v>5.2795358600085489E-2</v>
      </c>
      <c r="M185">
        <v>5.2999999999999999E-2</v>
      </c>
      <c r="N185" s="13">
        <f t="shared" si="48"/>
        <v>0</v>
      </c>
    </row>
    <row r="186" spans="1:14" x14ac:dyDescent="0.25">
      <c r="A186" s="1368">
        <v>0.78</v>
      </c>
      <c r="B186">
        <v>6.7341187290418617E-2</v>
      </c>
      <c r="C186" s="13">
        <v>5.5072098043491349E-2</v>
      </c>
      <c r="D186">
        <v>5.2999999999999999E-2</v>
      </c>
      <c r="E186">
        <v>4.1000000000000002E-2</v>
      </c>
      <c r="F186">
        <v>4.8599999999999997E-2</v>
      </c>
      <c r="G186">
        <v>4.4999999999999998E-2</v>
      </c>
      <c r="H186">
        <v>4.5699999999999998E-2</v>
      </c>
      <c r="I186" s="1369">
        <v>4.2099999999999999E-2</v>
      </c>
      <c r="J186">
        <v>5.3999999999999999E-2</v>
      </c>
      <c r="K186">
        <v>4.3400329390324795E-2</v>
      </c>
      <c r="L186">
        <v>5.2797246359956272E-2</v>
      </c>
      <c r="M186">
        <v>5.2999999999999999E-2</v>
      </c>
      <c r="N186" s="13">
        <f t="shared" si="48"/>
        <v>0</v>
      </c>
    </row>
    <row r="187" spans="1:14" x14ac:dyDescent="0.25">
      <c r="A187" s="1368">
        <v>0.79</v>
      </c>
      <c r="B187">
        <v>6.8086928409474751E-2</v>
      </c>
      <c r="C187" s="13">
        <v>5.5242113420213929E-2</v>
      </c>
      <c r="D187">
        <v>5.3999999999999999E-2</v>
      </c>
      <c r="E187">
        <v>4.2000000000000003E-2</v>
      </c>
      <c r="F187">
        <v>4.8899999999999999E-2</v>
      </c>
      <c r="G187">
        <v>4.4999999999999998E-2</v>
      </c>
      <c r="H187">
        <v>4.5999999999999999E-2</v>
      </c>
      <c r="I187" s="1369">
        <v>4.2599999999999999E-2</v>
      </c>
      <c r="J187">
        <v>5.3999999999999999E-2</v>
      </c>
      <c r="K187">
        <v>4.3943198189272066E-2</v>
      </c>
      <c r="L187">
        <v>5.3509119174153637E-2</v>
      </c>
      <c r="M187">
        <v>5.2999999999999999E-2</v>
      </c>
      <c r="N187" s="13">
        <f t="shared" si="48"/>
        <v>0</v>
      </c>
    </row>
    <row r="188" spans="1:14" x14ac:dyDescent="0.25">
      <c r="A188" s="1368">
        <v>0.8</v>
      </c>
      <c r="B188">
        <v>6.8702144348932098E-2</v>
      </c>
      <c r="C188" s="13">
        <v>5.5243536155714514E-2</v>
      </c>
      <c r="D188">
        <v>5.3999999999999999E-2</v>
      </c>
      <c r="E188">
        <v>4.2000000000000003E-2</v>
      </c>
      <c r="F188">
        <v>4.9200000000000001E-2</v>
      </c>
      <c r="G188">
        <v>4.5999999999999999E-2</v>
      </c>
      <c r="H188">
        <v>4.6300000000000001E-2</v>
      </c>
      <c r="I188" s="1369">
        <v>4.3400000000000001E-2</v>
      </c>
      <c r="J188">
        <v>5.5E-2</v>
      </c>
      <c r="K188">
        <v>4.4626489699969227E-2</v>
      </c>
      <c r="L188">
        <v>5.3727303513987829E-2</v>
      </c>
      <c r="M188">
        <v>5.2999999999999999E-2</v>
      </c>
      <c r="N188" s="13">
        <f t="shared" si="48"/>
        <v>0</v>
      </c>
    </row>
    <row r="189" spans="1:14" x14ac:dyDescent="0.25">
      <c r="A189" s="1368">
        <v>0.81</v>
      </c>
      <c r="B189">
        <v>7.0621260709903294E-2</v>
      </c>
      <c r="C189" s="13">
        <v>5.575029847915558E-2</v>
      </c>
      <c r="D189">
        <v>5.3999999999999999E-2</v>
      </c>
      <c r="E189">
        <v>4.2999999999999997E-2</v>
      </c>
      <c r="F189">
        <v>4.9700000000000001E-2</v>
      </c>
      <c r="G189">
        <v>4.5999999999999999E-2</v>
      </c>
      <c r="H189">
        <v>4.6699999999999998E-2</v>
      </c>
      <c r="I189" s="1369">
        <v>4.4200000000000003E-2</v>
      </c>
      <c r="J189">
        <v>5.5E-2</v>
      </c>
      <c r="K189">
        <v>4.490719134222567E-2</v>
      </c>
      <c r="L189">
        <v>5.4859953782554975E-2</v>
      </c>
      <c r="M189">
        <v>5.5E-2</v>
      </c>
      <c r="N189" s="13">
        <f t="shared" si="48"/>
        <v>0</v>
      </c>
    </row>
    <row r="190" spans="1:14" x14ac:dyDescent="0.25">
      <c r="A190" s="1368">
        <v>0.82</v>
      </c>
      <c r="B190">
        <v>7.208997350125064E-2</v>
      </c>
      <c r="C190" s="13">
        <v>5.6415305386429762E-2</v>
      </c>
      <c r="D190">
        <v>5.5E-2</v>
      </c>
      <c r="E190">
        <v>4.2999999999999997E-2</v>
      </c>
      <c r="F190">
        <v>5.0099999999999999E-2</v>
      </c>
      <c r="G190">
        <v>4.8000000000000001E-2</v>
      </c>
      <c r="H190">
        <v>4.7100000000000003E-2</v>
      </c>
      <c r="I190" s="1369">
        <v>4.4600000000000001E-2</v>
      </c>
      <c r="J190">
        <v>5.6000000000000001E-2</v>
      </c>
      <c r="K190">
        <v>4.5554102232876328E-2</v>
      </c>
      <c r="L190">
        <v>5.5443878975215563E-2</v>
      </c>
      <c r="M190">
        <v>5.5E-2</v>
      </c>
      <c r="N190" s="13">
        <f t="shared" si="48"/>
        <v>0</v>
      </c>
    </row>
    <row r="191" spans="1:14" x14ac:dyDescent="0.25">
      <c r="A191" s="1368">
        <v>0.83</v>
      </c>
      <c r="B191">
        <v>7.3019154225705832E-2</v>
      </c>
      <c r="C191" s="13">
        <v>5.692601189868151E-2</v>
      </c>
      <c r="D191">
        <v>5.5E-2</v>
      </c>
      <c r="E191">
        <v>4.2999999999999997E-2</v>
      </c>
      <c r="F191">
        <v>5.0599999999999999E-2</v>
      </c>
      <c r="G191">
        <v>4.8000000000000001E-2</v>
      </c>
      <c r="H191">
        <v>4.7399999999999998E-2</v>
      </c>
      <c r="I191" s="1369">
        <v>4.4999999999999998E-2</v>
      </c>
      <c r="J191">
        <v>5.6000000000000001E-2</v>
      </c>
      <c r="K191">
        <v>4.6158273000585406E-2</v>
      </c>
      <c r="L191">
        <v>5.5737455988767316E-2</v>
      </c>
      <c r="M191">
        <v>5.6000000000000001E-2</v>
      </c>
      <c r="N191" s="13">
        <f t="shared" si="48"/>
        <v>0</v>
      </c>
    </row>
    <row r="192" spans="1:14" x14ac:dyDescent="0.25">
      <c r="A192" s="1368">
        <v>0.84</v>
      </c>
      <c r="B192">
        <v>7.4481387494102824E-2</v>
      </c>
      <c r="C192" s="13">
        <v>5.8616898421637587E-2</v>
      </c>
      <c r="D192">
        <v>5.6000000000000001E-2</v>
      </c>
      <c r="E192">
        <v>4.4999999999999998E-2</v>
      </c>
      <c r="F192">
        <v>5.0999999999999997E-2</v>
      </c>
      <c r="G192">
        <v>0.05</v>
      </c>
      <c r="H192">
        <v>4.7899999999999998E-2</v>
      </c>
      <c r="I192" s="1369">
        <v>4.5900000000000003E-2</v>
      </c>
      <c r="J192">
        <v>5.7000000000000002E-2</v>
      </c>
      <c r="K192">
        <v>4.6710748516301852E-2</v>
      </c>
      <c r="L192">
        <v>5.6225117343687278E-2</v>
      </c>
      <c r="M192">
        <v>5.6000000000000001E-2</v>
      </c>
      <c r="N192" s="13">
        <f t="shared" si="48"/>
        <v>0</v>
      </c>
    </row>
    <row r="193" spans="1:14" x14ac:dyDescent="0.25">
      <c r="A193" s="1368">
        <v>0.85</v>
      </c>
      <c r="B193">
        <v>7.5324388867625158E-2</v>
      </c>
      <c r="C193" s="13">
        <v>5.9691206288779067E-2</v>
      </c>
      <c r="D193">
        <v>5.6000000000000001E-2</v>
      </c>
      <c r="E193">
        <v>4.5999999999999999E-2</v>
      </c>
      <c r="F193">
        <v>5.1499999999999997E-2</v>
      </c>
      <c r="G193">
        <v>0.05</v>
      </c>
      <c r="H193">
        <v>4.8399999999999999E-2</v>
      </c>
      <c r="I193" s="1369">
        <v>4.6300000000000001E-2</v>
      </c>
      <c r="J193">
        <v>5.7000000000000002E-2</v>
      </c>
      <c r="K193">
        <v>4.7311128394758512E-2</v>
      </c>
      <c r="L193">
        <v>5.6652027781189176E-2</v>
      </c>
      <c r="M193">
        <v>5.7000000000000002E-2</v>
      </c>
      <c r="N193" s="13">
        <f t="shared" si="48"/>
        <v>0</v>
      </c>
    </row>
    <row r="194" spans="1:14" x14ac:dyDescent="0.25">
      <c r="A194" s="1368">
        <v>0.86</v>
      </c>
      <c r="B194">
        <v>7.653626822530793E-2</v>
      </c>
      <c r="C194" s="13">
        <v>5.9691648554440063E-2</v>
      </c>
      <c r="D194">
        <v>5.7000000000000002E-2</v>
      </c>
      <c r="E194">
        <v>4.5999999999999999E-2</v>
      </c>
      <c r="F194">
        <v>5.1999999999999998E-2</v>
      </c>
      <c r="G194">
        <v>5.1999999999999998E-2</v>
      </c>
      <c r="H194">
        <v>4.9000000000000002E-2</v>
      </c>
      <c r="I194" s="1369">
        <v>4.6600000000000003E-2</v>
      </c>
      <c r="J194">
        <v>5.8000000000000003E-2</v>
      </c>
      <c r="K194">
        <v>4.7611913743595011E-2</v>
      </c>
      <c r="L194">
        <v>5.739433116599571E-2</v>
      </c>
      <c r="M194">
        <v>5.7000000000000002E-2</v>
      </c>
      <c r="N194" s="13">
        <f t="shared" si="48"/>
        <v>0</v>
      </c>
    </row>
    <row r="195" spans="1:14" x14ac:dyDescent="0.25">
      <c r="A195" s="1368">
        <v>0.87</v>
      </c>
      <c r="B195">
        <v>7.7840120904195786E-2</v>
      </c>
      <c r="C195" s="13">
        <v>5.9752870758085649E-2</v>
      </c>
      <c r="D195">
        <v>5.7000000000000002E-2</v>
      </c>
      <c r="E195">
        <v>4.7E-2</v>
      </c>
      <c r="F195">
        <v>5.2600000000000001E-2</v>
      </c>
      <c r="G195">
        <v>5.1999999999999998E-2</v>
      </c>
      <c r="H195">
        <v>4.9399999999999999E-2</v>
      </c>
      <c r="I195" s="1369">
        <v>4.7199999999999999E-2</v>
      </c>
      <c r="J195">
        <v>5.8000000000000003E-2</v>
      </c>
      <c r="K195">
        <v>4.8867238408561865E-2</v>
      </c>
      <c r="L195">
        <v>5.7725415845998149E-2</v>
      </c>
      <c r="M195">
        <v>5.8000000000000003E-2</v>
      </c>
      <c r="N195" s="13">
        <f t="shared" si="48"/>
        <v>0</v>
      </c>
    </row>
    <row r="196" spans="1:14" x14ac:dyDescent="0.25">
      <c r="A196" s="1368">
        <v>0.88</v>
      </c>
      <c r="B196">
        <v>7.93648046494317E-2</v>
      </c>
      <c r="C196" s="13">
        <v>6.0875391497294755E-2</v>
      </c>
      <c r="D196">
        <v>5.8000000000000003E-2</v>
      </c>
      <c r="E196">
        <v>4.7E-2</v>
      </c>
      <c r="F196">
        <v>5.3100000000000001E-2</v>
      </c>
      <c r="G196">
        <v>5.3999999999999999E-2</v>
      </c>
      <c r="H196">
        <v>4.9799999999999997E-2</v>
      </c>
      <c r="I196" s="1369">
        <v>4.7600000000000003E-2</v>
      </c>
      <c r="J196">
        <v>6.0999999999999999E-2</v>
      </c>
      <c r="K196">
        <v>5.0138885630577869E-2</v>
      </c>
      <c r="L196">
        <v>5.8160838751054683E-2</v>
      </c>
      <c r="M196">
        <v>5.8000000000000003E-2</v>
      </c>
      <c r="N196" s="13">
        <f t="shared" si="48"/>
        <v>0</v>
      </c>
    </row>
    <row r="197" spans="1:14" x14ac:dyDescent="0.25">
      <c r="A197" s="1368">
        <v>0.89</v>
      </c>
      <c r="B197">
        <v>8.1545181173187486E-2</v>
      </c>
      <c r="C197" s="13">
        <v>6.1454907537522842E-2</v>
      </c>
      <c r="D197">
        <v>5.8999999999999997E-2</v>
      </c>
      <c r="E197">
        <v>4.8000000000000001E-2</v>
      </c>
      <c r="F197">
        <v>5.3800000000000001E-2</v>
      </c>
      <c r="G197">
        <v>5.3999999999999999E-2</v>
      </c>
      <c r="H197">
        <v>5.0299999999999997E-2</v>
      </c>
      <c r="I197" s="1369">
        <v>4.82E-2</v>
      </c>
      <c r="J197">
        <v>6.0999999999999999E-2</v>
      </c>
      <c r="K197">
        <v>5.0836463256344687E-2</v>
      </c>
      <c r="L197">
        <v>5.923528850859399E-2</v>
      </c>
      <c r="M197">
        <v>5.8999999999999997E-2</v>
      </c>
      <c r="N197" s="13">
        <f t="shared" si="48"/>
        <v>0</v>
      </c>
    </row>
    <row r="198" spans="1:14" x14ac:dyDescent="0.25">
      <c r="A198" s="1368">
        <v>0.9</v>
      </c>
      <c r="B198">
        <v>8.4057868265155114E-2</v>
      </c>
      <c r="C198" s="13">
        <v>6.3063840420152228E-2</v>
      </c>
      <c r="D198">
        <v>0.06</v>
      </c>
      <c r="E198">
        <v>4.9000000000000002E-2</v>
      </c>
      <c r="F198">
        <v>5.45E-2</v>
      </c>
      <c r="G198">
        <v>5.7000000000000002E-2</v>
      </c>
      <c r="H198">
        <v>5.0799999999999998E-2</v>
      </c>
      <c r="I198" s="1369">
        <v>4.8899999999999999E-2</v>
      </c>
      <c r="J198">
        <v>6.3E-2</v>
      </c>
      <c r="K198">
        <v>5.1543302355151227E-2</v>
      </c>
      <c r="L198">
        <v>5.9575011713021049E-2</v>
      </c>
      <c r="M198">
        <v>5.8999999999999997E-2</v>
      </c>
      <c r="N198" s="13">
        <f t="shared" si="48"/>
        <v>0</v>
      </c>
    </row>
    <row r="199" spans="1:14" x14ac:dyDescent="0.25">
      <c r="A199" s="1368">
        <v>0.91</v>
      </c>
      <c r="B199">
        <v>8.5894904644904638E-2</v>
      </c>
      <c r="C199" s="13">
        <v>6.3201091953128327E-2</v>
      </c>
      <c r="D199">
        <v>0.06</v>
      </c>
      <c r="E199">
        <v>0.05</v>
      </c>
      <c r="F199">
        <v>5.5300000000000002E-2</v>
      </c>
      <c r="G199">
        <v>5.7000000000000002E-2</v>
      </c>
      <c r="H199">
        <v>5.1299999999999998E-2</v>
      </c>
      <c r="I199" s="1369">
        <v>4.99E-2</v>
      </c>
      <c r="J199">
        <v>6.3E-2</v>
      </c>
      <c r="K199">
        <v>5.2697383585664184E-2</v>
      </c>
      <c r="L199">
        <v>6.0520568777347739E-2</v>
      </c>
      <c r="M199">
        <v>6.0999999999999999E-2</v>
      </c>
      <c r="N199" s="13">
        <f t="shared" si="48"/>
        <v>0</v>
      </c>
    </row>
    <row r="200" spans="1:14" x14ac:dyDescent="0.25">
      <c r="A200" s="1368">
        <v>0.92</v>
      </c>
      <c r="B200">
        <v>8.8392506867682685E-2</v>
      </c>
      <c r="C200" s="13">
        <v>6.4655452483784431E-2</v>
      </c>
      <c r="D200">
        <v>6.0999999999999999E-2</v>
      </c>
      <c r="E200">
        <v>5.1999999999999998E-2</v>
      </c>
      <c r="F200">
        <v>5.6000000000000001E-2</v>
      </c>
      <c r="G200">
        <v>5.8000000000000003E-2</v>
      </c>
      <c r="H200">
        <v>5.16E-2</v>
      </c>
      <c r="I200" s="1369">
        <v>5.0999999999999997E-2</v>
      </c>
      <c r="J200">
        <v>6.7000000000000004E-2</v>
      </c>
      <c r="K200">
        <v>5.3513249297569516E-2</v>
      </c>
      <c r="L200">
        <v>6.0947672604396444E-2</v>
      </c>
      <c r="M200">
        <v>6.0999999999999999E-2</v>
      </c>
      <c r="N200" s="13">
        <f t="shared" si="48"/>
        <v>0</v>
      </c>
    </row>
    <row r="201" spans="1:14" x14ac:dyDescent="0.25">
      <c r="A201" s="1368">
        <v>0.93</v>
      </c>
      <c r="B201">
        <v>8.8507993267551446E-2</v>
      </c>
      <c r="C201" s="13">
        <v>6.691917789292362E-2</v>
      </c>
      <c r="D201">
        <v>6.3E-2</v>
      </c>
      <c r="E201">
        <v>5.2999999999999999E-2</v>
      </c>
      <c r="F201">
        <v>5.7000000000000002E-2</v>
      </c>
      <c r="G201">
        <v>5.8000000000000003E-2</v>
      </c>
      <c r="H201">
        <v>5.1999999999999998E-2</v>
      </c>
      <c r="I201" s="1369">
        <v>5.1900000000000002E-2</v>
      </c>
      <c r="J201">
        <v>6.7000000000000004E-2</v>
      </c>
      <c r="K201">
        <v>5.4491065579799471E-2</v>
      </c>
      <c r="L201">
        <v>6.1421922073415236E-2</v>
      </c>
      <c r="M201">
        <v>6.0999999999999999E-2</v>
      </c>
      <c r="N201" s="13">
        <f t="shared" si="48"/>
        <v>0</v>
      </c>
    </row>
    <row r="202" spans="1:14" x14ac:dyDescent="0.25">
      <c r="A202" s="1368">
        <v>0.94</v>
      </c>
      <c r="B202">
        <v>8.8892178731389521E-2</v>
      </c>
      <c r="C202" s="13">
        <v>6.9162317821826427E-2</v>
      </c>
      <c r="D202">
        <v>6.4000000000000001E-2</v>
      </c>
      <c r="E202">
        <v>5.6000000000000001E-2</v>
      </c>
      <c r="F202">
        <v>5.8099999999999999E-2</v>
      </c>
      <c r="G202">
        <v>6.0999999999999999E-2</v>
      </c>
      <c r="H202">
        <v>5.2299999999999999E-2</v>
      </c>
      <c r="I202" s="1369">
        <v>5.2400000000000002E-2</v>
      </c>
      <c r="J202">
        <v>6.9000000000000006E-2</v>
      </c>
      <c r="K202">
        <v>5.690898860325995E-2</v>
      </c>
      <c r="L202">
        <v>6.173357420539461E-2</v>
      </c>
      <c r="M202">
        <v>6.0999999999999999E-2</v>
      </c>
      <c r="N202" s="13">
        <f t="shared" si="48"/>
        <v>0</v>
      </c>
    </row>
    <row r="203" spans="1:14" x14ac:dyDescent="0.25">
      <c r="A203" s="1368">
        <v>0.95</v>
      </c>
      <c r="B203">
        <v>9.0897726460435466E-2</v>
      </c>
      <c r="C203" s="13">
        <v>7.0064274975743815E-2</v>
      </c>
      <c r="D203">
        <v>6.5000000000000002E-2</v>
      </c>
      <c r="E203">
        <v>5.7000000000000002E-2</v>
      </c>
      <c r="F203">
        <v>5.91E-2</v>
      </c>
      <c r="G203">
        <v>6.0999999999999999E-2</v>
      </c>
      <c r="H203">
        <v>5.3100000000000001E-2</v>
      </c>
      <c r="I203" s="1369">
        <v>5.33E-2</v>
      </c>
      <c r="J203">
        <v>7.0000000000000007E-2</v>
      </c>
      <c r="K203">
        <v>5.8092333804942796E-2</v>
      </c>
      <c r="L203">
        <v>6.1738545555584133E-2</v>
      </c>
      <c r="M203">
        <v>6.2E-2</v>
      </c>
      <c r="N203" s="13">
        <f t="shared" si="48"/>
        <v>0</v>
      </c>
    </row>
    <row r="204" spans="1:14" x14ac:dyDescent="0.25">
      <c r="A204" s="1368">
        <v>0.96</v>
      </c>
      <c r="B204">
        <v>9.3349407697270834E-2</v>
      </c>
      <c r="C204" s="13">
        <v>7.2213601421105306E-2</v>
      </c>
      <c r="D204">
        <v>6.7000000000000004E-2</v>
      </c>
      <c r="E204">
        <v>0.06</v>
      </c>
      <c r="F204">
        <v>6.0100000000000001E-2</v>
      </c>
      <c r="G204">
        <v>6.6000000000000003E-2</v>
      </c>
      <c r="H204">
        <v>5.3999999999999999E-2</v>
      </c>
      <c r="I204" s="1369">
        <v>5.3900000000000003E-2</v>
      </c>
      <c r="J204">
        <v>7.0999999999999994E-2</v>
      </c>
      <c r="K204">
        <v>5.9821369573418728E-2</v>
      </c>
      <c r="L204">
        <v>6.5085947054748003E-2</v>
      </c>
      <c r="M204">
        <v>6.2E-2</v>
      </c>
      <c r="N204" s="13">
        <f t="shared" si="48"/>
        <v>0</v>
      </c>
    </row>
    <row r="205" spans="1:14" x14ac:dyDescent="0.25">
      <c r="A205" s="1368">
        <v>0.97</v>
      </c>
      <c r="B205">
        <v>9.6608644493755488E-2</v>
      </c>
      <c r="C205" s="13">
        <v>7.3513707092895078E-2</v>
      </c>
      <c r="D205">
        <v>6.8000000000000005E-2</v>
      </c>
      <c r="E205">
        <v>6.3E-2</v>
      </c>
      <c r="F205">
        <v>6.08E-2</v>
      </c>
      <c r="G205">
        <v>6.6000000000000003E-2</v>
      </c>
      <c r="H205">
        <v>5.5800000000000002E-2</v>
      </c>
      <c r="I205" s="1369">
        <v>5.6000000000000001E-2</v>
      </c>
      <c r="J205">
        <v>7.3999999999999996E-2</v>
      </c>
      <c r="K205">
        <v>6.2326218023901356E-2</v>
      </c>
      <c r="L205">
        <v>6.8772188951795363E-2</v>
      </c>
      <c r="M205">
        <v>7.0999999999999994E-2</v>
      </c>
      <c r="N205" s="13">
        <f t="shared" si="48"/>
        <v>0</v>
      </c>
    </row>
    <row r="206" spans="1:14" x14ac:dyDescent="0.25">
      <c r="A206" s="1368">
        <v>0.98</v>
      </c>
      <c r="B206">
        <v>0.10321427746003986</v>
      </c>
      <c r="C206" s="13">
        <v>7.7387194307220908E-2</v>
      </c>
      <c r="D206">
        <v>7.0999999999999994E-2</v>
      </c>
      <c r="E206">
        <v>6.5000000000000002E-2</v>
      </c>
      <c r="F206">
        <v>6.2199999999999998E-2</v>
      </c>
      <c r="G206">
        <v>6.7000000000000004E-2</v>
      </c>
      <c r="H206">
        <v>5.7200000000000001E-2</v>
      </c>
      <c r="I206" s="1369">
        <v>5.7299999999999997E-2</v>
      </c>
      <c r="J206">
        <v>7.5999999999999998E-2</v>
      </c>
      <c r="K206">
        <v>6.6453464589083813E-2</v>
      </c>
      <c r="L206">
        <v>7.536993459126444E-2</v>
      </c>
      <c r="M206">
        <v>7.0999999999999994E-2</v>
      </c>
      <c r="N206" s="13">
        <f t="shared" si="48"/>
        <v>0</v>
      </c>
    </row>
    <row r="207" spans="1:14" x14ac:dyDescent="0.25">
      <c r="A207" s="1368">
        <v>0.99</v>
      </c>
      <c r="B207">
        <v>0.1085207956172423</v>
      </c>
      <c r="C207" s="13">
        <v>8.8506044304221779E-2</v>
      </c>
      <c r="D207">
        <v>7.3999999999999996E-2</v>
      </c>
      <c r="E207">
        <v>7.1999999999999995E-2</v>
      </c>
      <c r="F207">
        <v>6.4399999999999999E-2</v>
      </c>
      <c r="G207">
        <v>8.5000000000000006E-2</v>
      </c>
      <c r="H207">
        <v>5.8999999999999997E-2</v>
      </c>
      <c r="I207" s="1369">
        <v>5.8999999999999997E-2</v>
      </c>
      <c r="J207">
        <v>8.2000000000000003E-2</v>
      </c>
      <c r="K207">
        <v>7.2329902273689503E-2</v>
      </c>
      <c r="L207">
        <v>7.9386831545028833E-2</v>
      </c>
      <c r="M207">
        <v>8.4000000000000005E-2</v>
      </c>
      <c r="N207" s="13">
        <f t="shared" si="48"/>
        <v>0</v>
      </c>
    </row>
    <row r="208" spans="1:14" x14ac:dyDescent="0.25">
      <c r="A208" s="1368">
        <v>1</v>
      </c>
      <c r="B208">
        <v>0.1200899142042287</v>
      </c>
      <c r="C208" s="13">
        <v>9.6660391685772368E-2</v>
      </c>
      <c r="D208">
        <v>0.08</v>
      </c>
      <c r="E208">
        <v>8.1000000000000003E-2</v>
      </c>
      <c r="F208">
        <v>6.6600000000000006E-2</v>
      </c>
      <c r="G208">
        <v>9.0999999999999998E-2</v>
      </c>
      <c r="H208">
        <v>6.0400000000000002E-2</v>
      </c>
      <c r="I208" s="1369">
        <v>6.0199999999999997E-2</v>
      </c>
      <c r="J208">
        <v>0.1</v>
      </c>
      <c r="K208">
        <v>8.3366567875361341E-2</v>
      </c>
      <c r="L208">
        <v>9.0188640466516673E-2</v>
      </c>
      <c r="M208">
        <v>8.4000000000000005E-2</v>
      </c>
      <c r="N208" s="13">
        <f t="shared" si="48"/>
        <v>0</v>
      </c>
    </row>
    <row r="209" spans="1:14" s="13" customFormat="1" x14ac:dyDescent="0.25">
      <c r="A209" s="1368" t="s">
        <v>1995</v>
      </c>
      <c r="B209" s="13">
        <f>AVERAGE('классы ЭЭ и выбросы ПГ'!$Y$59)</f>
        <v>3.2958882060286798E-2</v>
      </c>
      <c r="C209" s="13">
        <f>B209</f>
        <v>3.2958882060286798E-2</v>
      </c>
      <c r="D209" s="13">
        <f>AVERAGE('классы ЭЭ и выбросы ПГ'!$Z$59:$AA$59)</f>
        <v>2.8836333040678959E-2</v>
      </c>
      <c r="E209" s="13">
        <f>D209</f>
        <v>2.8836333040678959E-2</v>
      </c>
      <c r="F209" s="13">
        <f>AVERAGE('классы ЭЭ и выбросы ПГ'!$AB$59:$AC$59)</f>
        <v>2.3355733586967124E-2</v>
      </c>
      <c r="G209" s="13">
        <f>F209</f>
        <v>2.3355733586967124E-2</v>
      </c>
      <c r="H209" s="13">
        <f>AVERAGE('классы ЭЭ и выбросы ПГ'!$AD$59:$AE$59)</f>
        <v>2.1143059213735244E-2</v>
      </c>
      <c r="I209" s="13">
        <f>H209</f>
        <v>2.1143059213735244E-2</v>
      </c>
      <c r="J209" s="13">
        <f>AVERAGE('классы ЭЭ и выбросы ПГ'!$AF$59:$AG$59)</f>
        <v>2.0050165837479268E-2</v>
      </c>
      <c r="K209" s="13">
        <f>J209</f>
        <v>2.0050165837479268E-2</v>
      </c>
      <c r="L209" s="13">
        <f>AVERAGE('классы ЭЭ и выбросы ПГ'!$AH$59:$AN$59)</f>
        <v>1.8681852177023377E-2</v>
      </c>
      <c r="M209" s="13">
        <f>L209</f>
        <v>1.8681852177023377E-2</v>
      </c>
    </row>
    <row r="210" spans="1:14" x14ac:dyDescent="0.25">
      <c r="A210" t="s">
        <v>1859</v>
      </c>
      <c r="B210" t="e">
        <f ca="1">AVERAGE('классы ЭЭ и выбросы ПГ'!$Y$53)</f>
        <v>#VALUE!</v>
      </c>
      <c r="C210" s="13" t="e">
        <f ca="1">B210</f>
        <v>#VALUE!</v>
      </c>
      <c r="D210" t="e">
        <f ca="1">AVERAGE('классы ЭЭ и выбросы ПГ'!$Z$53:$AA$53)</f>
        <v>#VALUE!</v>
      </c>
      <c r="E210" s="13" t="e">
        <f ca="1">D210</f>
        <v>#VALUE!</v>
      </c>
      <c r="F210" s="13" t="e">
        <f ca="1">AVERAGE('классы ЭЭ и выбросы ПГ'!$AB$53:$AC$53)</f>
        <v>#VALUE!</v>
      </c>
      <c r="G210" s="13" t="e">
        <f ca="1">F210</f>
        <v>#VALUE!</v>
      </c>
      <c r="H210" s="13" t="e">
        <f ca="1">AVERAGE('классы ЭЭ и выбросы ПГ'!$AD$53:$AE$53)</f>
        <v>#VALUE!</v>
      </c>
      <c r="I210" s="13" t="e">
        <f ca="1">H210</f>
        <v>#VALUE!</v>
      </c>
      <c r="J210" s="13" t="e">
        <f ca="1">AVERAGE('классы ЭЭ и выбросы ПГ'!$AF$53:$AG$53)</f>
        <v>#VALUE!</v>
      </c>
      <c r="K210" s="13" t="e">
        <f ca="1">J210</f>
        <v>#VALUE!</v>
      </c>
      <c r="L210" s="13" t="e">
        <f ca="1">AVERAGE('классы ЭЭ и выбросы ПГ'!$AH$53:$AN$53)</f>
        <v>#VALUE!</v>
      </c>
      <c r="M210" s="13" t="e">
        <f ca="1">L210</f>
        <v>#VALUE!</v>
      </c>
    </row>
    <row r="211" spans="1:14" s="13" customFormat="1" x14ac:dyDescent="0.25">
      <c r="A211" s="13" t="s">
        <v>1858</v>
      </c>
      <c r="B211" s="13" t="e">
        <f ca="1">0.4*B210</f>
        <v>#VALUE!</v>
      </c>
      <c r="C211" s="13" t="e">
        <f t="shared" ref="C211:M211" ca="1" si="49">0.4*C210</f>
        <v>#VALUE!</v>
      </c>
      <c r="D211" s="13" t="e">
        <f t="shared" ca="1" si="49"/>
        <v>#VALUE!</v>
      </c>
      <c r="E211" s="13" t="e">
        <f t="shared" ca="1" si="49"/>
        <v>#VALUE!</v>
      </c>
      <c r="F211" s="13" t="e">
        <f t="shared" ca="1" si="49"/>
        <v>#VALUE!</v>
      </c>
      <c r="G211" s="13" t="e">
        <f t="shared" ca="1" si="49"/>
        <v>#VALUE!</v>
      </c>
      <c r="H211" s="13" t="e">
        <f t="shared" ca="1" si="49"/>
        <v>#VALUE!</v>
      </c>
      <c r="I211" s="13" t="e">
        <f t="shared" ca="1" si="49"/>
        <v>#VALUE!</v>
      </c>
      <c r="J211" s="13" t="e">
        <f t="shared" ca="1" si="49"/>
        <v>#VALUE!</v>
      </c>
      <c r="K211" s="13" t="e">
        <f t="shared" ca="1" si="49"/>
        <v>#VALUE!</v>
      </c>
      <c r="L211" s="13" t="e">
        <f t="shared" ca="1" si="49"/>
        <v>#VALUE!</v>
      </c>
      <c r="M211" s="13" t="e">
        <f t="shared" ca="1" si="49"/>
        <v>#VALUE!</v>
      </c>
    </row>
    <row r="212" spans="1:14" x14ac:dyDescent="0.25">
      <c r="A212" t="s">
        <v>541</v>
      </c>
      <c r="B212" s="13" t="s">
        <v>1845</v>
      </c>
      <c r="C212" s="13" t="s">
        <v>1846</v>
      </c>
      <c r="D212" s="13" t="s">
        <v>1847</v>
      </c>
      <c r="E212" s="13" t="s">
        <v>1848</v>
      </c>
      <c r="F212" s="13" t="s">
        <v>1849</v>
      </c>
      <c r="G212" s="13" t="s">
        <v>1850</v>
      </c>
      <c r="H212" s="13" t="s">
        <v>1851</v>
      </c>
      <c r="I212" s="1369" t="s">
        <v>1852</v>
      </c>
      <c r="J212" s="13" t="s">
        <v>1853</v>
      </c>
      <c r="K212" s="13" t="s">
        <v>1854</v>
      </c>
      <c r="L212" s="13" t="s">
        <v>1855</v>
      </c>
      <c r="M212" s="13" t="s">
        <v>1856</v>
      </c>
    </row>
    <row r="213" spans="1:14" x14ac:dyDescent="0.25">
      <c r="A213" s="1368">
        <v>0</v>
      </c>
      <c r="B213">
        <v>17.5</v>
      </c>
      <c r="C213" s="1378">
        <f>E213</f>
        <v>13</v>
      </c>
      <c r="D213" s="1378">
        <v>25.87</v>
      </c>
      <c r="E213" s="1378">
        <v>13</v>
      </c>
      <c r="F213">
        <v>25.87</v>
      </c>
      <c r="G213">
        <v>13</v>
      </c>
      <c r="H213">
        <v>26.59</v>
      </c>
      <c r="I213" s="1369">
        <v>25.67</v>
      </c>
      <c r="J213">
        <v>21.8</v>
      </c>
      <c r="K213">
        <v>19.302686663441381</v>
      </c>
      <c r="L213">
        <v>12.652695903578268</v>
      </c>
      <c r="M213">
        <v>12.652695903578268</v>
      </c>
      <c r="N213" s="13">
        <f>$B$106*B213+$C$106*C213+$D$106*D213+$E$106*E213+$F$106*F213+$G$106*G213+$H$106*H213+$I$106*I213+$J$106*J213+$K$106*K213+$L$106*L213+$M$106*M213</f>
        <v>0</v>
      </c>
    </row>
    <row r="214" spans="1:14" x14ac:dyDescent="0.25">
      <c r="A214" s="1368">
        <v>0.01</v>
      </c>
      <c r="B214">
        <v>17.7</v>
      </c>
      <c r="C214" s="1378">
        <f t="shared" ref="C214:C277" si="50">E214</f>
        <v>13.8</v>
      </c>
      <c r="D214" s="1378">
        <v>27.43</v>
      </c>
      <c r="E214" s="1378">
        <v>13.8</v>
      </c>
      <c r="F214">
        <v>27.43</v>
      </c>
      <c r="G214">
        <v>13.8</v>
      </c>
      <c r="H214">
        <v>28.27</v>
      </c>
      <c r="I214" s="1369">
        <v>25.95</v>
      </c>
      <c r="J214">
        <v>21.8</v>
      </c>
      <c r="K214">
        <v>19.302686663441381</v>
      </c>
      <c r="L214">
        <v>12.652695903578268</v>
      </c>
      <c r="M214">
        <v>12.652695903578268</v>
      </c>
      <c r="N214" s="13">
        <f t="shared" ref="N214:N277" si="51">$B$106*B214+$C$106*C214+$D$106*D214+$E$106*E214+$F$106*F214+$G$106*G214+$H$106*H214+$I$106*I214+$J$106*J214+$K$106*K214+$L$106*L214+$M$106*M214</f>
        <v>0</v>
      </c>
    </row>
    <row r="215" spans="1:14" x14ac:dyDescent="0.25">
      <c r="A215" s="1368">
        <v>0.02</v>
      </c>
      <c r="B215">
        <v>19.399999999999999</v>
      </c>
      <c r="C215" s="1378">
        <f t="shared" si="50"/>
        <v>13.9</v>
      </c>
      <c r="D215" s="1378">
        <v>29.24</v>
      </c>
      <c r="E215" s="1378">
        <v>13.9</v>
      </c>
      <c r="F215">
        <v>29.24</v>
      </c>
      <c r="G215">
        <v>13.9</v>
      </c>
      <c r="H215">
        <v>31.79</v>
      </c>
      <c r="I215" s="1369">
        <v>26.35</v>
      </c>
      <c r="J215">
        <v>21.8</v>
      </c>
      <c r="K215">
        <v>19.902212443466571</v>
      </c>
      <c r="L215">
        <v>21.256977347397545</v>
      </c>
      <c r="M215">
        <v>21.256977347397545</v>
      </c>
      <c r="N215" s="13">
        <f t="shared" si="51"/>
        <v>0</v>
      </c>
    </row>
    <row r="216" spans="1:14" x14ac:dyDescent="0.25">
      <c r="A216" s="1368">
        <v>0.03</v>
      </c>
      <c r="B216">
        <v>20.7</v>
      </c>
      <c r="C216" s="1378">
        <f t="shared" si="50"/>
        <v>15.3</v>
      </c>
      <c r="D216" s="1378">
        <v>31.03</v>
      </c>
      <c r="E216" s="1378">
        <v>15.3</v>
      </c>
      <c r="F216">
        <v>31.03</v>
      </c>
      <c r="G216">
        <v>15.3</v>
      </c>
      <c r="H216">
        <v>34.49</v>
      </c>
      <c r="I216" s="1369">
        <v>26.67</v>
      </c>
      <c r="J216">
        <v>29.6</v>
      </c>
      <c r="K216">
        <v>21.826650150722426</v>
      </c>
      <c r="L216">
        <v>23.142820727040728</v>
      </c>
      <c r="M216">
        <v>23.142820727040728</v>
      </c>
      <c r="N216" s="13">
        <f t="shared" si="51"/>
        <v>0</v>
      </c>
    </row>
    <row r="217" spans="1:14" x14ac:dyDescent="0.25">
      <c r="A217" s="1368">
        <v>0.04</v>
      </c>
      <c r="B217">
        <v>23</v>
      </c>
      <c r="C217" s="1378">
        <f t="shared" si="50"/>
        <v>16.3</v>
      </c>
      <c r="D217" s="1378">
        <v>33.21</v>
      </c>
      <c r="E217" s="1378">
        <v>16.3</v>
      </c>
      <c r="F217">
        <v>33.21</v>
      </c>
      <c r="G217">
        <v>16.3</v>
      </c>
      <c r="H217">
        <v>37.229999999999997</v>
      </c>
      <c r="I217" s="1369">
        <v>27.34</v>
      </c>
      <c r="J217">
        <v>29.6</v>
      </c>
      <c r="K217">
        <v>23.154899745834509</v>
      </c>
      <c r="L217">
        <v>26.592787674317652</v>
      </c>
      <c r="M217">
        <v>26.592787674317652</v>
      </c>
      <c r="N217" s="13">
        <f t="shared" si="51"/>
        <v>0</v>
      </c>
    </row>
    <row r="218" spans="1:14" x14ac:dyDescent="0.25">
      <c r="A218" s="1368">
        <v>0.05</v>
      </c>
      <c r="B218">
        <v>24.4</v>
      </c>
      <c r="C218" s="1378">
        <f t="shared" si="50"/>
        <v>16.5</v>
      </c>
      <c r="D218" s="1378">
        <v>34.26</v>
      </c>
      <c r="E218" s="1378">
        <v>16.5</v>
      </c>
      <c r="F218">
        <v>34.26</v>
      </c>
      <c r="G218">
        <v>16.5</v>
      </c>
      <c r="H218">
        <v>39.659999999999997</v>
      </c>
      <c r="I218" s="1369">
        <v>27.62</v>
      </c>
      <c r="J218">
        <v>34.5</v>
      </c>
      <c r="K218">
        <v>26.023874749247742</v>
      </c>
      <c r="L218">
        <v>33.388413706599771</v>
      </c>
      <c r="M218">
        <v>33.388413706599771</v>
      </c>
      <c r="N218" s="13">
        <f t="shared" si="51"/>
        <v>0</v>
      </c>
    </row>
    <row r="219" spans="1:14" x14ac:dyDescent="0.25">
      <c r="A219" s="1368">
        <v>0.06</v>
      </c>
      <c r="B219">
        <v>26.9</v>
      </c>
      <c r="C219" s="1378">
        <f t="shared" si="50"/>
        <v>18.2</v>
      </c>
      <c r="D219" s="1378">
        <v>35.880000000000003</v>
      </c>
      <c r="E219" s="1378">
        <v>18.2</v>
      </c>
      <c r="F219">
        <v>35.880000000000003</v>
      </c>
      <c r="G219">
        <v>18.2</v>
      </c>
      <c r="H219">
        <v>41.32</v>
      </c>
      <c r="I219" s="1369">
        <v>28</v>
      </c>
      <c r="J219">
        <v>34.5</v>
      </c>
      <c r="K219">
        <v>26.997302214693516</v>
      </c>
      <c r="L219">
        <v>36.863434737256114</v>
      </c>
      <c r="M219">
        <v>36.863434737256114</v>
      </c>
      <c r="N219" s="13">
        <f t="shared" si="51"/>
        <v>0</v>
      </c>
    </row>
    <row r="220" spans="1:14" x14ac:dyDescent="0.25">
      <c r="A220" s="1368">
        <v>7.0000000000000007E-2</v>
      </c>
      <c r="B220">
        <v>26.9</v>
      </c>
      <c r="C220" s="1378">
        <f t="shared" si="50"/>
        <v>18.5</v>
      </c>
      <c r="D220" s="1378">
        <v>37.03</v>
      </c>
      <c r="E220" s="1378">
        <v>18.5</v>
      </c>
      <c r="F220">
        <v>37.03</v>
      </c>
      <c r="G220">
        <v>18.5</v>
      </c>
      <c r="H220">
        <v>42.39</v>
      </c>
      <c r="I220" s="1369">
        <v>28.35</v>
      </c>
      <c r="J220">
        <v>34.5</v>
      </c>
      <c r="K220">
        <v>27.957884492964652</v>
      </c>
      <c r="L220">
        <v>44.664575656634142</v>
      </c>
      <c r="M220">
        <v>44.664575656634142</v>
      </c>
      <c r="N220" s="13">
        <f t="shared" si="51"/>
        <v>0</v>
      </c>
    </row>
    <row r="221" spans="1:14" x14ac:dyDescent="0.25">
      <c r="A221" s="1368">
        <v>0.08</v>
      </c>
      <c r="B221">
        <v>29.8</v>
      </c>
      <c r="C221" s="1378">
        <f t="shared" si="50"/>
        <v>20.2</v>
      </c>
      <c r="D221" s="1378">
        <v>39.380000000000003</v>
      </c>
      <c r="E221" s="1378">
        <v>20.2</v>
      </c>
      <c r="F221">
        <v>39.380000000000003</v>
      </c>
      <c r="G221">
        <v>20.2</v>
      </c>
      <c r="H221">
        <v>43.32</v>
      </c>
      <c r="I221" s="1369">
        <v>28.99</v>
      </c>
      <c r="J221">
        <v>37.1</v>
      </c>
      <c r="K221">
        <v>28.202084405840274</v>
      </c>
      <c r="L221">
        <v>45.697145030237827</v>
      </c>
      <c r="M221">
        <v>45.697145030237827</v>
      </c>
      <c r="N221" s="13">
        <f t="shared" si="51"/>
        <v>0</v>
      </c>
    </row>
    <row r="222" spans="1:14" x14ac:dyDescent="0.25">
      <c r="A222" s="1368">
        <v>0.09</v>
      </c>
      <c r="B222">
        <v>29.8</v>
      </c>
      <c r="C222" s="1378">
        <f t="shared" si="50"/>
        <v>25.4</v>
      </c>
      <c r="D222" s="1378">
        <v>40.81</v>
      </c>
      <c r="E222" s="1378">
        <v>25.4</v>
      </c>
      <c r="F222">
        <v>40.81</v>
      </c>
      <c r="G222">
        <v>25.4</v>
      </c>
      <c r="H222">
        <v>44.07</v>
      </c>
      <c r="I222" s="1369">
        <v>29.36</v>
      </c>
      <c r="J222">
        <v>37.1</v>
      </c>
      <c r="K222">
        <v>28.69296645540269</v>
      </c>
      <c r="L222">
        <v>47.631190056167242</v>
      </c>
      <c r="M222">
        <v>47.631190056167242</v>
      </c>
      <c r="N222" s="13">
        <f t="shared" si="51"/>
        <v>0</v>
      </c>
    </row>
    <row r="223" spans="1:14" x14ac:dyDescent="0.25">
      <c r="A223" s="1368">
        <v>0.1</v>
      </c>
      <c r="B223">
        <v>33</v>
      </c>
      <c r="C223" s="1378">
        <f t="shared" si="50"/>
        <v>25.55</v>
      </c>
      <c r="D223" s="1378">
        <v>43.01</v>
      </c>
      <c r="E223" s="1378">
        <v>25.55</v>
      </c>
      <c r="F223">
        <v>43.01</v>
      </c>
      <c r="G223">
        <v>25.55</v>
      </c>
      <c r="H223">
        <v>44.99</v>
      </c>
      <c r="I223" s="1369">
        <v>29.59</v>
      </c>
      <c r="J223">
        <v>40.700000000000003</v>
      </c>
      <c r="K223">
        <v>29.386786638727969</v>
      </c>
      <c r="L223">
        <v>49.886683377516476</v>
      </c>
      <c r="M223">
        <v>49.886683377516476</v>
      </c>
      <c r="N223" s="13">
        <f t="shared" si="51"/>
        <v>0</v>
      </c>
    </row>
    <row r="224" spans="1:14" x14ac:dyDescent="0.25">
      <c r="A224" s="1368">
        <v>0.11</v>
      </c>
      <c r="B224">
        <v>33</v>
      </c>
      <c r="C224" s="1378">
        <f t="shared" si="50"/>
        <v>27</v>
      </c>
      <c r="D224" s="1378">
        <v>43.7</v>
      </c>
      <c r="E224" s="1378">
        <v>27</v>
      </c>
      <c r="F224">
        <v>43.7</v>
      </c>
      <c r="G224">
        <v>27</v>
      </c>
      <c r="H224">
        <v>46</v>
      </c>
      <c r="I224" s="1369">
        <v>30.02</v>
      </c>
      <c r="J224">
        <v>40.700000000000003</v>
      </c>
      <c r="K224">
        <v>30.859572346554398</v>
      </c>
      <c r="L224">
        <v>53.812123431310546</v>
      </c>
      <c r="M224">
        <v>53.812123431310546</v>
      </c>
      <c r="N224" s="13">
        <f t="shared" si="51"/>
        <v>0</v>
      </c>
    </row>
    <row r="225" spans="1:14" x14ac:dyDescent="0.25">
      <c r="A225" s="1368">
        <v>0.12</v>
      </c>
      <c r="B225">
        <v>36.700000000000003</v>
      </c>
      <c r="C225" s="1378">
        <f t="shared" si="50"/>
        <v>27.2</v>
      </c>
      <c r="D225" s="1378">
        <v>44.43</v>
      </c>
      <c r="E225" s="1378">
        <v>27.2</v>
      </c>
      <c r="F225">
        <v>44.43</v>
      </c>
      <c r="G225">
        <v>27.2</v>
      </c>
      <c r="H225">
        <v>46.8</v>
      </c>
      <c r="I225" s="1369">
        <v>30.36</v>
      </c>
      <c r="J225">
        <v>43.8</v>
      </c>
      <c r="K225">
        <v>31.334967525665199</v>
      </c>
      <c r="L225">
        <v>57.092073390712777</v>
      </c>
      <c r="M225">
        <v>56.897633608082955</v>
      </c>
      <c r="N225" s="13">
        <f t="shared" si="51"/>
        <v>0</v>
      </c>
    </row>
    <row r="226" spans="1:14" x14ac:dyDescent="0.25">
      <c r="A226" s="1368">
        <v>0.13</v>
      </c>
      <c r="B226">
        <v>36.700000000000003</v>
      </c>
      <c r="C226" s="1378">
        <f t="shared" si="50"/>
        <v>28.1</v>
      </c>
      <c r="D226" s="1378">
        <v>45.09</v>
      </c>
      <c r="E226" s="1378">
        <v>28.1</v>
      </c>
      <c r="F226">
        <v>45.09</v>
      </c>
      <c r="G226">
        <v>28.1</v>
      </c>
      <c r="H226">
        <v>47.38</v>
      </c>
      <c r="I226" s="1369">
        <v>30.58</v>
      </c>
      <c r="J226">
        <v>43.8</v>
      </c>
      <c r="K226">
        <v>31.933591400284485</v>
      </c>
      <c r="L226">
        <v>59.139134340088695</v>
      </c>
      <c r="M226">
        <v>57.819445386587795</v>
      </c>
      <c r="N226" s="13">
        <f t="shared" si="51"/>
        <v>0</v>
      </c>
    </row>
    <row r="227" spans="1:14" x14ac:dyDescent="0.25">
      <c r="A227" s="1368">
        <v>0.14000000000000001</v>
      </c>
      <c r="B227">
        <v>39.299999999999997</v>
      </c>
      <c r="C227" s="1378">
        <f t="shared" si="50"/>
        <v>28.5</v>
      </c>
      <c r="D227" s="1378">
        <v>46.65</v>
      </c>
      <c r="E227" s="1378">
        <v>28.5</v>
      </c>
      <c r="F227">
        <v>46.65</v>
      </c>
      <c r="G227">
        <v>28.5</v>
      </c>
      <c r="H227">
        <v>48.26</v>
      </c>
      <c r="I227" s="1369">
        <v>30.9</v>
      </c>
      <c r="J227">
        <v>45.6</v>
      </c>
      <c r="K227">
        <v>32.757638713057148</v>
      </c>
      <c r="L227">
        <v>60.084877326034004</v>
      </c>
      <c r="M227">
        <v>59.801812746556735</v>
      </c>
      <c r="N227" s="13">
        <f t="shared" si="51"/>
        <v>0</v>
      </c>
    </row>
    <row r="228" spans="1:14" x14ac:dyDescent="0.25">
      <c r="A228" s="1368">
        <v>0.15</v>
      </c>
      <c r="B228">
        <v>39.299999999999997</v>
      </c>
      <c r="C228" s="1378">
        <f t="shared" si="50"/>
        <v>28.6</v>
      </c>
      <c r="D228" s="1378">
        <v>48.2</v>
      </c>
      <c r="E228" s="1378">
        <v>28.6</v>
      </c>
      <c r="F228">
        <v>48.2</v>
      </c>
      <c r="G228">
        <v>28.6</v>
      </c>
      <c r="H228">
        <v>48.79</v>
      </c>
      <c r="I228" s="1369">
        <v>31.33</v>
      </c>
      <c r="J228">
        <v>45.6</v>
      </c>
      <c r="K228">
        <v>33.765216579536968</v>
      </c>
      <c r="L228">
        <v>61.928230022404776</v>
      </c>
      <c r="M228">
        <v>61.928230022404776</v>
      </c>
      <c r="N228" s="13">
        <f t="shared" si="51"/>
        <v>0</v>
      </c>
    </row>
    <row r="229" spans="1:14" x14ac:dyDescent="0.25">
      <c r="A229" s="1368">
        <v>0.16</v>
      </c>
      <c r="B229">
        <v>42.2</v>
      </c>
      <c r="C229" s="1378">
        <f t="shared" si="50"/>
        <v>28.7</v>
      </c>
      <c r="D229" s="1378">
        <v>49.74</v>
      </c>
      <c r="E229" s="1378">
        <v>28.7</v>
      </c>
      <c r="F229">
        <v>49.74</v>
      </c>
      <c r="G229">
        <v>28.7</v>
      </c>
      <c r="H229">
        <v>49.79</v>
      </c>
      <c r="I229" s="1369">
        <v>31.68</v>
      </c>
      <c r="J229">
        <v>47.4</v>
      </c>
      <c r="K229">
        <v>34.746847017448935</v>
      </c>
      <c r="L229">
        <v>63.309953442243597</v>
      </c>
      <c r="M229">
        <v>64.520453318942259</v>
      </c>
      <c r="N229" s="13">
        <f t="shared" si="51"/>
        <v>0</v>
      </c>
    </row>
    <row r="230" spans="1:14" x14ac:dyDescent="0.25">
      <c r="A230" s="1368">
        <v>0.17</v>
      </c>
      <c r="B230">
        <v>42.2</v>
      </c>
      <c r="C230" s="1378">
        <f t="shared" si="50"/>
        <v>30.2</v>
      </c>
      <c r="D230" s="1378">
        <v>50.41</v>
      </c>
      <c r="E230" s="1378">
        <v>30.2</v>
      </c>
      <c r="F230">
        <v>50.41</v>
      </c>
      <c r="G230">
        <v>30.2</v>
      </c>
      <c r="H230">
        <v>50.66</v>
      </c>
      <c r="I230" s="1369">
        <v>32.08</v>
      </c>
      <c r="J230">
        <v>47.4</v>
      </c>
      <c r="K230">
        <v>36.145625581704564</v>
      </c>
      <c r="L230">
        <v>64.658885772565029</v>
      </c>
      <c r="M230">
        <v>64.784788878634046</v>
      </c>
      <c r="N230" s="13">
        <f t="shared" si="51"/>
        <v>0</v>
      </c>
    </row>
    <row r="231" spans="1:14" x14ac:dyDescent="0.25">
      <c r="A231" s="1368">
        <v>0.18</v>
      </c>
      <c r="B231">
        <v>44.6</v>
      </c>
      <c r="C231" s="1378">
        <f t="shared" si="50"/>
        <v>31.2</v>
      </c>
      <c r="D231" s="1378">
        <v>51.37</v>
      </c>
      <c r="E231" s="1378">
        <v>31.2</v>
      </c>
      <c r="F231">
        <v>51.37</v>
      </c>
      <c r="G231">
        <v>31.2</v>
      </c>
      <c r="H231">
        <v>51.09</v>
      </c>
      <c r="I231" s="1369">
        <v>32.64</v>
      </c>
      <c r="J231">
        <v>49.4</v>
      </c>
      <c r="K231">
        <v>36.355215234162152</v>
      </c>
      <c r="L231">
        <v>65.188425581202949</v>
      </c>
      <c r="M231">
        <v>65.227500000000006</v>
      </c>
      <c r="N231" s="13">
        <f t="shared" si="51"/>
        <v>0</v>
      </c>
    </row>
    <row r="232" spans="1:14" x14ac:dyDescent="0.25">
      <c r="A232" s="1368">
        <v>0.19</v>
      </c>
      <c r="B232">
        <v>44.6</v>
      </c>
      <c r="C232" s="1378">
        <f t="shared" si="50"/>
        <v>31.9</v>
      </c>
      <c r="D232" s="1378">
        <v>52.03</v>
      </c>
      <c r="E232" s="1378">
        <v>31.9</v>
      </c>
      <c r="F232">
        <v>52.03</v>
      </c>
      <c r="G232">
        <v>31.9</v>
      </c>
      <c r="H232">
        <v>51.57</v>
      </c>
      <c r="I232" s="1369">
        <v>33.32</v>
      </c>
      <c r="J232">
        <v>49.4</v>
      </c>
      <c r="K232">
        <v>37.059246242955538</v>
      </c>
      <c r="L232">
        <v>66.355471562275014</v>
      </c>
      <c r="M232">
        <v>66.445253626180062</v>
      </c>
      <c r="N232" s="13">
        <f t="shared" si="51"/>
        <v>0</v>
      </c>
    </row>
    <row r="233" spans="1:14" x14ac:dyDescent="0.25">
      <c r="A233" s="1368">
        <v>0.2</v>
      </c>
      <c r="B233">
        <v>46</v>
      </c>
      <c r="C233" s="1378">
        <f t="shared" si="50"/>
        <v>32.4</v>
      </c>
      <c r="D233" s="1378">
        <v>53.09</v>
      </c>
      <c r="E233" s="1378">
        <v>32.4</v>
      </c>
      <c r="F233">
        <v>53.09</v>
      </c>
      <c r="G233">
        <v>32.4</v>
      </c>
      <c r="H233">
        <v>51.92</v>
      </c>
      <c r="I233" s="1369">
        <v>33.78</v>
      </c>
      <c r="J233">
        <v>51.7</v>
      </c>
      <c r="K233">
        <v>37.85368094328075</v>
      </c>
      <c r="L233">
        <v>67.755209969909203</v>
      </c>
      <c r="M233">
        <v>69.248618899273112</v>
      </c>
      <c r="N233" s="13">
        <f t="shared" si="51"/>
        <v>0</v>
      </c>
    </row>
    <row r="234" spans="1:14" x14ac:dyDescent="0.25">
      <c r="A234" s="1368">
        <v>0.21</v>
      </c>
      <c r="B234">
        <v>46</v>
      </c>
      <c r="C234" s="1378">
        <f t="shared" si="50"/>
        <v>33.299999999999997</v>
      </c>
      <c r="D234" s="1378">
        <v>53.56</v>
      </c>
      <c r="E234" s="1378">
        <v>33.299999999999997</v>
      </c>
      <c r="F234">
        <v>53.56</v>
      </c>
      <c r="G234">
        <v>33.299999999999997</v>
      </c>
      <c r="H234">
        <v>52.85</v>
      </c>
      <c r="I234" s="1369">
        <v>34.29</v>
      </c>
      <c r="J234">
        <v>51.7</v>
      </c>
      <c r="K234">
        <v>38.45562330933933</v>
      </c>
      <c r="L234">
        <v>69.335361381734543</v>
      </c>
      <c r="M234">
        <v>69.432407458184812</v>
      </c>
      <c r="N234" s="13">
        <f t="shared" si="51"/>
        <v>0</v>
      </c>
    </row>
    <row r="235" spans="1:14" x14ac:dyDescent="0.25">
      <c r="A235" s="1368">
        <v>0.22</v>
      </c>
      <c r="B235">
        <v>47.3</v>
      </c>
      <c r="C235" s="1378">
        <f t="shared" si="50"/>
        <v>33.4</v>
      </c>
      <c r="D235" s="1378">
        <v>54.36</v>
      </c>
      <c r="E235" s="1378">
        <v>33.4</v>
      </c>
      <c r="F235">
        <v>54.36</v>
      </c>
      <c r="G235">
        <v>33.4</v>
      </c>
      <c r="H235">
        <v>53.62</v>
      </c>
      <c r="I235" s="1369">
        <v>34.9</v>
      </c>
      <c r="J235">
        <v>54.2</v>
      </c>
      <c r="K235">
        <v>39.017669108877158</v>
      </c>
      <c r="L235">
        <v>69.523841089534031</v>
      </c>
      <c r="M235">
        <v>70.024383389574311</v>
      </c>
      <c r="N235" s="13">
        <f t="shared" si="51"/>
        <v>0</v>
      </c>
    </row>
    <row r="236" spans="1:14" x14ac:dyDescent="0.25">
      <c r="A236" s="1368">
        <v>0.23</v>
      </c>
      <c r="B236">
        <v>47.3</v>
      </c>
      <c r="C236" s="1378">
        <f t="shared" si="50"/>
        <v>33.700000000000003</v>
      </c>
      <c r="D236" s="1378">
        <v>55.19</v>
      </c>
      <c r="E236" s="1378">
        <v>33.700000000000003</v>
      </c>
      <c r="F236">
        <v>55.19</v>
      </c>
      <c r="G236">
        <v>33.700000000000003</v>
      </c>
      <c r="H236">
        <v>54.18</v>
      </c>
      <c r="I236" s="1369">
        <v>35.72</v>
      </c>
      <c r="J236">
        <v>54.2</v>
      </c>
      <c r="K236">
        <v>39.160289342315707</v>
      </c>
      <c r="L236">
        <v>71.016278695078796</v>
      </c>
      <c r="M236">
        <v>71.305321905521225</v>
      </c>
      <c r="N236" s="13">
        <f t="shared" si="51"/>
        <v>0</v>
      </c>
    </row>
    <row r="237" spans="1:14" x14ac:dyDescent="0.25">
      <c r="A237" s="1368">
        <v>0.24</v>
      </c>
      <c r="B237">
        <v>48.9</v>
      </c>
      <c r="C237" s="1378">
        <f t="shared" si="50"/>
        <v>34.5</v>
      </c>
      <c r="D237" s="1378">
        <v>56.04</v>
      </c>
      <c r="E237" s="1378">
        <v>34.5</v>
      </c>
      <c r="F237">
        <v>56.04</v>
      </c>
      <c r="G237">
        <v>34.5</v>
      </c>
      <c r="H237">
        <v>54.84</v>
      </c>
      <c r="I237" s="1369">
        <v>36.39</v>
      </c>
      <c r="J237">
        <v>55.8</v>
      </c>
      <c r="K237">
        <v>39.757334774224994</v>
      </c>
      <c r="L237">
        <v>73.133301702693416</v>
      </c>
      <c r="M237">
        <v>73.428162218791357</v>
      </c>
      <c r="N237" s="13">
        <f t="shared" si="51"/>
        <v>0</v>
      </c>
    </row>
    <row r="238" spans="1:14" x14ac:dyDescent="0.25">
      <c r="A238" s="1368">
        <v>0.25</v>
      </c>
      <c r="B238">
        <v>48.9</v>
      </c>
      <c r="C238" s="1378">
        <f t="shared" si="50"/>
        <v>34.799999999999997</v>
      </c>
      <c r="D238" s="1378">
        <v>57.15</v>
      </c>
      <c r="E238" s="1378">
        <v>34.799999999999997</v>
      </c>
      <c r="F238">
        <v>57.15</v>
      </c>
      <c r="G238">
        <v>34.799999999999997</v>
      </c>
      <c r="H238">
        <v>55.38</v>
      </c>
      <c r="I238" s="1369">
        <v>36.82</v>
      </c>
      <c r="J238">
        <v>55.8</v>
      </c>
      <c r="K238">
        <v>40.853815205758671</v>
      </c>
      <c r="L238">
        <v>73.751603357346596</v>
      </c>
      <c r="M238">
        <v>75.43063187695472</v>
      </c>
      <c r="N238" s="13">
        <f t="shared" si="51"/>
        <v>0</v>
      </c>
    </row>
    <row r="239" spans="1:14" x14ac:dyDescent="0.25">
      <c r="A239" s="1368">
        <v>0.26</v>
      </c>
      <c r="B239">
        <v>50.6</v>
      </c>
      <c r="C239" s="1378">
        <f t="shared" si="50"/>
        <v>34.799999999999997</v>
      </c>
      <c r="D239" s="1378">
        <v>57.82</v>
      </c>
      <c r="E239" s="1378">
        <v>34.799999999999997</v>
      </c>
      <c r="F239">
        <v>57.82</v>
      </c>
      <c r="G239">
        <v>34.799999999999997</v>
      </c>
      <c r="H239">
        <v>55.83</v>
      </c>
      <c r="I239" s="1369">
        <v>37.200000000000003</v>
      </c>
      <c r="J239">
        <v>57.5</v>
      </c>
      <c r="K239">
        <v>41.462009531838177</v>
      </c>
      <c r="L239">
        <v>75.43063187695472</v>
      </c>
      <c r="M239">
        <v>75.742859240119785</v>
      </c>
      <c r="N239" s="13">
        <f t="shared" si="51"/>
        <v>0</v>
      </c>
    </row>
    <row r="240" spans="1:14" x14ac:dyDescent="0.25">
      <c r="A240" s="1368">
        <v>0.27</v>
      </c>
      <c r="B240">
        <v>50.6</v>
      </c>
      <c r="C240" s="1378">
        <f t="shared" si="50"/>
        <v>35.299999999999997</v>
      </c>
      <c r="D240" s="1378">
        <v>58.72</v>
      </c>
      <c r="E240" s="1378">
        <v>35.299999999999997</v>
      </c>
      <c r="F240">
        <v>58.72</v>
      </c>
      <c r="G240">
        <v>35.299999999999997</v>
      </c>
      <c r="H240">
        <v>56.27</v>
      </c>
      <c r="I240" s="1369">
        <v>37.56</v>
      </c>
      <c r="J240">
        <v>57.5</v>
      </c>
      <c r="K240">
        <v>41.942001778480382</v>
      </c>
      <c r="L240">
        <v>75.742859240119785</v>
      </c>
      <c r="M240">
        <v>75.916901214886479</v>
      </c>
      <c r="N240" s="13">
        <f t="shared" si="51"/>
        <v>0</v>
      </c>
    </row>
    <row r="241" spans="1:14" x14ac:dyDescent="0.25">
      <c r="A241" s="1368">
        <v>0.28000000000000003</v>
      </c>
      <c r="B241">
        <v>52</v>
      </c>
      <c r="C241" s="1378">
        <f t="shared" si="50"/>
        <v>35.799999999999997</v>
      </c>
      <c r="D241" s="1378">
        <v>59.56</v>
      </c>
      <c r="E241" s="1378">
        <v>35.799999999999997</v>
      </c>
      <c r="F241">
        <v>59.56</v>
      </c>
      <c r="G241">
        <v>35.799999999999997</v>
      </c>
      <c r="H241">
        <v>56.72</v>
      </c>
      <c r="I241" s="1369">
        <v>37.840000000000003</v>
      </c>
      <c r="J241">
        <v>58.8</v>
      </c>
      <c r="K241">
        <v>42.763830168151706</v>
      </c>
      <c r="L241">
        <v>75.916901214886479</v>
      </c>
      <c r="M241">
        <v>77.124003201951652</v>
      </c>
      <c r="N241" s="13">
        <f t="shared" si="51"/>
        <v>0</v>
      </c>
    </row>
    <row r="242" spans="1:14" x14ac:dyDescent="0.25">
      <c r="A242" s="1368">
        <v>0.28999999999999998</v>
      </c>
      <c r="B242">
        <v>52</v>
      </c>
      <c r="C242" s="1378">
        <f t="shared" si="50"/>
        <v>35.9</v>
      </c>
      <c r="D242" s="1378">
        <v>60.39</v>
      </c>
      <c r="E242" s="1378">
        <v>35.9</v>
      </c>
      <c r="F242">
        <v>60.39</v>
      </c>
      <c r="G242">
        <v>35.9</v>
      </c>
      <c r="H242">
        <v>57.36</v>
      </c>
      <c r="I242" s="1369">
        <v>38.15</v>
      </c>
      <c r="J242">
        <v>58.8</v>
      </c>
      <c r="K242">
        <v>43.155322782108236</v>
      </c>
      <c r="L242">
        <v>77.124003201951652</v>
      </c>
      <c r="M242">
        <v>77.646568620291788</v>
      </c>
      <c r="N242" s="13">
        <f t="shared" si="51"/>
        <v>0</v>
      </c>
    </row>
    <row r="243" spans="1:14" x14ac:dyDescent="0.25">
      <c r="A243" s="1368">
        <v>0.3</v>
      </c>
      <c r="B243">
        <v>53.6</v>
      </c>
      <c r="C243" s="1378">
        <f t="shared" si="50"/>
        <v>36</v>
      </c>
      <c r="D243" s="1378">
        <v>61.46</v>
      </c>
      <c r="E243" s="1378">
        <v>36</v>
      </c>
      <c r="F243">
        <v>61.46</v>
      </c>
      <c r="G243">
        <v>36</v>
      </c>
      <c r="H243">
        <v>58</v>
      </c>
      <c r="I243" s="1369">
        <v>38.36</v>
      </c>
      <c r="J243">
        <v>60.2</v>
      </c>
      <c r="K243">
        <v>43.948756280885348</v>
      </c>
      <c r="L243">
        <v>77.646568620291788</v>
      </c>
      <c r="M243">
        <v>78.602232069588055</v>
      </c>
      <c r="N243" s="13">
        <f t="shared" si="51"/>
        <v>0</v>
      </c>
    </row>
    <row r="244" spans="1:14" x14ac:dyDescent="0.25">
      <c r="A244" s="1368">
        <v>0.31</v>
      </c>
      <c r="B244">
        <v>53.6</v>
      </c>
      <c r="C244" s="1378">
        <f t="shared" si="50"/>
        <v>36.4</v>
      </c>
      <c r="D244" s="1378">
        <v>62</v>
      </c>
      <c r="E244" s="1378">
        <v>36.4</v>
      </c>
      <c r="F244">
        <v>62</v>
      </c>
      <c r="G244">
        <v>36.4</v>
      </c>
      <c r="H244">
        <v>58.57</v>
      </c>
      <c r="I244" s="1369">
        <v>38.880000000000003</v>
      </c>
      <c r="J244">
        <v>60.2</v>
      </c>
      <c r="K244">
        <v>44.912760938580782</v>
      </c>
      <c r="L244">
        <v>78.602232069588055</v>
      </c>
      <c r="M244">
        <v>80.194226235124447</v>
      </c>
      <c r="N244" s="13">
        <f t="shared" si="51"/>
        <v>0</v>
      </c>
    </row>
    <row r="245" spans="1:14" x14ac:dyDescent="0.25">
      <c r="A245" s="1368">
        <v>0.32</v>
      </c>
      <c r="B245">
        <v>55.4</v>
      </c>
      <c r="C245" s="1378">
        <f t="shared" si="50"/>
        <v>36.799999999999997</v>
      </c>
      <c r="D245" s="1378">
        <v>62.74</v>
      </c>
      <c r="E245" s="1378">
        <v>36.799999999999997</v>
      </c>
      <c r="F245">
        <v>62.74</v>
      </c>
      <c r="G245">
        <v>36.799999999999997</v>
      </c>
      <c r="H245">
        <v>59.36</v>
      </c>
      <c r="I245" s="1369">
        <v>39.36</v>
      </c>
      <c r="J245">
        <v>62.2</v>
      </c>
      <c r="K245">
        <v>45.70347089909049</v>
      </c>
      <c r="L245">
        <v>80.194226235124447</v>
      </c>
      <c r="M245">
        <v>80.820751845676895</v>
      </c>
      <c r="N245" s="13">
        <f t="shared" si="51"/>
        <v>0</v>
      </c>
    </row>
    <row r="246" spans="1:14" x14ac:dyDescent="0.25">
      <c r="A246" s="1368">
        <v>0.33</v>
      </c>
      <c r="B246">
        <v>55.4</v>
      </c>
      <c r="C246" s="1378">
        <f t="shared" si="50"/>
        <v>37.4</v>
      </c>
      <c r="D246" s="1378">
        <v>63.41</v>
      </c>
      <c r="E246" s="1378">
        <v>37.4</v>
      </c>
      <c r="F246">
        <v>63.41</v>
      </c>
      <c r="G246">
        <v>37.4</v>
      </c>
      <c r="H246">
        <v>59.91</v>
      </c>
      <c r="I246" s="1369">
        <v>39.630000000000003</v>
      </c>
      <c r="J246">
        <v>62.2</v>
      </c>
      <c r="K246">
        <v>46.271712760795729</v>
      </c>
      <c r="L246">
        <v>80.820751845676895</v>
      </c>
      <c r="M246">
        <v>81.47643507413386</v>
      </c>
      <c r="N246" s="13">
        <f t="shared" si="51"/>
        <v>0</v>
      </c>
    </row>
    <row r="247" spans="1:14" x14ac:dyDescent="0.25">
      <c r="A247" s="1368">
        <v>0.34</v>
      </c>
      <c r="B247">
        <v>57.1</v>
      </c>
      <c r="C247" s="1378">
        <f t="shared" si="50"/>
        <v>37.5</v>
      </c>
      <c r="D247" s="1378">
        <v>64.209999999999994</v>
      </c>
      <c r="E247" s="1378">
        <v>37.5</v>
      </c>
      <c r="F247">
        <v>64.209999999999994</v>
      </c>
      <c r="G247">
        <v>37.5</v>
      </c>
      <c r="H247">
        <v>60.21</v>
      </c>
      <c r="I247" s="1369">
        <v>40.21</v>
      </c>
      <c r="J247">
        <v>63.5</v>
      </c>
      <c r="K247">
        <v>46.577453592814365</v>
      </c>
      <c r="L247">
        <v>81.652220026165168</v>
      </c>
      <c r="M247">
        <v>81.928578164536404</v>
      </c>
      <c r="N247" s="13">
        <f t="shared" si="51"/>
        <v>0</v>
      </c>
    </row>
    <row r="248" spans="1:14" x14ac:dyDescent="0.25">
      <c r="A248" s="1368">
        <v>0.35</v>
      </c>
      <c r="B248">
        <v>57.1</v>
      </c>
      <c r="C248" s="1378">
        <f t="shared" si="50"/>
        <v>38.6</v>
      </c>
      <c r="D248" s="1378">
        <v>64.930000000000007</v>
      </c>
      <c r="E248" s="1378">
        <v>38.6</v>
      </c>
      <c r="F248">
        <v>64.930000000000007</v>
      </c>
      <c r="G248">
        <v>38.6</v>
      </c>
      <c r="H248">
        <v>60.53</v>
      </c>
      <c r="I248" s="1369">
        <v>40.44</v>
      </c>
      <c r="J248">
        <v>63.5</v>
      </c>
      <c r="K248">
        <v>46.825801150369763</v>
      </c>
      <c r="L248">
        <v>81.928578164536404</v>
      </c>
      <c r="M248">
        <v>83.334184914841842</v>
      </c>
      <c r="N248" s="13">
        <f t="shared" si="51"/>
        <v>0</v>
      </c>
    </row>
    <row r="249" spans="1:14" x14ac:dyDescent="0.25">
      <c r="A249" s="1368">
        <v>0.36</v>
      </c>
      <c r="B249">
        <v>59.1</v>
      </c>
      <c r="C249" s="1378">
        <f t="shared" si="50"/>
        <v>41.2</v>
      </c>
      <c r="D249" s="1378">
        <v>65.72</v>
      </c>
      <c r="E249" s="1378">
        <v>41.2</v>
      </c>
      <c r="F249">
        <v>65.72</v>
      </c>
      <c r="G249">
        <v>41.2</v>
      </c>
      <c r="H249">
        <v>60.95</v>
      </c>
      <c r="I249" s="1369">
        <v>40.68</v>
      </c>
      <c r="J249">
        <v>65.5</v>
      </c>
      <c r="K249">
        <v>47.831567271054091</v>
      </c>
      <c r="L249">
        <v>83.334184914841842</v>
      </c>
      <c r="M249">
        <v>83.606197511397511</v>
      </c>
      <c r="N249" s="13">
        <f t="shared" si="51"/>
        <v>0</v>
      </c>
    </row>
    <row r="250" spans="1:14" x14ac:dyDescent="0.25">
      <c r="A250" s="1368">
        <v>0.37</v>
      </c>
      <c r="B250">
        <v>59.1</v>
      </c>
      <c r="C250" s="1378">
        <f t="shared" si="50"/>
        <v>41.5</v>
      </c>
      <c r="D250" s="1378">
        <v>66.61</v>
      </c>
      <c r="E250" s="1378">
        <v>41.5</v>
      </c>
      <c r="F250">
        <v>66.61</v>
      </c>
      <c r="G250">
        <v>41.5</v>
      </c>
      <c r="H250">
        <v>61.49</v>
      </c>
      <c r="I250" s="1369">
        <v>41.03</v>
      </c>
      <c r="J250">
        <v>65.5</v>
      </c>
      <c r="K250">
        <v>48.303738036477462</v>
      </c>
      <c r="L250">
        <v>83.606197511397511</v>
      </c>
      <c r="M250">
        <v>83.929475340310546</v>
      </c>
      <c r="N250" s="13">
        <f t="shared" si="51"/>
        <v>0</v>
      </c>
    </row>
    <row r="251" spans="1:14" x14ac:dyDescent="0.25">
      <c r="A251" s="1368">
        <v>0.38</v>
      </c>
      <c r="B251">
        <v>60.7</v>
      </c>
      <c r="C251" s="1378">
        <f t="shared" si="50"/>
        <v>42.8</v>
      </c>
      <c r="D251" s="1378">
        <v>67.7</v>
      </c>
      <c r="E251" s="1378">
        <v>42.8</v>
      </c>
      <c r="F251">
        <v>67.7</v>
      </c>
      <c r="G251">
        <v>42.8</v>
      </c>
      <c r="H251">
        <v>62.08</v>
      </c>
      <c r="I251" s="1369">
        <v>41.48</v>
      </c>
      <c r="J251">
        <v>67.2</v>
      </c>
      <c r="K251">
        <v>48.987777096576423</v>
      </c>
      <c r="L251">
        <v>83.929475340310546</v>
      </c>
      <c r="M251">
        <v>85.189002221183074</v>
      </c>
      <c r="N251" s="13">
        <f t="shared" si="51"/>
        <v>0</v>
      </c>
    </row>
    <row r="252" spans="1:14" x14ac:dyDescent="0.25">
      <c r="A252" s="1368">
        <v>0.39</v>
      </c>
      <c r="B252">
        <v>60.7</v>
      </c>
      <c r="C252" s="1378">
        <f t="shared" si="50"/>
        <v>44</v>
      </c>
      <c r="D252" s="1378">
        <v>68.63</v>
      </c>
      <c r="E252" s="1378">
        <v>44</v>
      </c>
      <c r="F252">
        <v>68.63</v>
      </c>
      <c r="G252">
        <v>44</v>
      </c>
      <c r="H252">
        <v>62.42</v>
      </c>
      <c r="I252" s="1369">
        <v>41.72</v>
      </c>
      <c r="J252">
        <v>67.2</v>
      </c>
      <c r="K252">
        <v>49.52472743930371</v>
      </c>
      <c r="L252">
        <v>85.189002221183074</v>
      </c>
      <c r="M252">
        <v>85.755096645110569</v>
      </c>
      <c r="N252" s="13">
        <f t="shared" si="51"/>
        <v>0</v>
      </c>
    </row>
    <row r="253" spans="1:14" x14ac:dyDescent="0.25">
      <c r="A253" s="1368">
        <v>0.4</v>
      </c>
      <c r="B253">
        <v>62</v>
      </c>
      <c r="C253" s="1378">
        <f t="shared" si="50"/>
        <v>44.4</v>
      </c>
      <c r="D253" s="1378">
        <v>69.569999999999993</v>
      </c>
      <c r="E253" s="1378">
        <v>44.4</v>
      </c>
      <c r="F253">
        <v>69.569999999999993</v>
      </c>
      <c r="G253">
        <v>44.4</v>
      </c>
      <c r="H253">
        <v>62.83</v>
      </c>
      <c r="I253" s="1369">
        <v>42.31</v>
      </c>
      <c r="J253">
        <v>68.900000000000006</v>
      </c>
      <c r="K253">
        <v>49.844309440559442</v>
      </c>
      <c r="L253">
        <v>85.477281776836108</v>
      </c>
      <c r="M253">
        <v>86.437983289995302</v>
      </c>
      <c r="N253" s="13">
        <f t="shared" si="51"/>
        <v>0</v>
      </c>
    </row>
    <row r="254" spans="1:14" x14ac:dyDescent="0.25">
      <c r="A254" s="1368">
        <v>0.41</v>
      </c>
      <c r="B254">
        <v>62</v>
      </c>
      <c r="C254" s="1378">
        <f t="shared" si="50"/>
        <v>44.7</v>
      </c>
      <c r="D254" s="1378">
        <v>70.239999999999995</v>
      </c>
      <c r="E254" s="1378">
        <v>44.7</v>
      </c>
      <c r="F254">
        <v>70.239999999999995</v>
      </c>
      <c r="G254">
        <v>44.7</v>
      </c>
      <c r="H254">
        <v>63.43</v>
      </c>
      <c r="I254" s="1369">
        <v>42.9</v>
      </c>
      <c r="J254">
        <v>68.900000000000006</v>
      </c>
      <c r="K254">
        <v>50.710849285615204</v>
      </c>
      <c r="L254">
        <v>86.256882341150515</v>
      </c>
      <c r="M254">
        <v>86.901048273395361</v>
      </c>
      <c r="N254" s="13">
        <f t="shared" si="51"/>
        <v>0</v>
      </c>
    </row>
    <row r="255" spans="1:14" x14ac:dyDescent="0.25">
      <c r="A255" s="1368">
        <v>0.42</v>
      </c>
      <c r="B255">
        <v>63</v>
      </c>
      <c r="C255" s="1378">
        <f t="shared" si="50"/>
        <v>44.8</v>
      </c>
      <c r="D255" s="1378">
        <v>70.819999999999993</v>
      </c>
      <c r="E255" s="1378">
        <v>44.8</v>
      </c>
      <c r="F255">
        <v>70.819999999999993</v>
      </c>
      <c r="G255">
        <v>44.8</v>
      </c>
      <c r="H255">
        <v>64.56</v>
      </c>
      <c r="I255" s="1369">
        <v>43.47</v>
      </c>
      <c r="J255">
        <v>70.3</v>
      </c>
      <c r="K255">
        <v>51.611718881170525</v>
      </c>
      <c r="L255">
        <v>86.658769307915293</v>
      </c>
      <c r="M255">
        <v>87.729716166186748</v>
      </c>
      <c r="N255" s="13">
        <f t="shared" si="51"/>
        <v>0</v>
      </c>
    </row>
    <row r="256" spans="1:14" x14ac:dyDescent="0.25">
      <c r="A256" s="1368">
        <v>0.43</v>
      </c>
      <c r="B256">
        <v>63</v>
      </c>
      <c r="C256" s="1378">
        <f t="shared" si="50"/>
        <v>45.6</v>
      </c>
      <c r="D256" s="1378">
        <v>71.33</v>
      </c>
      <c r="E256" s="1378">
        <v>45.6</v>
      </c>
      <c r="F256">
        <v>71.33</v>
      </c>
      <c r="G256">
        <v>45.6</v>
      </c>
      <c r="H256">
        <v>65.150000000000006</v>
      </c>
      <c r="I256" s="1369">
        <v>43.86</v>
      </c>
      <c r="J256">
        <v>70.3</v>
      </c>
      <c r="K256">
        <v>52.082072602090996</v>
      </c>
      <c r="L256">
        <v>87.6876954802608</v>
      </c>
      <c r="M256">
        <v>87.92171025767766</v>
      </c>
      <c r="N256" s="13">
        <f t="shared" si="51"/>
        <v>0</v>
      </c>
    </row>
    <row r="257" spans="1:14" x14ac:dyDescent="0.25">
      <c r="A257" s="1368">
        <v>0.44</v>
      </c>
      <c r="B257">
        <v>63.9</v>
      </c>
      <c r="C257" s="1378">
        <f t="shared" si="50"/>
        <v>45.9</v>
      </c>
      <c r="D257" s="1378">
        <v>72.319999999999993</v>
      </c>
      <c r="E257" s="1378">
        <v>45.9</v>
      </c>
      <c r="F257">
        <v>72.319999999999993</v>
      </c>
      <c r="G257">
        <v>45.9</v>
      </c>
      <c r="H257">
        <v>65.58</v>
      </c>
      <c r="I257" s="1369">
        <v>44.67</v>
      </c>
      <c r="J257">
        <v>71.400000000000006</v>
      </c>
      <c r="K257">
        <v>53.256807425164418</v>
      </c>
      <c r="L257">
        <v>87.748098383056245</v>
      </c>
      <c r="M257">
        <v>89.128095199448111</v>
      </c>
      <c r="N257" s="13">
        <f t="shared" si="51"/>
        <v>0</v>
      </c>
    </row>
    <row r="258" spans="1:14" x14ac:dyDescent="0.25">
      <c r="A258" s="1368">
        <v>0.45</v>
      </c>
      <c r="B258">
        <v>63.9</v>
      </c>
      <c r="C258" s="1378">
        <f t="shared" si="50"/>
        <v>47.1</v>
      </c>
      <c r="D258" s="1378">
        <v>72.989999999999995</v>
      </c>
      <c r="E258" s="1378">
        <v>47.1</v>
      </c>
      <c r="F258">
        <v>72.989999999999995</v>
      </c>
      <c r="G258">
        <v>47.1</v>
      </c>
      <c r="H258">
        <v>66.099999999999994</v>
      </c>
      <c r="I258" s="1369">
        <v>45.18</v>
      </c>
      <c r="J258">
        <v>71.400000000000006</v>
      </c>
      <c r="K258">
        <v>53.967517401392115</v>
      </c>
      <c r="L258">
        <v>88.833264730758401</v>
      </c>
      <c r="M258">
        <v>89.432722040886446</v>
      </c>
      <c r="N258" s="13">
        <f t="shared" si="51"/>
        <v>0</v>
      </c>
    </row>
    <row r="259" spans="1:14" x14ac:dyDescent="0.25">
      <c r="A259" s="1368">
        <v>0.46</v>
      </c>
      <c r="B259">
        <v>65.900000000000006</v>
      </c>
      <c r="C259" s="1378">
        <f t="shared" si="50"/>
        <v>47.9</v>
      </c>
      <c r="D259" s="1378">
        <v>73.47</v>
      </c>
      <c r="E259" s="1378">
        <v>47.9</v>
      </c>
      <c r="F259">
        <v>73.47</v>
      </c>
      <c r="G259">
        <v>47.9</v>
      </c>
      <c r="H259">
        <v>66.56</v>
      </c>
      <c r="I259" s="1369">
        <v>45.52</v>
      </c>
      <c r="J259">
        <v>72.8</v>
      </c>
      <c r="K259">
        <v>54.585664553027478</v>
      </c>
      <c r="L259">
        <v>89.317758446931506</v>
      </c>
      <c r="M259">
        <v>89.636554502438585</v>
      </c>
      <c r="N259" s="13">
        <f t="shared" si="51"/>
        <v>0</v>
      </c>
    </row>
    <row r="260" spans="1:14" x14ac:dyDescent="0.25">
      <c r="A260" s="1368">
        <v>0.47</v>
      </c>
      <c r="B260">
        <v>65.900000000000006</v>
      </c>
      <c r="C260" s="1378">
        <f t="shared" si="50"/>
        <v>48.8</v>
      </c>
      <c r="D260" s="1378">
        <v>74.53</v>
      </c>
      <c r="E260" s="1378">
        <v>48.8</v>
      </c>
      <c r="F260">
        <v>74.53</v>
      </c>
      <c r="G260">
        <v>48.8</v>
      </c>
      <c r="H260">
        <v>67.069999999999993</v>
      </c>
      <c r="I260" s="1369">
        <v>46.04</v>
      </c>
      <c r="J260">
        <v>72.8</v>
      </c>
      <c r="K260">
        <v>54.872543810877033</v>
      </c>
      <c r="L260">
        <v>89.628136550099512</v>
      </c>
      <c r="M260">
        <v>90.198936435396746</v>
      </c>
      <c r="N260" s="13">
        <f t="shared" si="51"/>
        <v>0</v>
      </c>
    </row>
    <row r="261" spans="1:14" x14ac:dyDescent="0.25">
      <c r="A261" s="1368">
        <v>0.48</v>
      </c>
      <c r="B261">
        <v>67.599999999999994</v>
      </c>
      <c r="C261" s="1378">
        <f t="shared" si="50"/>
        <v>49.5</v>
      </c>
      <c r="D261" s="1378">
        <v>75.37</v>
      </c>
      <c r="E261" s="1378">
        <v>49.5</v>
      </c>
      <c r="F261">
        <v>75.37</v>
      </c>
      <c r="G261">
        <v>49.5</v>
      </c>
      <c r="H261">
        <v>67.8</v>
      </c>
      <c r="I261" s="1369">
        <v>46.81</v>
      </c>
      <c r="J261">
        <v>74.3</v>
      </c>
      <c r="K261">
        <v>55.038358286557099</v>
      </c>
      <c r="L261">
        <v>89.804288580895033</v>
      </c>
      <c r="M261">
        <v>90.750477778464756</v>
      </c>
      <c r="N261" s="13">
        <f t="shared" si="51"/>
        <v>0</v>
      </c>
    </row>
    <row r="262" spans="1:14" x14ac:dyDescent="0.25">
      <c r="A262" s="1368">
        <v>0.49</v>
      </c>
      <c r="B262">
        <v>67.599999999999994</v>
      </c>
      <c r="C262" s="1378">
        <f t="shared" si="50"/>
        <v>49.7</v>
      </c>
      <c r="D262" s="1378">
        <v>76.069999999999993</v>
      </c>
      <c r="E262" s="1378">
        <v>49.7</v>
      </c>
      <c r="F262">
        <v>76.069999999999993</v>
      </c>
      <c r="G262">
        <v>49.7</v>
      </c>
      <c r="H262">
        <v>68.41</v>
      </c>
      <c r="I262" s="1369">
        <v>47.55</v>
      </c>
      <c r="J262">
        <v>74.3</v>
      </c>
      <c r="K262">
        <v>55.399357483106243</v>
      </c>
      <c r="L262">
        <v>90.409449431591725</v>
      </c>
      <c r="M262">
        <v>91.677121037094068</v>
      </c>
      <c r="N262" s="13">
        <f t="shared" si="51"/>
        <v>0</v>
      </c>
    </row>
    <row r="263" spans="1:14" x14ac:dyDescent="0.25">
      <c r="A263" s="1368">
        <v>0.5</v>
      </c>
      <c r="B263">
        <v>69.3</v>
      </c>
      <c r="C263" s="1378">
        <f t="shared" si="50"/>
        <v>49.8</v>
      </c>
      <c r="D263" s="1378">
        <v>76.81</v>
      </c>
      <c r="E263" s="1378">
        <v>49.8</v>
      </c>
      <c r="F263">
        <v>76.81</v>
      </c>
      <c r="G263">
        <v>49.8</v>
      </c>
      <c r="H263">
        <v>69.150000000000006</v>
      </c>
      <c r="I263" s="1369">
        <v>48.07</v>
      </c>
      <c r="J263">
        <v>75.2</v>
      </c>
      <c r="K263">
        <v>56.492116649872564</v>
      </c>
      <c r="L263">
        <v>91.445817593092286</v>
      </c>
      <c r="M263">
        <v>92.574834266352397</v>
      </c>
      <c r="N263" s="13">
        <f t="shared" si="51"/>
        <v>0</v>
      </c>
    </row>
    <row r="264" spans="1:14" x14ac:dyDescent="0.25">
      <c r="A264" s="1368">
        <v>0.51</v>
      </c>
      <c r="B264">
        <v>69.3</v>
      </c>
      <c r="C264" s="1378">
        <f t="shared" si="50"/>
        <v>49.9</v>
      </c>
      <c r="D264" s="1378">
        <v>77.44</v>
      </c>
      <c r="E264" s="1378">
        <v>49.9</v>
      </c>
      <c r="F264">
        <v>77.44</v>
      </c>
      <c r="G264">
        <v>49.9</v>
      </c>
      <c r="H264">
        <v>69.569999999999993</v>
      </c>
      <c r="I264" s="1369">
        <v>48.54</v>
      </c>
      <c r="J264">
        <v>75.2</v>
      </c>
      <c r="K264">
        <v>57.526099917911196</v>
      </c>
      <c r="L264">
        <v>91.679637848077633</v>
      </c>
      <c r="M264">
        <v>93.479349518720724</v>
      </c>
      <c r="N264" s="13">
        <f t="shared" si="51"/>
        <v>0</v>
      </c>
    </row>
    <row r="265" spans="1:14" x14ac:dyDescent="0.25">
      <c r="A265" s="1368">
        <v>0.52</v>
      </c>
      <c r="B265">
        <v>71.3</v>
      </c>
      <c r="C265" s="1378">
        <f t="shared" si="50"/>
        <v>49.9</v>
      </c>
      <c r="D265" s="1378">
        <v>77.94</v>
      </c>
      <c r="E265" s="1378">
        <v>49.9</v>
      </c>
      <c r="F265">
        <v>77.94</v>
      </c>
      <c r="G265">
        <v>49.9</v>
      </c>
      <c r="H265">
        <v>70.010000000000005</v>
      </c>
      <c r="I265" s="1369">
        <v>49.56</v>
      </c>
      <c r="J265">
        <v>76.400000000000006</v>
      </c>
      <c r="K265">
        <v>58.559664403740236</v>
      </c>
      <c r="L265">
        <v>92.599980258039025</v>
      </c>
      <c r="M265">
        <v>93.862924000355306</v>
      </c>
      <c r="N265" s="13">
        <f t="shared" si="51"/>
        <v>0</v>
      </c>
    </row>
    <row r="266" spans="1:14" x14ac:dyDescent="0.25">
      <c r="A266" s="1368">
        <v>0.53</v>
      </c>
      <c r="B266">
        <v>71.3</v>
      </c>
      <c r="C266" s="1378">
        <f t="shared" si="50"/>
        <v>50.05</v>
      </c>
      <c r="D266" s="1378">
        <v>79.3</v>
      </c>
      <c r="E266" s="1378">
        <v>50.05</v>
      </c>
      <c r="F266">
        <v>79.3</v>
      </c>
      <c r="G266">
        <v>50.05</v>
      </c>
      <c r="H266">
        <v>70.58</v>
      </c>
      <c r="I266" s="1369">
        <v>50.41</v>
      </c>
      <c r="J266">
        <v>76.400000000000006</v>
      </c>
      <c r="K266">
        <v>58.824078721865284</v>
      </c>
      <c r="L266">
        <v>93.624257933543745</v>
      </c>
      <c r="M266">
        <v>95.077194211100718</v>
      </c>
      <c r="N266" s="13">
        <f t="shared" si="51"/>
        <v>0</v>
      </c>
    </row>
    <row r="267" spans="1:14" x14ac:dyDescent="0.25">
      <c r="A267" s="1368">
        <v>0.54</v>
      </c>
      <c r="B267">
        <v>72.3</v>
      </c>
      <c r="C267" s="1378">
        <f t="shared" si="50"/>
        <v>50.5</v>
      </c>
      <c r="D267" s="1378">
        <v>79.900000000000006</v>
      </c>
      <c r="E267" s="1378">
        <v>50.5</v>
      </c>
      <c r="F267">
        <v>79.900000000000006</v>
      </c>
      <c r="G267">
        <v>50.5</v>
      </c>
      <c r="H267">
        <v>71.260000000000005</v>
      </c>
      <c r="I267" s="1369">
        <v>51</v>
      </c>
      <c r="J267">
        <v>78.5</v>
      </c>
      <c r="K267">
        <v>60.081948057391614</v>
      </c>
      <c r="L267">
        <v>94.659097736147899</v>
      </c>
      <c r="M267">
        <v>95.403428551062945</v>
      </c>
      <c r="N267" s="13">
        <f t="shared" si="51"/>
        <v>0</v>
      </c>
    </row>
    <row r="268" spans="1:14" x14ac:dyDescent="0.25">
      <c r="A268" s="1368">
        <v>0.55000000000000004</v>
      </c>
      <c r="B268">
        <v>72.3</v>
      </c>
      <c r="C268" s="1378">
        <f t="shared" si="50"/>
        <v>51.2</v>
      </c>
      <c r="D268" s="1378">
        <v>80.290000000000006</v>
      </c>
      <c r="E268" s="1378">
        <v>51.2</v>
      </c>
      <c r="F268">
        <v>80.290000000000006</v>
      </c>
      <c r="G268">
        <v>51.2</v>
      </c>
      <c r="H268">
        <v>71.760000000000005</v>
      </c>
      <c r="I268" s="1369">
        <v>51.63</v>
      </c>
      <c r="J268">
        <v>78.5</v>
      </c>
      <c r="K268">
        <v>61.580724959794715</v>
      </c>
      <c r="L268">
        <v>95.308592188220828</v>
      </c>
      <c r="M268">
        <v>95.772316524523205</v>
      </c>
      <c r="N268" s="13">
        <f t="shared" si="51"/>
        <v>0</v>
      </c>
    </row>
    <row r="269" spans="1:14" x14ac:dyDescent="0.25">
      <c r="A269" s="1368">
        <v>0.56000000000000005</v>
      </c>
      <c r="B269">
        <v>73.2</v>
      </c>
      <c r="C269" s="1378">
        <f t="shared" si="50"/>
        <v>52.3</v>
      </c>
      <c r="D269" s="1378">
        <v>81.44</v>
      </c>
      <c r="E269" s="1378">
        <v>52.3</v>
      </c>
      <c r="F269">
        <v>81.44</v>
      </c>
      <c r="G269">
        <v>52.3</v>
      </c>
      <c r="H269">
        <v>72.260000000000005</v>
      </c>
      <c r="I269" s="1369">
        <v>52.6</v>
      </c>
      <c r="J269">
        <v>80.599999999999994</v>
      </c>
      <c r="K269">
        <v>62.583273676111475</v>
      </c>
      <c r="L269">
        <v>95.772316524523205</v>
      </c>
      <c r="M269">
        <v>96.012537989617741</v>
      </c>
      <c r="N269" s="13">
        <f t="shared" si="51"/>
        <v>0</v>
      </c>
    </row>
    <row r="270" spans="1:14" x14ac:dyDescent="0.25">
      <c r="A270" s="1368">
        <v>0.56999999999999995</v>
      </c>
      <c r="B270">
        <v>73.2</v>
      </c>
      <c r="C270" s="1378">
        <f t="shared" si="50"/>
        <v>52.3</v>
      </c>
      <c r="D270" s="1378">
        <v>82.31</v>
      </c>
      <c r="E270" s="1378">
        <v>52.3</v>
      </c>
      <c r="F270">
        <v>82.31</v>
      </c>
      <c r="G270">
        <v>52.3</v>
      </c>
      <c r="H270">
        <v>72.989999999999995</v>
      </c>
      <c r="I270" s="1369">
        <v>53.9</v>
      </c>
      <c r="J270">
        <v>80.599999999999994</v>
      </c>
      <c r="K270">
        <v>62.906719837857835</v>
      </c>
      <c r="L270">
        <v>96.012537989617741</v>
      </c>
      <c r="M270">
        <v>96.451044263396895</v>
      </c>
      <c r="N270" s="13">
        <f t="shared" si="51"/>
        <v>0</v>
      </c>
    </row>
    <row r="271" spans="1:14" x14ac:dyDescent="0.25">
      <c r="A271" s="1368">
        <v>0.57999999999999996</v>
      </c>
      <c r="B271">
        <v>74.599999999999994</v>
      </c>
      <c r="C271" s="1378">
        <f t="shared" si="50"/>
        <v>52.7</v>
      </c>
      <c r="D271" s="1378">
        <v>83.58</v>
      </c>
      <c r="E271" s="1378">
        <v>52.7</v>
      </c>
      <c r="F271">
        <v>83.58</v>
      </c>
      <c r="G271">
        <v>52.7</v>
      </c>
      <c r="H271">
        <v>73.62</v>
      </c>
      <c r="I271" s="1369">
        <v>54.78</v>
      </c>
      <c r="J271">
        <v>83</v>
      </c>
      <c r="K271">
        <v>63.833846235828574</v>
      </c>
      <c r="L271">
        <v>96.451044263396895</v>
      </c>
      <c r="M271">
        <v>97.41291555215895</v>
      </c>
      <c r="N271" s="13">
        <f t="shared" si="51"/>
        <v>0</v>
      </c>
    </row>
    <row r="272" spans="1:14" x14ac:dyDescent="0.25">
      <c r="A272" s="1368">
        <v>0.59</v>
      </c>
      <c r="B272">
        <v>74.599999999999994</v>
      </c>
      <c r="C272" s="1378">
        <f t="shared" si="50"/>
        <v>53.8</v>
      </c>
      <c r="D272" s="1378">
        <v>84.68</v>
      </c>
      <c r="E272" s="1378">
        <v>53.8</v>
      </c>
      <c r="F272">
        <v>84.68</v>
      </c>
      <c r="G272">
        <v>53.8</v>
      </c>
      <c r="H272">
        <v>74</v>
      </c>
      <c r="I272" s="1369">
        <v>55.08</v>
      </c>
      <c r="J272">
        <v>83</v>
      </c>
      <c r="K272">
        <v>64.193682944337752</v>
      </c>
      <c r="L272">
        <v>97.41291555215895</v>
      </c>
      <c r="M272">
        <v>98.507752953051266</v>
      </c>
      <c r="N272" s="13">
        <f t="shared" si="51"/>
        <v>0</v>
      </c>
    </row>
    <row r="273" spans="1:14" x14ac:dyDescent="0.25">
      <c r="A273" s="1368">
        <v>0.6</v>
      </c>
      <c r="B273">
        <v>75.900000000000006</v>
      </c>
      <c r="C273" s="1378">
        <f t="shared" si="50"/>
        <v>54.2</v>
      </c>
      <c r="D273" s="1378">
        <v>85.33</v>
      </c>
      <c r="E273" s="1378">
        <v>54.2</v>
      </c>
      <c r="F273">
        <v>85.33</v>
      </c>
      <c r="G273">
        <v>54.2</v>
      </c>
      <c r="H273">
        <v>74.8</v>
      </c>
      <c r="I273" s="1369">
        <v>55.63</v>
      </c>
      <c r="J273">
        <v>84.9</v>
      </c>
      <c r="K273">
        <v>65.059106005151136</v>
      </c>
      <c r="L273">
        <v>98.507752953051266</v>
      </c>
      <c r="M273">
        <v>98.614600513352613</v>
      </c>
      <c r="N273" s="13">
        <f t="shared" si="51"/>
        <v>0</v>
      </c>
    </row>
    <row r="274" spans="1:14" x14ac:dyDescent="0.25">
      <c r="A274" s="1368">
        <v>0.61</v>
      </c>
      <c r="B274">
        <v>75.900000000000006</v>
      </c>
      <c r="C274" s="1378">
        <f t="shared" si="50"/>
        <v>54.7</v>
      </c>
      <c r="D274" s="1378">
        <v>86.8</v>
      </c>
      <c r="E274" s="1378">
        <v>54.7</v>
      </c>
      <c r="F274">
        <v>86.8</v>
      </c>
      <c r="G274">
        <v>54.7</v>
      </c>
      <c r="H274">
        <v>75.87</v>
      </c>
      <c r="I274" s="1369">
        <v>56.46</v>
      </c>
      <c r="J274">
        <v>84.9</v>
      </c>
      <c r="K274">
        <v>65.543542261699258</v>
      </c>
      <c r="L274">
        <v>98.614600513352613</v>
      </c>
      <c r="M274">
        <v>99.542508140996347</v>
      </c>
      <c r="N274" s="13">
        <f t="shared" si="51"/>
        <v>0</v>
      </c>
    </row>
    <row r="275" spans="1:14" x14ac:dyDescent="0.25">
      <c r="A275" s="1368">
        <v>0.62</v>
      </c>
      <c r="B275">
        <v>78.3</v>
      </c>
      <c r="C275" s="1378">
        <f t="shared" si="50"/>
        <v>55.2</v>
      </c>
      <c r="D275" s="1378">
        <v>87.41</v>
      </c>
      <c r="E275" s="1378">
        <v>55.2</v>
      </c>
      <c r="F275">
        <v>87.41</v>
      </c>
      <c r="G275">
        <v>55.2</v>
      </c>
      <c r="H275">
        <v>76.319999999999993</v>
      </c>
      <c r="I275" s="1369">
        <v>57.63</v>
      </c>
      <c r="J275">
        <v>86.4</v>
      </c>
      <c r="K275">
        <v>66.399165139033059</v>
      </c>
      <c r="L275">
        <v>99.542508140996347</v>
      </c>
      <c r="M275">
        <v>99.640303454212841</v>
      </c>
      <c r="N275" s="13">
        <f t="shared" si="51"/>
        <v>0</v>
      </c>
    </row>
    <row r="276" spans="1:14" x14ac:dyDescent="0.25">
      <c r="A276" s="1368">
        <v>0.63</v>
      </c>
      <c r="B276">
        <v>78.3</v>
      </c>
      <c r="C276" s="1378">
        <f t="shared" si="50"/>
        <v>55.4</v>
      </c>
      <c r="D276" s="1378">
        <v>88.18</v>
      </c>
      <c r="E276" s="1378">
        <v>55.4</v>
      </c>
      <c r="F276">
        <v>88.18</v>
      </c>
      <c r="G276">
        <v>55.4</v>
      </c>
      <c r="H276">
        <v>77.14</v>
      </c>
      <c r="I276" s="1369">
        <v>58.09</v>
      </c>
      <c r="J276">
        <v>86.4</v>
      </c>
      <c r="K276">
        <v>66.971683928442104</v>
      </c>
      <c r="L276">
        <v>99.640303454212841</v>
      </c>
      <c r="M276">
        <v>99.828924465568093</v>
      </c>
      <c r="N276" s="13">
        <f t="shared" si="51"/>
        <v>0</v>
      </c>
    </row>
    <row r="277" spans="1:14" x14ac:dyDescent="0.25">
      <c r="A277" s="1368">
        <v>0.64</v>
      </c>
      <c r="B277">
        <v>79.900000000000006</v>
      </c>
      <c r="C277" s="1378">
        <f t="shared" si="50"/>
        <v>56</v>
      </c>
      <c r="D277" s="1378">
        <v>89.28</v>
      </c>
      <c r="E277" s="1378">
        <v>56</v>
      </c>
      <c r="F277">
        <v>89.28</v>
      </c>
      <c r="G277">
        <v>56</v>
      </c>
      <c r="H277">
        <v>77.87</v>
      </c>
      <c r="I277" s="1369">
        <v>58.58</v>
      </c>
      <c r="J277">
        <v>87.9</v>
      </c>
      <c r="K277">
        <v>67.459018690279379</v>
      </c>
      <c r="L277">
        <v>99.828924465568093</v>
      </c>
      <c r="M277">
        <v>100.06387991011478</v>
      </c>
      <c r="N277" s="13">
        <f t="shared" si="51"/>
        <v>0</v>
      </c>
    </row>
    <row r="278" spans="1:14" x14ac:dyDescent="0.25">
      <c r="A278" s="1368">
        <v>0.65</v>
      </c>
      <c r="B278">
        <v>79.900000000000006</v>
      </c>
      <c r="C278" s="1378">
        <f t="shared" ref="C278:C313" si="52">E278</f>
        <v>56</v>
      </c>
      <c r="D278" s="1378">
        <v>89.76</v>
      </c>
      <c r="E278" s="1378">
        <v>56</v>
      </c>
      <c r="F278">
        <v>89.76</v>
      </c>
      <c r="G278">
        <v>56</v>
      </c>
      <c r="H278">
        <v>79.08</v>
      </c>
      <c r="I278" s="1369">
        <v>59.69</v>
      </c>
      <c r="J278">
        <v>87.9</v>
      </c>
      <c r="K278">
        <v>67.865982578298983</v>
      </c>
      <c r="L278">
        <v>100.06387991011478</v>
      </c>
      <c r="M278">
        <v>100.47487710568379</v>
      </c>
      <c r="N278" s="13">
        <f t="shared" ref="N278:N313" si="53">$B$106*B278+$C$106*C278+$D$106*D278+$E$106*E278+$F$106*F278+$G$106*G278+$H$106*H278+$I$106*I278+$J$106*J278+$K$106*K278+$L$106*L278+$M$106*M278</f>
        <v>0</v>
      </c>
    </row>
    <row r="279" spans="1:14" x14ac:dyDescent="0.25">
      <c r="A279" s="1368">
        <v>0.66</v>
      </c>
      <c r="B279">
        <v>81.099999999999994</v>
      </c>
      <c r="C279" s="1378">
        <f t="shared" si="52"/>
        <v>56.3</v>
      </c>
      <c r="D279" s="1378">
        <v>90.28</v>
      </c>
      <c r="E279" s="1378">
        <v>56.3</v>
      </c>
      <c r="F279">
        <v>90.28</v>
      </c>
      <c r="G279">
        <v>56.3</v>
      </c>
      <c r="H279">
        <v>80.239999999999995</v>
      </c>
      <c r="I279" s="1369">
        <v>60.58</v>
      </c>
      <c r="J279">
        <v>89.6</v>
      </c>
      <c r="K279">
        <v>68.447798846750956</v>
      </c>
      <c r="L279">
        <v>100.47487710568379</v>
      </c>
      <c r="M279">
        <v>100.7955063527653</v>
      </c>
      <c r="N279" s="13">
        <f t="shared" si="53"/>
        <v>0</v>
      </c>
    </row>
    <row r="280" spans="1:14" x14ac:dyDescent="0.25">
      <c r="A280" s="1368">
        <v>0.67</v>
      </c>
      <c r="B280">
        <v>81.099999999999994</v>
      </c>
      <c r="C280" s="1378">
        <f t="shared" si="52"/>
        <v>57.45</v>
      </c>
      <c r="D280" s="1378">
        <v>90.82</v>
      </c>
      <c r="E280" s="1378">
        <v>57.45</v>
      </c>
      <c r="F280">
        <v>90.82</v>
      </c>
      <c r="G280">
        <v>57.45</v>
      </c>
      <c r="H280">
        <v>81.06</v>
      </c>
      <c r="I280" s="1369">
        <v>61.1</v>
      </c>
      <c r="J280">
        <v>89.6</v>
      </c>
      <c r="K280">
        <v>69.104643052004306</v>
      </c>
      <c r="L280">
        <v>102.44837696862514</v>
      </c>
      <c r="M280">
        <v>102.91336810517291</v>
      </c>
      <c r="N280" s="13">
        <f t="shared" si="53"/>
        <v>0</v>
      </c>
    </row>
    <row r="281" spans="1:14" x14ac:dyDescent="0.25">
      <c r="A281" s="1368">
        <v>0.68</v>
      </c>
      <c r="B281">
        <v>82.4</v>
      </c>
      <c r="C281" s="1378">
        <f t="shared" si="52"/>
        <v>58.2</v>
      </c>
      <c r="D281" s="1378">
        <v>91.79</v>
      </c>
      <c r="E281" s="1378">
        <v>58.2</v>
      </c>
      <c r="F281">
        <v>91.79</v>
      </c>
      <c r="G281">
        <v>58.2</v>
      </c>
      <c r="H281">
        <v>82.02</v>
      </c>
      <c r="I281" s="1369">
        <v>61.54</v>
      </c>
      <c r="J281">
        <v>91.3</v>
      </c>
      <c r="K281">
        <v>70.110246424683751</v>
      </c>
      <c r="L281">
        <v>102.91336810517291</v>
      </c>
      <c r="M281">
        <v>103.31981143954418</v>
      </c>
      <c r="N281" s="13">
        <f t="shared" si="53"/>
        <v>0</v>
      </c>
    </row>
    <row r="282" spans="1:14" x14ac:dyDescent="0.25">
      <c r="A282" s="1368">
        <v>0.69</v>
      </c>
      <c r="B282">
        <v>82.4</v>
      </c>
      <c r="C282" s="1378">
        <f t="shared" si="52"/>
        <v>58.4</v>
      </c>
      <c r="D282" s="1378">
        <v>92.34</v>
      </c>
      <c r="E282" s="1378">
        <v>58.4</v>
      </c>
      <c r="F282">
        <v>92.34</v>
      </c>
      <c r="G282">
        <v>58.4</v>
      </c>
      <c r="H282">
        <v>83.17</v>
      </c>
      <c r="I282" s="1369">
        <v>61.93</v>
      </c>
      <c r="J282">
        <v>91.3</v>
      </c>
      <c r="K282">
        <v>70.382211227616452</v>
      </c>
      <c r="L282">
        <v>103.31981143954418</v>
      </c>
      <c r="M282">
        <v>103.37731181826378</v>
      </c>
      <c r="N282" s="13">
        <f t="shared" si="53"/>
        <v>0</v>
      </c>
    </row>
    <row r="283" spans="1:14" x14ac:dyDescent="0.25">
      <c r="A283" s="1368">
        <v>0.7</v>
      </c>
      <c r="B283">
        <v>84.5</v>
      </c>
      <c r="C283" s="1378">
        <f t="shared" si="52"/>
        <v>58.8</v>
      </c>
      <c r="D283" s="1378">
        <v>93.47</v>
      </c>
      <c r="E283" s="1378">
        <v>58.8</v>
      </c>
      <c r="F283">
        <v>93.47</v>
      </c>
      <c r="G283">
        <v>58.8</v>
      </c>
      <c r="H283">
        <v>84.4</v>
      </c>
      <c r="I283" s="1369">
        <v>62.5</v>
      </c>
      <c r="J283">
        <v>92.7</v>
      </c>
      <c r="K283">
        <v>70.793464331482284</v>
      </c>
      <c r="L283">
        <v>103.37731181826378</v>
      </c>
      <c r="M283">
        <v>103.75114247241677</v>
      </c>
      <c r="N283" s="13">
        <f t="shared" si="53"/>
        <v>0</v>
      </c>
    </row>
    <row r="284" spans="1:14" x14ac:dyDescent="0.25">
      <c r="A284" s="1368">
        <v>0.71</v>
      </c>
      <c r="B284">
        <v>84.5</v>
      </c>
      <c r="C284" s="1378">
        <f t="shared" si="52"/>
        <v>59</v>
      </c>
      <c r="D284" s="1378">
        <v>94.31</v>
      </c>
      <c r="E284" s="1378">
        <v>59</v>
      </c>
      <c r="F284">
        <v>94.31</v>
      </c>
      <c r="G284">
        <v>59</v>
      </c>
      <c r="H284">
        <v>84.87</v>
      </c>
      <c r="I284" s="1369">
        <v>63.03</v>
      </c>
      <c r="J284">
        <v>92.7</v>
      </c>
      <c r="K284">
        <v>71.137118948805636</v>
      </c>
      <c r="L284">
        <v>103.75114247241677</v>
      </c>
      <c r="M284">
        <v>105.51207226664488</v>
      </c>
      <c r="N284" s="13">
        <f t="shared" si="53"/>
        <v>0</v>
      </c>
    </row>
    <row r="285" spans="1:14" x14ac:dyDescent="0.25">
      <c r="A285" s="1368">
        <v>0.72</v>
      </c>
      <c r="B285">
        <v>87</v>
      </c>
      <c r="C285" s="1378">
        <f t="shared" si="52"/>
        <v>59</v>
      </c>
      <c r="D285" s="1378">
        <v>95.45</v>
      </c>
      <c r="E285" s="1378">
        <v>59</v>
      </c>
      <c r="F285">
        <v>95.45</v>
      </c>
      <c r="G285">
        <v>59</v>
      </c>
      <c r="H285">
        <v>85.97</v>
      </c>
      <c r="I285" s="1369">
        <v>63.48</v>
      </c>
      <c r="J285">
        <v>94</v>
      </c>
      <c r="K285">
        <v>71.914845272359983</v>
      </c>
      <c r="L285">
        <v>105.32544797687862</v>
      </c>
      <c r="M285">
        <v>105.70844152800562</v>
      </c>
      <c r="N285" s="13">
        <f t="shared" si="53"/>
        <v>0</v>
      </c>
    </row>
    <row r="286" spans="1:14" x14ac:dyDescent="0.25">
      <c r="A286" s="1368">
        <v>0.73</v>
      </c>
      <c r="B286">
        <v>87</v>
      </c>
      <c r="C286" s="1378">
        <f t="shared" si="52"/>
        <v>59.7</v>
      </c>
      <c r="D286" s="1378">
        <v>96.45</v>
      </c>
      <c r="E286" s="1378">
        <v>59.7</v>
      </c>
      <c r="F286">
        <v>96.45</v>
      </c>
      <c r="G286">
        <v>59.7</v>
      </c>
      <c r="H286">
        <v>86.93</v>
      </c>
      <c r="I286" s="1369">
        <v>64.2</v>
      </c>
      <c r="J286">
        <v>94</v>
      </c>
      <c r="K286">
        <v>73.593136296276981</v>
      </c>
      <c r="L286">
        <v>105.55570106761566</v>
      </c>
      <c r="M286">
        <v>107.45330748468362</v>
      </c>
      <c r="N286" s="13">
        <f t="shared" si="53"/>
        <v>0</v>
      </c>
    </row>
    <row r="287" spans="1:14" x14ac:dyDescent="0.25">
      <c r="A287" s="1368">
        <v>0.74</v>
      </c>
      <c r="B287">
        <v>89.4</v>
      </c>
      <c r="C287" s="1378">
        <f t="shared" si="52"/>
        <v>61.4</v>
      </c>
      <c r="D287" s="1378">
        <v>97.7</v>
      </c>
      <c r="E287" s="1378">
        <v>61.4</v>
      </c>
      <c r="F287">
        <v>97.7</v>
      </c>
      <c r="G287">
        <v>61.4</v>
      </c>
      <c r="H287">
        <v>88.26</v>
      </c>
      <c r="I287" s="1369">
        <v>64.739999999999995</v>
      </c>
      <c r="J287">
        <v>95.7</v>
      </c>
      <c r="K287">
        <v>74.167187295700657</v>
      </c>
      <c r="L287">
        <v>106.47773148449537</v>
      </c>
      <c r="M287">
        <v>107.56863957441563</v>
      </c>
      <c r="N287" s="13">
        <f t="shared" si="53"/>
        <v>0</v>
      </c>
    </row>
    <row r="288" spans="1:14" x14ac:dyDescent="0.25">
      <c r="A288" s="1368">
        <v>0.75</v>
      </c>
      <c r="B288">
        <v>89.4</v>
      </c>
      <c r="C288" s="1378">
        <f t="shared" si="52"/>
        <v>62.3</v>
      </c>
      <c r="D288" s="1378">
        <v>98.6</v>
      </c>
      <c r="E288" s="1378">
        <v>62.3</v>
      </c>
      <c r="F288">
        <v>98.6</v>
      </c>
      <c r="G288">
        <v>62.3</v>
      </c>
      <c r="H288">
        <v>90.49</v>
      </c>
      <c r="I288" s="1369">
        <v>65.260000000000005</v>
      </c>
      <c r="J288">
        <v>95.7</v>
      </c>
      <c r="K288">
        <v>75.904157232134779</v>
      </c>
      <c r="L288">
        <v>107.5263028969043</v>
      </c>
      <c r="M288">
        <v>108.99494412303713</v>
      </c>
      <c r="N288" s="13">
        <f t="shared" si="53"/>
        <v>0</v>
      </c>
    </row>
    <row r="289" spans="1:14" x14ac:dyDescent="0.25">
      <c r="A289" s="1368">
        <v>0.76</v>
      </c>
      <c r="B289">
        <v>92.2</v>
      </c>
      <c r="C289" s="1378">
        <f t="shared" si="52"/>
        <v>63.2</v>
      </c>
      <c r="D289" s="1378">
        <v>99.28</v>
      </c>
      <c r="E289" s="1378">
        <v>63.2</v>
      </c>
      <c r="F289">
        <v>99.28</v>
      </c>
      <c r="G289">
        <v>63.2</v>
      </c>
      <c r="H289">
        <v>91.99</v>
      </c>
      <c r="I289" s="1369">
        <v>66.319999999999993</v>
      </c>
      <c r="J289">
        <v>97.4</v>
      </c>
      <c r="K289">
        <v>77.723710899967969</v>
      </c>
      <c r="L289">
        <v>107.77711720824378</v>
      </c>
      <c r="M289">
        <v>109.19202100130748</v>
      </c>
      <c r="N289" s="13">
        <f t="shared" si="53"/>
        <v>0</v>
      </c>
    </row>
    <row r="290" spans="1:14" x14ac:dyDescent="0.25">
      <c r="A290" s="1368">
        <v>0.77</v>
      </c>
      <c r="B290">
        <v>92.2</v>
      </c>
      <c r="C290" s="1378">
        <f t="shared" si="52"/>
        <v>63.9</v>
      </c>
      <c r="D290" s="1378">
        <v>99.79</v>
      </c>
      <c r="E290" s="1378">
        <v>63.9</v>
      </c>
      <c r="F290">
        <v>99.79</v>
      </c>
      <c r="G290">
        <v>63.9</v>
      </c>
      <c r="H290">
        <v>93.35</v>
      </c>
      <c r="I290" s="1369">
        <v>66.98</v>
      </c>
      <c r="J290">
        <v>97.4</v>
      </c>
      <c r="K290">
        <v>79.378564037517933</v>
      </c>
      <c r="L290">
        <v>109.1118536243726</v>
      </c>
      <c r="M290">
        <v>110.36270743395779</v>
      </c>
      <c r="N290" s="13">
        <f t="shared" si="53"/>
        <v>0</v>
      </c>
    </row>
    <row r="291" spans="1:14" x14ac:dyDescent="0.25">
      <c r="A291" s="1368">
        <v>0.78</v>
      </c>
      <c r="B291">
        <v>95.3</v>
      </c>
      <c r="C291" s="1378">
        <f t="shared" si="52"/>
        <v>64.3</v>
      </c>
      <c r="D291" s="1378">
        <v>100.66</v>
      </c>
      <c r="E291" s="1378">
        <v>64.3</v>
      </c>
      <c r="F291">
        <v>100.66</v>
      </c>
      <c r="G291">
        <v>64.3</v>
      </c>
      <c r="H291">
        <v>94.29</v>
      </c>
      <c r="I291" s="1369">
        <v>67.97</v>
      </c>
      <c r="J291">
        <v>99.2</v>
      </c>
      <c r="K291">
        <v>80.575966351209246</v>
      </c>
      <c r="L291">
        <v>110.36270743395779</v>
      </c>
      <c r="M291">
        <v>110.72664954509442</v>
      </c>
      <c r="N291" s="13">
        <f t="shared" si="53"/>
        <v>0</v>
      </c>
    </row>
    <row r="292" spans="1:14" x14ac:dyDescent="0.25">
      <c r="A292" s="1368">
        <v>0.79</v>
      </c>
      <c r="B292">
        <v>95.3</v>
      </c>
      <c r="C292" s="1378">
        <f t="shared" si="52"/>
        <v>64.7</v>
      </c>
      <c r="D292" s="1378">
        <v>101.62</v>
      </c>
      <c r="E292" s="1378">
        <v>64.7</v>
      </c>
      <c r="F292">
        <v>101.62</v>
      </c>
      <c r="G292">
        <v>64.7</v>
      </c>
      <c r="H292">
        <v>95.57</v>
      </c>
      <c r="I292" s="1369">
        <v>68.67</v>
      </c>
      <c r="J292">
        <v>99.2</v>
      </c>
      <c r="K292">
        <v>81.045429550603146</v>
      </c>
      <c r="L292">
        <v>110.72664954509442</v>
      </c>
      <c r="M292">
        <v>111.31754368172466</v>
      </c>
      <c r="N292" s="13">
        <f t="shared" si="53"/>
        <v>0</v>
      </c>
    </row>
    <row r="293" spans="1:14" x14ac:dyDescent="0.25">
      <c r="A293" s="1368">
        <v>0.8</v>
      </c>
      <c r="B293">
        <v>97.2</v>
      </c>
      <c r="C293" s="1378">
        <f t="shared" si="52"/>
        <v>66.5</v>
      </c>
      <c r="D293" s="1378">
        <v>103.15</v>
      </c>
      <c r="E293" s="1378">
        <v>66.5</v>
      </c>
      <c r="F293">
        <v>103.15</v>
      </c>
      <c r="G293">
        <v>66.5</v>
      </c>
      <c r="H293">
        <v>96.99</v>
      </c>
      <c r="I293" s="1369">
        <v>69.459999999999994</v>
      </c>
      <c r="J293">
        <v>101.4</v>
      </c>
      <c r="K293">
        <v>83.702644810714517</v>
      </c>
      <c r="L293">
        <v>111.31754368172466</v>
      </c>
      <c r="M293">
        <v>112.84494821092279</v>
      </c>
      <c r="N293" s="13">
        <f t="shared" si="53"/>
        <v>0</v>
      </c>
    </row>
    <row r="294" spans="1:14" x14ac:dyDescent="0.25">
      <c r="A294" s="1368">
        <v>0.81</v>
      </c>
      <c r="B294">
        <v>97.2</v>
      </c>
      <c r="C294" s="1378">
        <f t="shared" si="52"/>
        <v>67</v>
      </c>
      <c r="D294" s="1378">
        <v>104.11</v>
      </c>
      <c r="E294" s="1378">
        <v>67</v>
      </c>
      <c r="F294">
        <v>104.11</v>
      </c>
      <c r="G294">
        <v>67</v>
      </c>
      <c r="H294">
        <v>97.92</v>
      </c>
      <c r="I294" s="1369">
        <v>71.38</v>
      </c>
      <c r="J294">
        <v>101.4</v>
      </c>
      <c r="K294">
        <v>84.170371450594757</v>
      </c>
      <c r="L294">
        <v>112.84494821092279</v>
      </c>
      <c r="M294">
        <v>113.14760698623925</v>
      </c>
      <c r="N294" s="13">
        <f t="shared" si="53"/>
        <v>0</v>
      </c>
    </row>
    <row r="295" spans="1:14" x14ac:dyDescent="0.25">
      <c r="A295" s="1368">
        <v>0.82</v>
      </c>
      <c r="B295">
        <v>98</v>
      </c>
      <c r="C295" s="1378">
        <f t="shared" si="52"/>
        <v>67.8</v>
      </c>
      <c r="D295" s="1378">
        <v>104.89</v>
      </c>
      <c r="E295" s="1378">
        <v>67.8</v>
      </c>
      <c r="F295">
        <v>104.89</v>
      </c>
      <c r="G295">
        <v>67.8</v>
      </c>
      <c r="H295">
        <v>99.36</v>
      </c>
      <c r="I295" s="1369">
        <v>73.349999999999994</v>
      </c>
      <c r="J295">
        <v>102.8</v>
      </c>
      <c r="K295">
        <v>85.104457050243099</v>
      </c>
      <c r="L295">
        <v>113.14760698623925</v>
      </c>
      <c r="M295">
        <v>113.88050526048525</v>
      </c>
      <c r="N295" s="13">
        <f t="shared" si="53"/>
        <v>0</v>
      </c>
    </row>
    <row r="296" spans="1:14" x14ac:dyDescent="0.25">
      <c r="A296" s="1368">
        <v>0.83</v>
      </c>
      <c r="B296">
        <v>98</v>
      </c>
      <c r="C296" s="1378">
        <f t="shared" si="52"/>
        <v>70.7</v>
      </c>
      <c r="D296" s="1378">
        <v>106.81</v>
      </c>
      <c r="E296" s="1378">
        <v>70.7</v>
      </c>
      <c r="F296">
        <v>106.81</v>
      </c>
      <c r="G296">
        <v>70.7</v>
      </c>
      <c r="H296">
        <v>99.85</v>
      </c>
      <c r="I296" s="1369">
        <v>74.209999999999994</v>
      </c>
      <c r="J296">
        <v>102.8</v>
      </c>
      <c r="K296">
        <v>85.600769890777528</v>
      </c>
      <c r="L296">
        <v>113.88050526048525</v>
      </c>
      <c r="M296">
        <v>114.40831291879816</v>
      </c>
      <c r="N296" s="13">
        <f t="shared" si="53"/>
        <v>0</v>
      </c>
    </row>
    <row r="297" spans="1:14" x14ac:dyDescent="0.25">
      <c r="A297" s="1368">
        <v>0.84</v>
      </c>
      <c r="B297">
        <v>100.2</v>
      </c>
      <c r="C297" s="1378">
        <f t="shared" si="52"/>
        <v>71.099999999999994</v>
      </c>
      <c r="D297" s="1378">
        <v>107.89</v>
      </c>
      <c r="E297" s="1378">
        <v>71.099999999999994</v>
      </c>
      <c r="F297">
        <v>107.89</v>
      </c>
      <c r="G297">
        <v>71.099999999999994</v>
      </c>
      <c r="H297">
        <v>100.78</v>
      </c>
      <c r="I297" s="1369">
        <v>74.95</v>
      </c>
      <c r="J297">
        <v>104.2</v>
      </c>
      <c r="K297">
        <v>87.381649246697719</v>
      </c>
      <c r="L297">
        <v>114.40831291879816</v>
      </c>
      <c r="M297">
        <v>114.9209486166008</v>
      </c>
      <c r="N297" s="13">
        <f t="shared" si="53"/>
        <v>0</v>
      </c>
    </row>
    <row r="298" spans="1:14" x14ac:dyDescent="0.25">
      <c r="A298" s="1368">
        <v>0.85</v>
      </c>
      <c r="B298">
        <v>100.2</v>
      </c>
      <c r="C298" s="1378">
        <f t="shared" si="52"/>
        <v>72.5</v>
      </c>
      <c r="D298" s="1378">
        <v>109.03</v>
      </c>
      <c r="E298" s="1378">
        <v>72.5</v>
      </c>
      <c r="F298">
        <v>109.03</v>
      </c>
      <c r="G298">
        <v>72.5</v>
      </c>
      <c r="H298">
        <v>102.72</v>
      </c>
      <c r="I298" s="1369">
        <v>76.569999999999993</v>
      </c>
      <c r="J298">
        <v>104.2</v>
      </c>
      <c r="K298">
        <v>89.43742461569849</v>
      </c>
      <c r="L298">
        <v>114.9209486166008</v>
      </c>
      <c r="M298">
        <v>116.93676790415503</v>
      </c>
      <c r="N298" s="13">
        <f t="shared" si="53"/>
        <v>0</v>
      </c>
    </row>
    <row r="299" spans="1:14" x14ac:dyDescent="0.25">
      <c r="A299" s="1368">
        <v>0.86</v>
      </c>
      <c r="B299">
        <v>106.7</v>
      </c>
      <c r="C299" s="1378">
        <f t="shared" si="52"/>
        <v>74.2</v>
      </c>
      <c r="D299" s="1378">
        <v>110.59</v>
      </c>
      <c r="E299" s="1378">
        <v>74.2</v>
      </c>
      <c r="F299">
        <v>110.59</v>
      </c>
      <c r="G299">
        <v>74.2</v>
      </c>
      <c r="H299">
        <v>105.2</v>
      </c>
      <c r="I299" s="1369">
        <v>78.87</v>
      </c>
      <c r="J299">
        <v>105.7</v>
      </c>
      <c r="K299">
        <v>92.046980796931763</v>
      </c>
      <c r="L299">
        <v>116.93676790415503</v>
      </c>
      <c r="M299">
        <v>117.2304312094326</v>
      </c>
      <c r="N299" s="13">
        <f t="shared" si="53"/>
        <v>0</v>
      </c>
    </row>
    <row r="300" spans="1:14" x14ac:dyDescent="0.25">
      <c r="A300" s="1368">
        <v>0.87</v>
      </c>
      <c r="B300">
        <v>106.7</v>
      </c>
      <c r="C300" s="1378">
        <f t="shared" si="52"/>
        <v>74.3</v>
      </c>
      <c r="D300" s="1378">
        <v>111.79</v>
      </c>
      <c r="E300" s="1378">
        <v>74.3</v>
      </c>
      <c r="F300">
        <v>111.79</v>
      </c>
      <c r="G300">
        <v>74.3</v>
      </c>
      <c r="H300">
        <v>108</v>
      </c>
      <c r="I300" s="1369">
        <v>81.87</v>
      </c>
      <c r="J300">
        <v>105.7</v>
      </c>
      <c r="K300">
        <v>93.1875631297425</v>
      </c>
      <c r="L300">
        <v>117.2304312094326</v>
      </c>
      <c r="M300">
        <v>117.66968048587273</v>
      </c>
      <c r="N300" s="13">
        <f t="shared" si="53"/>
        <v>0</v>
      </c>
    </row>
    <row r="301" spans="1:14" x14ac:dyDescent="0.25">
      <c r="A301" s="1368">
        <v>0.88</v>
      </c>
      <c r="B301">
        <v>113.7</v>
      </c>
      <c r="C301" s="1378">
        <f t="shared" si="52"/>
        <v>77.400000000000006</v>
      </c>
      <c r="D301" s="1378">
        <v>113.71</v>
      </c>
      <c r="E301" s="1378">
        <v>77.400000000000006</v>
      </c>
      <c r="F301">
        <v>113.71</v>
      </c>
      <c r="G301">
        <v>77.400000000000006</v>
      </c>
      <c r="H301">
        <v>110.04</v>
      </c>
      <c r="I301" s="1369">
        <v>83.62</v>
      </c>
      <c r="J301">
        <v>107.7</v>
      </c>
      <c r="K301">
        <v>94.128153849576222</v>
      </c>
      <c r="L301">
        <v>117.66968048587273</v>
      </c>
      <c r="M301">
        <v>122.12375088014801</v>
      </c>
      <c r="N301" s="13">
        <f t="shared" si="53"/>
        <v>0</v>
      </c>
    </row>
    <row r="302" spans="1:14" x14ac:dyDescent="0.25">
      <c r="A302" s="1368">
        <v>0.89</v>
      </c>
      <c r="B302">
        <v>113.7</v>
      </c>
      <c r="C302" s="1378">
        <f t="shared" si="52"/>
        <v>86</v>
      </c>
      <c r="D302" s="1378">
        <v>115.95</v>
      </c>
      <c r="E302" s="1378">
        <v>86</v>
      </c>
      <c r="F302">
        <v>115.95</v>
      </c>
      <c r="G302">
        <v>86</v>
      </c>
      <c r="H302">
        <v>111.88</v>
      </c>
      <c r="I302" s="1369">
        <v>86.35</v>
      </c>
      <c r="J302">
        <v>107.7</v>
      </c>
      <c r="K302">
        <v>96.736816870144295</v>
      </c>
      <c r="L302">
        <v>122.66958265980897</v>
      </c>
      <c r="M302">
        <v>122.98617489813704</v>
      </c>
      <c r="N302" s="13">
        <f t="shared" si="53"/>
        <v>0</v>
      </c>
    </row>
    <row r="303" spans="1:14" x14ac:dyDescent="0.25">
      <c r="A303" s="1368">
        <v>0.9</v>
      </c>
      <c r="B303">
        <v>124.2</v>
      </c>
      <c r="C303" s="1378">
        <f t="shared" si="52"/>
        <v>89.1</v>
      </c>
      <c r="D303" s="1378">
        <v>117.64</v>
      </c>
      <c r="E303" s="1378">
        <v>89.1</v>
      </c>
      <c r="F303">
        <v>117.64</v>
      </c>
      <c r="G303">
        <v>89.1</v>
      </c>
      <c r="H303">
        <v>115.16</v>
      </c>
      <c r="I303" s="1369">
        <v>90.22</v>
      </c>
      <c r="J303">
        <v>109.6</v>
      </c>
      <c r="K303">
        <v>99.470000370961174</v>
      </c>
      <c r="L303">
        <v>123.90755647698028</v>
      </c>
      <c r="M303">
        <v>126.64676194154757</v>
      </c>
      <c r="N303" s="13">
        <f t="shared" si="53"/>
        <v>0</v>
      </c>
    </row>
    <row r="304" spans="1:14" x14ac:dyDescent="0.25">
      <c r="A304" s="1368">
        <v>0.91</v>
      </c>
      <c r="B304">
        <v>124.2</v>
      </c>
      <c r="C304" s="1378">
        <f t="shared" si="52"/>
        <v>91.3</v>
      </c>
      <c r="D304" s="1378">
        <v>118.82</v>
      </c>
      <c r="E304" s="1378">
        <v>91.3</v>
      </c>
      <c r="F304">
        <v>118.82</v>
      </c>
      <c r="G304">
        <v>91.3</v>
      </c>
      <c r="H304">
        <v>119.87</v>
      </c>
      <c r="I304" s="1369">
        <v>96.1</v>
      </c>
      <c r="J304">
        <v>109.6</v>
      </c>
      <c r="K304">
        <v>102.58010922895046</v>
      </c>
      <c r="L304">
        <v>127.91761563661967</v>
      </c>
      <c r="M304">
        <v>128.53185564778059</v>
      </c>
      <c r="N304" s="13">
        <f t="shared" si="53"/>
        <v>0</v>
      </c>
    </row>
    <row r="305" spans="1:14" x14ac:dyDescent="0.25">
      <c r="A305" s="1368">
        <v>0.92</v>
      </c>
      <c r="B305">
        <v>131.80000000000001</v>
      </c>
      <c r="C305" s="1378">
        <f t="shared" si="52"/>
        <v>95.1</v>
      </c>
      <c r="D305" s="1378">
        <v>120.76</v>
      </c>
      <c r="E305" s="1378">
        <v>95.1</v>
      </c>
      <c r="F305">
        <v>120.76</v>
      </c>
      <c r="G305">
        <v>95.1</v>
      </c>
      <c r="H305">
        <v>123.51</v>
      </c>
      <c r="I305" s="1369">
        <v>104.74</v>
      </c>
      <c r="J305">
        <v>113</v>
      </c>
      <c r="K305">
        <v>104.71783397706164</v>
      </c>
      <c r="L305">
        <v>131.45131262305839</v>
      </c>
      <c r="M305">
        <v>131.94241568500888</v>
      </c>
      <c r="N305" s="13">
        <f t="shared" si="53"/>
        <v>0</v>
      </c>
    </row>
    <row r="306" spans="1:14" x14ac:dyDescent="0.25">
      <c r="A306" s="1368">
        <v>0.93</v>
      </c>
      <c r="B306">
        <v>131.80000000000001</v>
      </c>
      <c r="C306" s="1378">
        <f t="shared" si="52"/>
        <v>105.4</v>
      </c>
      <c r="D306" s="1378">
        <v>123.68</v>
      </c>
      <c r="E306" s="1378">
        <v>105.4</v>
      </c>
      <c r="F306">
        <v>123.68</v>
      </c>
      <c r="G306">
        <v>105.4</v>
      </c>
      <c r="H306">
        <v>126.76</v>
      </c>
      <c r="I306" s="1369">
        <v>110.22</v>
      </c>
      <c r="J306">
        <v>113</v>
      </c>
      <c r="K306">
        <v>108.01434664056491</v>
      </c>
      <c r="L306">
        <v>133.63030100678037</v>
      </c>
      <c r="M306">
        <v>133.64339193492279</v>
      </c>
      <c r="N306" s="13">
        <f t="shared" si="53"/>
        <v>0</v>
      </c>
    </row>
    <row r="307" spans="1:14" x14ac:dyDescent="0.25">
      <c r="A307" s="1368">
        <v>0.94</v>
      </c>
      <c r="B307">
        <v>138.19999999999999</v>
      </c>
      <c r="C307" s="1378">
        <f t="shared" si="52"/>
        <v>106.3</v>
      </c>
      <c r="D307" s="1378">
        <v>127.3</v>
      </c>
      <c r="E307" s="1378">
        <v>106.3</v>
      </c>
      <c r="F307">
        <v>127.3</v>
      </c>
      <c r="G307">
        <v>106.3</v>
      </c>
      <c r="H307">
        <v>130.81</v>
      </c>
      <c r="I307" s="1369">
        <v>113.52</v>
      </c>
      <c r="J307">
        <v>117.8</v>
      </c>
      <c r="K307">
        <v>112.16248038802799</v>
      </c>
      <c r="L307">
        <v>133.81024472126512</v>
      </c>
      <c r="M307">
        <v>134.85030934099322</v>
      </c>
      <c r="N307" s="13">
        <f t="shared" si="53"/>
        <v>0</v>
      </c>
    </row>
    <row r="308" spans="1:14" x14ac:dyDescent="0.25">
      <c r="A308" s="1368">
        <v>0.95</v>
      </c>
      <c r="B308">
        <v>142</v>
      </c>
      <c r="C308" s="1378">
        <f t="shared" si="52"/>
        <v>147.30000000000001</v>
      </c>
      <c r="D308" s="1378">
        <v>132.15</v>
      </c>
      <c r="E308" s="1378">
        <v>147.30000000000001</v>
      </c>
      <c r="F308">
        <v>132.15</v>
      </c>
      <c r="G308">
        <v>147.30000000000001</v>
      </c>
      <c r="H308">
        <v>137.57</v>
      </c>
      <c r="I308" s="1369">
        <v>122.4</v>
      </c>
      <c r="J308">
        <v>124.3</v>
      </c>
      <c r="K308">
        <v>120.91545666198661</v>
      </c>
      <c r="L308">
        <v>139.45064148537733</v>
      </c>
      <c r="M308">
        <v>140.93350131836351</v>
      </c>
      <c r="N308" s="13">
        <f t="shared" si="53"/>
        <v>0</v>
      </c>
    </row>
    <row r="309" spans="1:14" x14ac:dyDescent="0.25">
      <c r="A309" s="1368">
        <v>0.96</v>
      </c>
      <c r="B309">
        <v>149.9</v>
      </c>
      <c r="C309" s="1378">
        <f t="shared" si="52"/>
        <v>179.6</v>
      </c>
      <c r="D309" s="1378">
        <v>140.19</v>
      </c>
      <c r="E309" s="1378">
        <v>179.6</v>
      </c>
      <c r="F309">
        <v>140.19</v>
      </c>
      <c r="G309">
        <v>179.6</v>
      </c>
      <c r="H309">
        <v>141.94</v>
      </c>
      <c r="I309" s="1369">
        <v>135.6</v>
      </c>
      <c r="J309">
        <v>124.3</v>
      </c>
      <c r="K309">
        <v>126.15288201160541</v>
      </c>
      <c r="L309">
        <v>141.66891637958034</v>
      </c>
      <c r="M309">
        <v>142.45973761912339</v>
      </c>
      <c r="N309" s="13">
        <f t="shared" si="53"/>
        <v>0</v>
      </c>
    </row>
    <row r="310" spans="1:14" x14ac:dyDescent="0.25">
      <c r="A310" s="1368">
        <v>0.97</v>
      </c>
      <c r="B310">
        <v>158.69999999999999</v>
      </c>
      <c r="C310" s="1378">
        <f t="shared" si="52"/>
        <v>192</v>
      </c>
      <c r="D310" s="1378">
        <v>145.26</v>
      </c>
      <c r="E310" s="1378">
        <v>192</v>
      </c>
      <c r="F310">
        <v>145.26</v>
      </c>
      <c r="G310">
        <v>192</v>
      </c>
      <c r="H310">
        <v>153.62</v>
      </c>
      <c r="I310" s="1369">
        <v>143.68</v>
      </c>
      <c r="J310">
        <v>140.9</v>
      </c>
      <c r="K310">
        <v>133.46637312057405</v>
      </c>
      <c r="L310">
        <v>147.50499506878862</v>
      </c>
      <c r="M310">
        <v>148.10401095206072</v>
      </c>
      <c r="N310" s="13">
        <f t="shared" si="53"/>
        <v>0</v>
      </c>
    </row>
    <row r="311" spans="1:14" x14ac:dyDescent="0.25">
      <c r="A311" s="1368">
        <v>0.98</v>
      </c>
      <c r="B311">
        <v>170.7</v>
      </c>
      <c r="C311" s="1378">
        <f t="shared" si="52"/>
        <v>206.8</v>
      </c>
      <c r="D311" s="1378">
        <v>155.91999999999999</v>
      </c>
      <c r="E311" s="1378">
        <v>206.8</v>
      </c>
      <c r="F311">
        <v>155.91999999999999</v>
      </c>
      <c r="G311">
        <v>206.8</v>
      </c>
      <c r="H311">
        <v>169.56</v>
      </c>
      <c r="I311" s="1369">
        <v>154.21</v>
      </c>
      <c r="J311">
        <v>140.9</v>
      </c>
      <c r="K311">
        <v>156.27196427833135</v>
      </c>
      <c r="L311">
        <v>169.55779052225031</v>
      </c>
      <c r="M311">
        <v>180.92197167483283</v>
      </c>
      <c r="N311" s="13">
        <f t="shared" si="53"/>
        <v>0</v>
      </c>
    </row>
    <row r="312" spans="1:14" x14ac:dyDescent="0.25">
      <c r="A312" s="1368">
        <v>0.99</v>
      </c>
      <c r="B312">
        <v>186.1</v>
      </c>
      <c r="C312" s="1378">
        <f t="shared" si="52"/>
        <v>216.5</v>
      </c>
      <c r="D312" s="1378">
        <v>175.85</v>
      </c>
      <c r="E312" s="1378">
        <v>216.5</v>
      </c>
      <c r="F312">
        <v>175.85</v>
      </c>
      <c r="G312">
        <v>216.5</v>
      </c>
      <c r="H312">
        <v>195.62</v>
      </c>
      <c r="I312" s="1369">
        <v>157.52000000000001</v>
      </c>
      <c r="J312">
        <v>179.6</v>
      </c>
      <c r="K312">
        <v>176.09318277176789</v>
      </c>
      <c r="L312">
        <v>188.32405924739791</v>
      </c>
      <c r="M312">
        <v>199.40034812880765</v>
      </c>
      <c r="N312" s="13">
        <f t="shared" si="53"/>
        <v>0</v>
      </c>
    </row>
    <row r="313" spans="1:14" x14ac:dyDescent="0.25">
      <c r="A313" s="1368">
        <v>1</v>
      </c>
      <c r="B313">
        <v>192.2</v>
      </c>
      <c r="C313" s="1378">
        <f t="shared" si="52"/>
        <v>250</v>
      </c>
      <c r="D313" s="1378">
        <v>241.52</v>
      </c>
      <c r="E313" s="1378">
        <v>250</v>
      </c>
      <c r="F313">
        <v>241.52</v>
      </c>
      <c r="G313">
        <v>250</v>
      </c>
      <c r="H313">
        <v>227.99</v>
      </c>
      <c r="I313" s="1369">
        <v>209.48</v>
      </c>
      <c r="J313">
        <v>179.6</v>
      </c>
      <c r="K313">
        <v>202.11355391533044</v>
      </c>
      <c r="L313">
        <v>201.91379093198992</v>
      </c>
      <c r="M313">
        <v>227.17235218464299</v>
      </c>
      <c r="N313" s="13">
        <f t="shared" si="53"/>
        <v>0</v>
      </c>
    </row>
    <row r="314" spans="1:14" s="13" customFormat="1" x14ac:dyDescent="0.25">
      <c r="A314" s="1368" t="s">
        <v>1995</v>
      </c>
      <c r="B314" s="13">
        <f>AVERAGE('классы ЭЭ и выбросы ПГ'!$Y$60)</f>
        <v>110.32996078431376</v>
      </c>
      <c r="C314" s="13">
        <f>B314</f>
        <v>110.32996078431376</v>
      </c>
      <c r="D314" s="13">
        <f>AVERAGE('классы ЭЭ и выбросы ПГ'!$Z$60:$AA$60)</f>
        <v>115.17672549019609</v>
      </c>
      <c r="E314" s="13">
        <f>D314</f>
        <v>115.17672549019609</v>
      </c>
      <c r="F314" s="13">
        <f>AVERAGE('классы ЭЭ и выбросы ПГ'!$AB$60:$AC$60)</f>
        <v>131.62278431372548</v>
      </c>
      <c r="G314" s="13">
        <f>F314</f>
        <v>131.62278431372548</v>
      </c>
      <c r="H314" s="13">
        <f>AVERAGE('классы ЭЭ и выбросы ПГ'!$AD$60:$AE$60)</f>
        <v>136.5450392156863</v>
      </c>
      <c r="I314" s="13">
        <f>H314</f>
        <v>136.5450392156863</v>
      </c>
      <c r="J314" s="13">
        <f>AVERAGE('классы ЭЭ и выбросы ПГ'!$AF$60:$AG$60)</f>
        <v>136.46484313725492</v>
      </c>
      <c r="K314" s="13">
        <f>J314</f>
        <v>136.46484313725492</v>
      </c>
      <c r="L314" s="13">
        <f>AVERAGE('классы ЭЭ и выбросы ПГ'!$AH$60:$AN$60)</f>
        <v>136.38384313725487</v>
      </c>
      <c r="M314" s="13">
        <f>L314</f>
        <v>136.38384313725487</v>
      </c>
    </row>
    <row r="315" spans="1:14" s="13" customFormat="1" x14ac:dyDescent="0.25">
      <c r="A315" s="13" t="s">
        <v>1859</v>
      </c>
      <c r="B315" s="13" t="e">
        <f ca="1">AVERAGE('классы ЭЭ и выбросы ПГ'!$Y$54)</f>
        <v>#VALUE!</v>
      </c>
      <c r="C315" s="13" t="e">
        <f ca="1">B315</f>
        <v>#VALUE!</v>
      </c>
      <c r="D315" s="13" t="e">
        <f ca="1">AVERAGE('классы ЭЭ и выбросы ПГ'!$Z$54:$AA$54)</f>
        <v>#VALUE!</v>
      </c>
      <c r="E315" s="13" t="e">
        <f ca="1">D315</f>
        <v>#VALUE!</v>
      </c>
      <c r="F315" s="13" t="e">
        <f ca="1">AVERAGE('классы ЭЭ и выбросы ПГ'!$AB$54:$AC$54)</f>
        <v>#VALUE!</v>
      </c>
      <c r="G315" s="13" t="e">
        <f ca="1">F315</f>
        <v>#VALUE!</v>
      </c>
      <c r="H315" s="13" t="e">
        <f ca="1">AVERAGE('классы ЭЭ и выбросы ПГ'!$AD$54:$AE$54)</f>
        <v>#VALUE!</v>
      </c>
      <c r="I315" s="13" t="e">
        <f ca="1">H315</f>
        <v>#VALUE!</v>
      </c>
      <c r="J315" s="13" t="e">
        <f ca="1">AVERAGE('классы ЭЭ и выбросы ПГ'!$AF$54:$AG$54)</f>
        <v>#VALUE!</v>
      </c>
      <c r="K315" s="13" t="e">
        <f ca="1">J315</f>
        <v>#VALUE!</v>
      </c>
      <c r="L315" s="13" t="e">
        <f ca="1">AVERAGE('классы ЭЭ и выбросы ПГ'!$AH$54:$AN$54)</f>
        <v>#VALUE!</v>
      </c>
      <c r="M315" s="13" t="e">
        <f ca="1">L315</f>
        <v>#VALUE!</v>
      </c>
    </row>
    <row r="316" spans="1:14" s="13" customFormat="1" x14ac:dyDescent="0.25">
      <c r="A316" s="13" t="s">
        <v>1858</v>
      </c>
      <c r="B316" s="13" t="e">
        <f t="shared" ref="B316:M316" ca="1" si="54">0.4*B315</f>
        <v>#VALUE!</v>
      </c>
      <c r="C316" s="13" t="e">
        <f t="shared" ca="1" si="54"/>
        <v>#VALUE!</v>
      </c>
      <c r="D316" s="13" t="e">
        <f t="shared" ca="1" si="54"/>
        <v>#VALUE!</v>
      </c>
      <c r="E316" s="13" t="e">
        <f t="shared" ca="1" si="54"/>
        <v>#VALUE!</v>
      </c>
      <c r="F316" s="13" t="e">
        <f t="shared" ca="1" si="54"/>
        <v>#VALUE!</v>
      </c>
      <c r="G316" s="13" t="e">
        <f t="shared" ca="1" si="54"/>
        <v>#VALUE!</v>
      </c>
      <c r="H316" s="13" t="e">
        <f t="shared" ca="1" si="54"/>
        <v>#VALUE!</v>
      </c>
      <c r="I316" s="13" t="e">
        <f t="shared" ca="1" si="54"/>
        <v>#VALUE!</v>
      </c>
      <c r="J316" s="13" t="e">
        <f t="shared" ca="1" si="54"/>
        <v>#VALUE!</v>
      </c>
      <c r="K316" s="13" t="e">
        <f t="shared" ca="1" si="54"/>
        <v>#VALUE!</v>
      </c>
      <c r="L316" s="13" t="e">
        <f t="shared" ca="1" si="54"/>
        <v>#VALUE!</v>
      </c>
      <c r="M316" s="13" t="e">
        <f t="shared" ca="1" si="54"/>
        <v>#VALUE!</v>
      </c>
    </row>
    <row r="317" spans="1:14" x14ac:dyDescent="0.25">
      <c r="A317" t="s">
        <v>1844</v>
      </c>
      <c r="B317" s="13" t="s">
        <v>1845</v>
      </c>
      <c r="C317" s="13" t="s">
        <v>1846</v>
      </c>
      <c r="D317" s="13" t="s">
        <v>1847</v>
      </c>
      <c r="E317" s="13" t="s">
        <v>1848</v>
      </c>
      <c r="F317" s="13" t="s">
        <v>1849</v>
      </c>
      <c r="G317" s="13" t="s">
        <v>1850</v>
      </c>
      <c r="H317" s="13" t="s">
        <v>1851</v>
      </c>
      <c r="I317" s="1369" t="s">
        <v>1852</v>
      </c>
      <c r="J317" s="13" t="s">
        <v>1853</v>
      </c>
      <c r="K317" s="13" t="s">
        <v>1854</v>
      </c>
      <c r="L317" s="13" t="s">
        <v>1855</v>
      </c>
      <c r="M317" s="13" t="s">
        <v>1856</v>
      </c>
      <c r="N317" t="s">
        <v>1483</v>
      </c>
    </row>
    <row r="318" spans="1:14" x14ac:dyDescent="0.25">
      <c r="A318" s="1368">
        <v>0</v>
      </c>
      <c r="B318">
        <v>2.276803602669434E-2</v>
      </c>
      <c r="C318" s="13">
        <v>2.466377575598927E-2</v>
      </c>
      <c r="D318" s="1378">
        <v>2.5000000000000001E-2</v>
      </c>
      <c r="E318" s="1378">
        <v>0.02</v>
      </c>
      <c r="F318">
        <v>2.5000000000000001E-2</v>
      </c>
      <c r="G318">
        <v>0.02</v>
      </c>
      <c r="H318">
        <v>2.7699999999999999E-2</v>
      </c>
      <c r="I318" s="1369">
        <v>2.3099999999999999E-2</v>
      </c>
      <c r="J318">
        <v>2.8000000000000001E-2</v>
      </c>
      <c r="K318">
        <v>2.5336627345963699E-2</v>
      </c>
      <c r="L318">
        <v>2.4855550081424854E-2</v>
      </c>
      <c r="M318">
        <v>1.738077220915164E-2</v>
      </c>
      <c r="N318">
        <f>$B$106*B318+$C$106*C318+$D$106*D318+$E$106*E318+$F$106*F318+$G$106*G318+$H$106*H318+$I$106*I318+$J$106*J318+$K$106*K318+$L$106*L318+$M$106*M318</f>
        <v>0</v>
      </c>
    </row>
    <row r="319" spans="1:14" x14ac:dyDescent="0.25">
      <c r="A319" s="1368">
        <v>0.01</v>
      </c>
      <c r="B319">
        <v>2.6854543598449094E-2</v>
      </c>
      <c r="C319" s="13">
        <v>2.4879144504379846E-2</v>
      </c>
      <c r="D319" s="1378">
        <v>2.63E-2</v>
      </c>
      <c r="E319" s="1378">
        <v>0.02</v>
      </c>
      <c r="F319">
        <v>2.63E-2</v>
      </c>
      <c r="G319">
        <v>0.02</v>
      </c>
      <c r="H319">
        <v>3.1600000000000003E-2</v>
      </c>
      <c r="I319" s="1369">
        <v>2.3300000000000001E-2</v>
      </c>
      <c r="J319">
        <v>2.8000000000000001E-2</v>
      </c>
      <c r="K319">
        <v>2.8336627345963747E-2</v>
      </c>
      <c r="L319">
        <v>2.5855550081424854E-2</v>
      </c>
      <c r="M319">
        <v>1.738077220915164E-2</v>
      </c>
      <c r="N319" s="13">
        <f t="shared" ref="N319:N382" si="55">$B$106*B319+$C$106*C319+$D$106*D319+$E$106*E319+$F$106*F319+$G$106*G319+$H$106*H319+$I$106*I319+$J$106*J319+$K$106*K319+$L$106*L319+$M$106*M319</f>
        <v>0</v>
      </c>
    </row>
    <row r="320" spans="1:14" x14ac:dyDescent="0.25">
      <c r="A320" s="1368">
        <v>0.02</v>
      </c>
      <c r="B320">
        <v>3.1628884245603207E-2</v>
      </c>
      <c r="C320" s="13">
        <v>2.585736126909606E-2</v>
      </c>
      <c r="D320" s="1378">
        <v>2.8299999999999999E-2</v>
      </c>
      <c r="E320" s="1378">
        <v>0.02</v>
      </c>
      <c r="F320">
        <v>2.8299999999999999E-2</v>
      </c>
      <c r="G320">
        <v>0.02</v>
      </c>
      <c r="H320">
        <v>3.49E-2</v>
      </c>
      <c r="I320" s="1369">
        <v>2.3900000000000001E-2</v>
      </c>
      <c r="J320">
        <v>2.9000000000000001E-2</v>
      </c>
      <c r="K320">
        <v>2.9657547633598472E-2</v>
      </c>
      <c r="L320">
        <v>2.6520801497923803E-2</v>
      </c>
      <c r="M320">
        <v>2.0401009368571369E-2</v>
      </c>
      <c r="N320" s="13">
        <f t="shared" si="55"/>
        <v>0</v>
      </c>
    </row>
    <row r="321" spans="1:14" x14ac:dyDescent="0.25">
      <c r="A321" s="1368">
        <v>0.03</v>
      </c>
      <c r="B321">
        <v>3.4055039674645946E-2</v>
      </c>
      <c r="C321" s="13">
        <v>2.6028739750682886E-2</v>
      </c>
      <c r="D321" s="1378">
        <v>3.0499999999999999E-2</v>
      </c>
      <c r="E321" s="1378">
        <v>0.02</v>
      </c>
      <c r="F321">
        <v>3.0499999999999999E-2</v>
      </c>
      <c r="G321">
        <v>0.02</v>
      </c>
      <c r="H321">
        <v>3.5900000000000001E-2</v>
      </c>
      <c r="I321" s="1369">
        <v>2.46E-2</v>
      </c>
      <c r="J321">
        <v>2.9000000000000001E-2</v>
      </c>
      <c r="K321">
        <v>3.0316466540082108E-2</v>
      </c>
      <c r="L321">
        <v>2.735775789885006E-2</v>
      </c>
      <c r="M321">
        <v>2.0625337296124625E-2</v>
      </c>
      <c r="N321" s="13">
        <f t="shared" si="55"/>
        <v>0</v>
      </c>
    </row>
    <row r="322" spans="1:14" x14ac:dyDescent="0.25">
      <c r="A322" s="1368">
        <v>0.04</v>
      </c>
      <c r="B322">
        <v>3.500287853360888E-2</v>
      </c>
      <c r="C322" s="13">
        <v>2.6837581627409995E-2</v>
      </c>
      <c r="D322" s="1378">
        <v>3.8600000000000002E-2</v>
      </c>
      <c r="E322" s="1378">
        <v>2.1999999999999999E-2</v>
      </c>
      <c r="F322">
        <v>3.8600000000000002E-2</v>
      </c>
      <c r="G322">
        <v>2.1999999999999999E-2</v>
      </c>
      <c r="H322">
        <v>3.6999999999999998E-2</v>
      </c>
      <c r="I322" s="1369">
        <v>2.47E-2</v>
      </c>
      <c r="J322">
        <v>0.03</v>
      </c>
      <c r="K322">
        <v>3.0645836499607865E-2</v>
      </c>
      <c r="L322">
        <v>2.8416379592097529E-2</v>
      </c>
      <c r="M322">
        <v>2.2855622658100882E-2</v>
      </c>
      <c r="N322" s="13">
        <f t="shared" si="55"/>
        <v>0</v>
      </c>
    </row>
    <row r="323" spans="1:14" x14ac:dyDescent="0.25">
      <c r="A323" s="1368">
        <v>0.05</v>
      </c>
      <c r="B323">
        <v>3.7265248494630761E-2</v>
      </c>
      <c r="C323" s="13">
        <v>2.7524572782717804E-2</v>
      </c>
      <c r="D323" s="1378">
        <v>4.5699999999999998E-2</v>
      </c>
      <c r="E323" s="1378">
        <v>2.1999999999999999E-2</v>
      </c>
      <c r="F323">
        <v>4.5699999999999998E-2</v>
      </c>
      <c r="G323">
        <v>2.1999999999999999E-2</v>
      </c>
      <c r="H323">
        <v>3.85E-2</v>
      </c>
      <c r="I323" s="1369">
        <v>2.4899999999999999E-2</v>
      </c>
      <c r="J323">
        <v>3.1E-2</v>
      </c>
      <c r="K323">
        <v>3.0809295737553352E-2</v>
      </c>
      <c r="L323">
        <v>2.8956965167845041E-2</v>
      </c>
      <c r="M323">
        <v>2.2932838919307908E-2</v>
      </c>
      <c r="N323" s="13">
        <f t="shared" si="55"/>
        <v>0</v>
      </c>
    </row>
    <row r="324" spans="1:14" x14ac:dyDescent="0.25">
      <c r="A324" s="1368">
        <v>0.06</v>
      </c>
      <c r="B324">
        <v>3.850472255327294E-2</v>
      </c>
      <c r="C324" s="13">
        <v>2.7927805335289397E-2</v>
      </c>
      <c r="D324" s="1378">
        <v>4.7399999999999998E-2</v>
      </c>
      <c r="E324" s="1378">
        <v>2.1999999999999999E-2</v>
      </c>
      <c r="F324">
        <v>4.7399999999999998E-2</v>
      </c>
      <c r="G324">
        <v>2.1999999999999999E-2</v>
      </c>
      <c r="H324">
        <v>3.9800000000000002E-2</v>
      </c>
      <c r="I324" s="1369">
        <v>2.6599999999999999E-2</v>
      </c>
      <c r="J324">
        <v>3.2000000000000001E-2</v>
      </c>
      <c r="K324">
        <v>3.1202871224801913E-2</v>
      </c>
      <c r="L324">
        <v>2.9434852205144441E-2</v>
      </c>
      <c r="M324">
        <v>2.3063964108683443E-2</v>
      </c>
      <c r="N324" s="13">
        <f t="shared" si="55"/>
        <v>0</v>
      </c>
    </row>
    <row r="325" spans="1:14" x14ac:dyDescent="0.25">
      <c r="A325" s="1368">
        <v>7.0000000000000007E-2</v>
      </c>
      <c r="B325">
        <v>4.0197274274188372E-2</v>
      </c>
      <c r="C325" s="13">
        <v>2.8636204575150006E-2</v>
      </c>
      <c r="D325" s="1378">
        <v>4.8599999999999997E-2</v>
      </c>
      <c r="E325" s="1378">
        <v>2.1999999999999999E-2</v>
      </c>
      <c r="F325">
        <v>4.8599999999999997E-2</v>
      </c>
      <c r="G325">
        <v>2.1999999999999999E-2</v>
      </c>
      <c r="H325">
        <v>4.1399999999999999E-2</v>
      </c>
      <c r="I325" s="1369">
        <v>2.8299999999999999E-2</v>
      </c>
      <c r="J325">
        <v>3.2000000000000001E-2</v>
      </c>
      <c r="K325">
        <v>3.168619520549594E-2</v>
      </c>
      <c r="L325">
        <v>2.9866115877396703E-2</v>
      </c>
      <c r="M325">
        <v>2.4428200148704244E-2</v>
      </c>
      <c r="N325" s="13">
        <f t="shared" si="55"/>
        <v>0</v>
      </c>
    </row>
    <row r="326" spans="1:14" x14ac:dyDescent="0.25">
      <c r="A326" s="1368">
        <v>0.08</v>
      </c>
      <c r="B326">
        <v>4.1325054836774275E-2</v>
      </c>
      <c r="C326" s="13">
        <v>2.8788155404575137E-2</v>
      </c>
      <c r="D326" s="1378">
        <v>5.04E-2</v>
      </c>
      <c r="E326" s="1378">
        <v>2.4E-2</v>
      </c>
      <c r="F326">
        <v>5.04E-2</v>
      </c>
      <c r="G326">
        <v>2.4E-2</v>
      </c>
      <c r="H326">
        <v>4.19E-2</v>
      </c>
      <c r="I326" s="1369">
        <v>2.7199999999999998E-2</v>
      </c>
      <c r="J326">
        <v>3.3000000000000002E-2</v>
      </c>
      <c r="K326">
        <v>3.2649087505012026E-2</v>
      </c>
      <c r="L326">
        <v>3.0643500363092196E-2</v>
      </c>
      <c r="M326">
        <v>2.4610587465610793E-2</v>
      </c>
      <c r="N326" s="13">
        <f t="shared" si="55"/>
        <v>0</v>
      </c>
    </row>
    <row r="327" spans="1:14" x14ac:dyDescent="0.25">
      <c r="A327" s="1368">
        <v>0.09</v>
      </c>
      <c r="B327">
        <v>4.2628559477535022E-2</v>
      </c>
      <c r="C327" s="13">
        <v>2.8921742343383548E-2</v>
      </c>
      <c r="D327" s="1378">
        <v>5.0799999999999998E-2</v>
      </c>
      <c r="E327" s="1378">
        <v>2.4E-2</v>
      </c>
      <c r="F327">
        <v>5.0799999999999998E-2</v>
      </c>
      <c r="G327">
        <v>2.4E-2</v>
      </c>
      <c r="H327">
        <v>4.2299999999999997E-2</v>
      </c>
      <c r="I327" s="1369">
        <v>2.98E-2</v>
      </c>
      <c r="J327">
        <v>3.3000000000000002E-2</v>
      </c>
      <c r="K327">
        <v>3.3710373197130952E-2</v>
      </c>
      <c r="L327">
        <v>3.104570807979895E-2</v>
      </c>
      <c r="M327">
        <v>2.5523063403608021E-2</v>
      </c>
      <c r="N327" s="13">
        <f t="shared" si="55"/>
        <v>0</v>
      </c>
    </row>
    <row r="328" spans="1:14" x14ac:dyDescent="0.25">
      <c r="A328" s="1368">
        <v>0.1</v>
      </c>
      <c r="B328">
        <v>4.3830988497781748E-2</v>
      </c>
      <c r="C328" s="13">
        <v>2.971096078499311E-2</v>
      </c>
      <c r="D328" s="1378">
        <v>5.21E-2</v>
      </c>
      <c r="E328" s="1378">
        <v>2.5000000000000001E-2</v>
      </c>
      <c r="F328">
        <v>5.21E-2</v>
      </c>
      <c r="G328">
        <v>2.5000000000000001E-2</v>
      </c>
      <c r="H328">
        <v>4.3499999999999997E-2</v>
      </c>
      <c r="I328" s="1369">
        <v>0.03</v>
      </c>
      <c r="J328">
        <v>3.4000000000000002E-2</v>
      </c>
      <c r="K328">
        <v>3.392852198916832E-2</v>
      </c>
      <c r="L328">
        <v>3.1741475056143199E-2</v>
      </c>
      <c r="M328">
        <v>2.5724217861982181E-2</v>
      </c>
      <c r="N328" s="13">
        <f t="shared" si="55"/>
        <v>0</v>
      </c>
    </row>
    <row r="329" spans="1:14" x14ac:dyDescent="0.25">
      <c r="A329" s="1368">
        <v>0.11</v>
      </c>
      <c r="B329">
        <v>4.4863263259478696E-2</v>
      </c>
      <c r="C329" s="13">
        <v>2.971096078499311E-2</v>
      </c>
      <c r="D329" s="1378">
        <v>5.4100000000000002E-2</v>
      </c>
      <c r="E329" s="1378">
        <v>2.5000000000000001E-2</v>
      </c>
      <c r="F329">
        <v>5.4100000000000002E-2</v>
      </c>
      <c r="G329">
        <v>2.5000000000000001E-2</v>
      </c>
      <c r="H329">
        <v>4.4299999999999999E-2</v>
      </c>
      <c r="I329" s="1369">
        <v>3.0200000000000001E-2</v>
      </c>
      <c r="J329">
        <v>3.4000000000000002E-2</v>
      </c>
      <c r="K329">
        <v>3.4674004213223496E-2</v>
      </c>
      <c r="L329">
        <v>3.2218953847716954E-2</v>
      </c>
      <c r="M329">
        <v>2.590383356597202E-2</v>
      </c>
      <c r="N329" s="13">
        <f t="shared" si="55"/>
        <v>0</v>
      </c>
    </row>
    <row r="330" spans="1:14" x14ac:dyDescent="0.25">
      <c r="A330" s="1368">
        <v>0.12</v>
      </c>
      <c r="B330">
        <v>4.5719348755567525E-2</v>
      </c>
      <c r="C330" s="13">
        <v>3.0565965717981106E-2</v>
      </c>
      <c r="D330" s="1378">
        <v>5.4699999999999999E-2</v>
      </c>
      <c r="E330" s="1378">
        <v>2.5999999999999999E-2</v>
      </c>
      <c r="F330">
        <v>5.4699999999999999E-2</v>
      </c>
      <c r="G330">
        <v>2.5999999999999999E-2</v>
      </c>
      <c r="H330">
        <v>4.4400000000000002E-2</v>
      </c>
      <c r="I330" s="1369">
        <v>3.1E-2</v>
      </c>
      <c r="J330">
        <v>3.5000000000000003E-2</v>
      </c>
      <c r="K330">
        <v>3.5052174222263928E-2</v>
      </c>
      <c r="L330">
        <v>3.2905113045535214E-2</v>
      </c>
      <c r="M330">
        <v>2.6294700696430161E-2</v>
      </c>
      <c r="N330" s="13">
        <f t="shared" si="55"/>
        <v>0</v>
      </c>
    </row>
    <row r="331" spans="1:14" x14ac:dyDescent="0.25">
      <c r="A331" s="1368">
        <v>0.13</v>
      </c>
      <c r="B331">
        <v>4.6285677247981348E-2</v>
      </c>
      <c r="C331" s="13">
        <v>3.0756745241400155E-2</v>
      </c>
      <c r="D331" s="1378">
        <v>5.5500000000000001E-2</v>
      </c>
      <c r="E331" s="1378">
        <v>2.5999999999999999E-2</v>
      </c>
      <c r="F331">
        <v>5.5500000000000001E-2</v>
      </c>
      <c r="G331">
        <v>2.5999999999999999E-2</v>
      </c>
      <c r="H331">
        <v>4.53E-2</v>
      </c>
      <c r="I331" s="1369">
        <v>3.1600000000000003E-2</v>
      </c>
      <c r="J331">
        <v>3.5000000000000003E-2</v>
      </c>
      <c r="K331">
        <v>3.5337369600673907E-2</v>
      </c>
      <c r="L331">
        <v>3.3572476703404387E-2</v>
      </c>
      <c r="M331">
        <v>2.6295780421798573E-2</v>
      </c>
      <c r="N331" s="13">
        <f t="shared" si="55"/>
        <v>0</v>
      </c>
    </row>
    <row r="332" spans="1:14" x14ac:dyDescent="0.25">
      <c r="A332" s="1368">
        <v>0.14000000000000001</v>
      </c>
      <c r="B332">
        <v>4.6550109410928089E-2</v>
      </c>
      <c r="C332" s="13">
        <v>3.0958224698536672E-2</v>
      </c>
      <c r="D332" s="1378">
        <v>5.6099999999999997E-2</v>
      </c>
      <c r="E332" s="1378">
        <v>2.5999999999999999E-2</v>
      </c>
      <c r="F332">
        <v>5.6099999999999997E-2</v>
      </c>
      <c r="G332">
        <v>2.5999999999999999E-2</v>
      </c>
      <c r="H332">
        <v>4.5900000000000003E-2</v>
      </c>
      <c r="I332" s="1369">
        <v>3.2099999999999997E-2</v>
      </c>
      <c r="J332">
        <v>3.5999999999999997E-2</v>
      </c>
      <c r="K332">
        <v>3.5608689661467866E-2</v>
      </c>
      <c r="L332">
        <v>3.4034637831913919E-2</v>
      </c>
      <c r="M332">
        <v>2.6514430924318363E-2</v>
      </c>
      <c r="N332" s="13">
        <f t="shared" si="55"/>
        <v>0</v>
      </c>
    </row>
    <row r="333" spans="1:14" x14ac:dyDescent="0.25">
      <c r="A333" s="1368">
        <v>0.15</v>
      </c>
      <c r="B333">
        <v>4.6641748549768151E-2</v>
      </c>
      <c r="C333" s="13">
        <v>3.1072906134311074E-2</v>
      </c>
      <c r="D333" s="1378">
        <v>5.6099999999999997E-2</v>
      </c>
      <c r="E333" s="1378">
        <v>2.5999999999999999E-2</v>
      </c>
      <c r="F333">
        <v>5.6099999999999997E-2</v>
      </c>
      <c r="G333">
        <v>2.5999999999999999E-2</v>
      </c>
      <c r="H333">
        <v>4.5999999999999999E-2</v>
      </c>
      <c r="I333" s="1369">
        <v>3.2300000000000002E-2</v>
      </c>
      <c r="J333">
        <v>3.5999999999999997E-2</v>
      </c>
      <c r="K333">
        <v>3.5755190623575295E-2</v>
      </c>
      <c r="L333">
        <v>3.4212915869210443E-2</v>
      </c>
      <c r="M333">
        <v>2.6520801497923803E-2</v>
      </c>
      <c r="N333" s="13">
        <f t="shared" si="55"/>
        <v>0</v>
      </c>
    </row>
    <row r="334" spans="1:14" x14ac:dyDescent="0.25">
      <c r="A334" s="1368">
        <v>0.16</v>
      </c>
      <c r="B334">
        <v>4.6778639963027391E-2</v>
      </c>
      <c r="C334" s="13">
        <v>3.1447117368756494E-2</v>
      </c>
      <c r="D334" s="1378">
        <v>5.7299999999999997E-2</v>
      </c>
      <c r="E334" s="1378">
        <v>2.7E-2</v>
      </c>
      <c r="F334">
        <v>5.7299999999999997E-2</v>
      </c>
      <c r="G334">
        <v>2.7E-2</v>
      </c>
      <c r="H334">
        <v>4.6399999999999997E-2</v>
      </c>
      <c r="I334" s="1369">
        <v>3.3099999999999997E-2</v>
      </c>
      <c r="J334">
        <v>3.5999999999999997E-2</v>
      </c>
      <c r="K334">
        <v>3.6260211071831104E-2</v>
      </c>
      <c r="L334">
        <v>3.4758160545606286E-2</v>
      </c>
      <c r="M334">
        <v>2.6749737429961468E-2</v>
      </c>
      <c r="N334" s="13">
        <f t="shared" si="55"/>
        <v>0</v>
      </c>
    </row>
    <row r="335" spans="1:14" x14ac:dyDescent="0.25">
      <c r="A335" s="1368">
        <v>0.17</v>
      </c>
      <c r="B335">
        <v>4.7184805234955843E-2</v>
      </c>
      <c r="C335" s="13">
        <v>3.2023409571562668E-2</v>
      </c>
      <c r="D335" s="1378">
        <v>5.8599999999999999E-2</v>
      </c>
      <c r="E335" s="1378">
        <v>2.7E-2</v>
      </c>
      <c r="F335">
        <v>5.8599999999999999E-2</v>
      </c>
      <c r="G335">
        <v>2.7E-2</v>
      </c>
      <c r="H335">
        <v>4.65E-2</v>
      </c>
      <c r="I335" s="1369">
        <v>3.3799999999999997E-2</v>
      </c>
      <c r="J335">
        <v>3.5999999999999997E-2</v>
      </c>
      <c r="K335">
        <v>3.641620552976596E-2</v>
      </c>
      <c r="L335">
        <v>3.5227795129316175E-2</v>
      </c>
      <c r="M335">
        <v>2.7761189746955007E-2</v>
      </c>
      <c r="N335" s="13">
        <f t="shared" si="55"/>
        <v>0</v>
      </c>
    </row>
    <row r="336" spans="1:14" x14ac:dyDescent="0.25">
      <c r="A336" s="1368">
        <v>0.18</v>
      </c>
      <c r="B336">
        <v>4.7726020623430974E-2</v>
      </c>
      <c r="C336" s="13">
        <v>3.2435849370547228E-2</v>
      </c>
      <c r="D336" s="1378">
        <v>5.9400000000000001E-2</v>
      </c>
      <c r="E336" s="1378">
        <v>2.8000000000000001E-2</v>
      </c>
      <c r="F336">
        <v>5.9400000000000001E-2</v>
      </c>
      <c r="G336">
        <v>2.8000000000000001E-2</v>
      </c>
      <c r="H336">
        <v>4.6800000000000001E-2</v>
      </c>
      <c r="I336" s="1369">
        <v>3.4599999999999999E-2</v>
      </c>
      <c r="J336">
        <v>3.6999999999999998E-2</v>
      </c>
      <c r="K336">
        <v>3.6831501594811709E-2</v>
      </c>
      <c r="L336">
        <v>3.5766281805465018E-2</v>
      </c>
      <c r="M336">
        <v>2.7864222906225949E-2</v>
      </c>
      <c r="N336" s="13">
        <f t="shared" si="55"/>
        <v>0</v>
      </c>
    </row>
    <row r="337" spans="1:14" x14ac:dyDescent="0.25">
      <c r="A337" s="1368">
        <v>0.19</v>
      </c>
      <c r="B337">
        <v>4.8207417613442244E-2</v>
      </c>
      <c r="C337" s="13">
        <v>3.2617914082032656E-2</v>
      </c>
      <c r="D337" s="1378">
        <v>6.0199999999999997E-2</v>
      </c>
      <c r="E337" s="1378">
        <v>2.8000000000000001E-2</v>
      </c>
      <c r="F337">
        <v>6.0199999999999997E-2</v>
      </c>
      <c r="G337">
        <v>2.8000000000000001E-2</v>
      </c>
      <c r="H337">
        <v>4.7899999999999998E-2</v>
      </c>
      <c r="I337" s="1369">
        <v>3.4799999999999998E-2</v>
      </c>
      <c r="J337">
        <v>3.6999999999999998E-2</v>
      </c>
      <c r="K337">
        <v>3.7079642188684654E-2</v>
      </c>
      <c r="L337">
        <v>3.6069323213373812E-2</v>
      </c>
      <c r="M337">
        <v>2.800237213113629E-2</v>
      </c>
      <c r="N337" s="13">
        <f t="shared" si="55"/>
        <v>0</v>
      </c>
    </row>
    <row r="338" spans="1:14" x14ac:dyDescent="0.25">
      <c r="A338" s="1368">
        <v>0.2</v>
      </c>
      <c r="B338">
        <v>4.9057389662254675E-2</v>
      </c>
      <c r="C338" s="13">
        <v>3.2922766976607364E-2</v>
      </c>
      <c r="D338" s="1378">
        <v>6.0699999999999997E-2</v>
      </c>
      <c r="E338" s="1378">
        <v>2.8000000000000001E-2</v>
      </c>
      <c r="F338">
        <v>6.0699999999999997E-2</v>
      </c>
      <c r="G338">
        <v>2.8000000000000001E-2</v>
      </c>
      <c r="H338">
        <v>4.87E-2</v>
      </c>
      <c r="I338" s="1369">
        <v>3.5299999999999998E-2</v>
      </c>
      <c r="J338">
        <v>3.7999999999999999E-2</v>
      </c>
      <c r="K338">
        <v>3.7483150362418109E-2</v>
      </c>
      <c r="L338">
        <v>3.6666850769269045E-2</v>
      </c>
      <c r="M338">
        <v>2.8907372995198393E-2</v>
      </c>
      <c r="N338" s="13">
        <f t="shared" si="55"/>
        <v>0</v>
      </c>
    </row>
    <row r="339" spans="1:14" x14ac:dyDescent="0.25">
      <c r="A339" s="1368">
        <v>0.21</v>
      </c>
      <c r="B339">
        <v>4.9686212088958993E-2</v>
      </c>
      <c r="C339" s="13">
        <v>3.3159730219366405E-2</v>
      </c>
      <c r="D339" s="1378">
        <v>6.1100000000000002E-2</v>
      </c>
      <c r="E339" s="1378">
        <v>2.8000000000000001E-2</v>
      </c>
      <c r="F339">
        <v>6.1100000000000002E-2</v>
      </c>
      <c r="G339">
        <v>2.8000000000000001E-2</v>
      </c>
      <c r="H339">
        <v>4.9099999999999998E-2</v>
      </c>
      <c r="I339" s="1369">
        <v>3.56E-2</v>
      </c>
      <c r="J339">
        <v>3.7999999999999999E-2</v>
      </c>
      <c r="K339">
        <v>3.7978657859237278E-2</v>
      </c>
      <c r="L339">
        <v>3.7106043470988892E-2</v>
      </c>
      <c r="M339">
        <v>2.8966580642229827E-2</v>
      </c>
      <c r="N339" s="13">
        <f t="shared" si="55"/>
        <v>0</v>
      </c>
    </row>
    <row r="340" spans="1:14" x14ac:dyDescent="0.25">
      <c r="A340" s="1368">
        <v>0.22</v>
      </c>
      <c r="B340">
        <v>5.0347901290045072E-2</v>
      </c>
      <c r="C340" s="13">
        <v>3.3422410989305325E-2</v>
      </c>
      <c r="D340" s="1378">
        <v>6.1899999999999997E-2</v>
      </c>
      <c r="E340" s="1378">
        <v>2.9000000000000001E-2</v>
      </c>
      <c r="F340">
        <v>6.1899999999999997E-2</v>
      </c>
      <c r="G340">
        <v>2.9000000000000001E-2</v>
      </c>
      <c r="H340">
        <v>4.9500000000000002E-2</v>
      </c>
      <c r="I340" s="1369">
        <v>3.5999999999999997E-2</v>
      </c>
      <c r="J340">
        <v>3.9E-2</v>
      </c>
      <c r="K340">
        <v>3.8666908775230095E-2</v>
      </c>
      <c r="L340">
        <v>3.755995441111868E-2</v>
      </c>
      <c r="M340">
        <v>2.9476696173953872E-2</v>
      </c>
      <c r="N340" s="13">
        <f t="shared" si="55"/>
        <v>0</v>
      </c>
    </row>
    <row r="341" spans="1:14" x14ac:dyDescent="0.25">
      <c r="A341" s="1368">
        <v>0.23</v>
      </c>
      <c r="B341">
        <v>5.1113189498898218E-2</v>
      </c>
      <c r="C341" s="13">
        <v>3.3923069253708381E-2</v>
      </c>
      <c r="D341" s="1378">
        <v>6.2799999999999995E-2</v>
      </c>
      <c r="E341" s="1378">
        <v>2.9000000000000001E-2</v>
      </c>
      <c r="F341">
        <v>6.2799999999999995E-2</v>
      </c>
      <c r="G341">
        <v>2.9000000000000001E-2</v>
      </c>
      <c r="H341">
        <v>4.9799999999999997E-2</v>
      </c>
      <c r="I341" s="1369">
        <v>3.6900000000000002E-2</v>
      </c>
      <c r="J341">
        <v>3.9E-2</v>
      </c>
      <c r="K341">
        <v>3.9049198176728347E-2</v>
      </c>
      <c r="L341">
        <v>3.8016413038457542E-2</v>
      </c>
      <c r="M341">
        <v>3.1579992383025536E-2</v>
      </c>
      <c r="N341" s="13">
        <f t="shared" si="55"/>
        <v>0</v>
      </c>
    </row>
    <row r="342" spans="1:14" x14ac:dyDescent="0.25">
      <c r="A342" s="1368">
        <v>0.24</v>
      </c>
      <c r="B342">
        <v>5.1774274989533228E-2</v>
      </c>
      <c r="C342" s="13">
        <v>3.4093511912313162E-2</v>
      </c>
      <c r="D342" s="1378">
        <v>6.3E-2</v>
      </c>
      <c r="E342" s="1378">
        <v>0.03</v>
      </c>
      <c r="F342">
        <v>6.3E-2</v>
      </c>
      <c r="G342">
        <v>0.03</v>
      </c>
      <c r="H342">
        <v>5.0799999999999998E-2</v>
      </c>
      <c r="I342" s="1369">
        <v>3.7199999999999997E-2</v>
      </c>
      <c r="J342">
        <v>0.04</v>
      </c>
      <c r="K342">
        <v>3.9107691401299285E-2</v>
      </c>
      <c r="L342">
        <v>3.8457563433527436E-2</v>
      </c>
      <c r="M342">
        <v>3.1593529757394101E-2</v>
      </c>
      <c r="N342" s="13">
        <f t="shared" si="55"/>
        <v>0</v>
      </c>
    </row>
    <row r="343" spans="1:14" x14ac:dyDescent="0.25">
      <c r="A343" s="1368">
        <v>0.25</v>
      </c>
      <c r="B343">
        <v>5.2292564093619327E-2</v>
      </c>
      <c r="C343" s="13">
        <v>3.4397966331648253E-2</v>
      </c>
      <c r="D343" s="1378">
        <v>6.3500000000000001E-2</v>
      </c>
      <c r="E343" s="1378">
        <v>0.03</v>
      </c>
      <c r="F343">
        <v>6.3500000000000001E-2</v>
      </c>
      <c r="G343">
        <v>0.03</v>
      </c>
      <c r="H343">
        <v>5.0999999999999997E-2</v>
      </c>
      <c r="I343" s="1369">
        <v>3.7199999999999997E-2</v>
      </c>
      <c r="J343">
        <v>0.04</v>
      </c>
      <c r="K343">
        <v>3.9628760039039479E-2</v>
      </c>
      <c r="L343">
        <v>3.887682497146306E-2</v>
      </c>
      <c r="M343">
        <v>3.3572476703404387E-2</v>
      </c>
      <c r="N343" s="13">
        <f t="shared" si="55"/>
        <v>0</v>
      </c>
    </row>
    <row r="344" spans="1:14" x14ac:dyDescent="0.25">
      <c r="A344" s="1368">
        <v>0.26</v>
      </c>
      <c r="B344">
        <v>5.2598689770024999E-2</v>
      </c>
      <c r="C344" s="13">
        <v>3.4794599690973704E-2</v>
      </c>
      <c r="D344" s="1378">
        <v>6.3799999999999996E-2</v>
      </c>
      <c r="E344" s="1378">
        <v>3.3000000000000002E-2</v>
      </c>
      <c r="F344">
        <v>6.3799999999999996E-2</v>
      </c>
      <c r="G344">
        <v>3.3000000000000002E-2</v>
      </c>
      <c r="H344">
        <v>5.11E-2</v>
      </c>
      <c r="I344" s="1369">
        <v>3.7600000000000001E-2</v>
      </c>
      <c r="J344">
        <v>0.04</v>
      </c>
      <c r="K344">
        <v>3.9788428541651759E-2</v>
      </c>
      <c r="L344">
        <v>3.9194587711591546E-2</v>
      </c>
      <c r="M344">
        <v>3.3593014650897646E-2</v>
      </c>
      <c r="N344" s="13">
        <f t="shared" si="55"/>
        <v>0</v>
      </c>
    </row>
    <row r="345" spans="1:14" x14ac:dyDescent="0.25">
      <c r="A345" s="1368">
        <v>0.27</v>
      </c>
      <c r="B345">
        <v>5.2912662441862379E-2</v>
      </c>
      <c r="C345" s="13">
        <v>3.4941793649629009E-2</v>
      </c>
      <c r="D345" s="1378">
        <v>6.3799999999999996E-2</v>
      </c>
      <c r="E345" s="1378">
        <v>3.3000000000000002E-2</v>
      </c>
      <c r="F345">
        <v>6.3799999999999996E-2</v>
      </c>
      <c r="G345">
        <v>3.3000000000000002E-2</v>
      </c>
      <c r="H345">
        <v>5.1200000000000002E-2</v>
      </c>
      <c r="I345" s="1369">
        <v>3.8199999999999998E-2</v>
      </c>
      <c r="J345">
        <v>0.04</v>
      </c>
      <c r="K345">
        <v>3.9980255750964644E-2</v>
      </c>
      <c r="L345">
        <v>3.9564478483652604E-2</v>
      </c>
      <c r="M345">
        <v>3.5795143436248691E-2</v>
      </c>
      <c r="N345" s="13">
        <f t="shared" si="55"/>
        <v>0</v>
      </c>
    </row>
    <row r="346" spans="1:14" x14ac:dyDescent="0.25">
      <c r="A346" s="1368">
        <v>0.28000000000000003</v>
      </c>
      <c r="B346">
        <v>5.3228519281984216E-2</v>
      </c>
      <c r="C346" s="13">
        <v>3.5771846237205508E-2</v>
      </c>
      <c r="D346" s="1378">
        <v>6.4100000000000004E-2</v>
      </c>
      <c r="E346" s="1378">
        <v>3.3000000000000002E-2</v>
      </c>
      <c r="F346">
        <v>6.4100000000000004E-2</v>
      </c>
      <c r="G346">
        <v>3.3000000000000002E-2</v>
      </c>
      <c r="H346">
        <v>5.2299999999999999E-2</v>
      </c>
      <c r="I346" s="1369">
        <v>3.8399999999999997E-2</v>
      </c>
      <c r="J346">
        <v>4.1000000000000002E-2</v>
      </c>
      <c r="K346">
        <v>4.0484495616973183E-2</v>
      </c>
      <c r="L346">
        <v>4.0094885570126845E-2</v>
      </c>
      <c r="M346">
        <v>3.8238644855010093E-2</v>
      </c>
      <c r="N346" s="13">
        <f t="shared" si="55"/>
        <v>0</v>
      </c>
    </row>
    <row r="347" spans="1:14" x14ac:dyDescent="0.25">
      <c r="A347" s="1368">
        <v>0.28999999999999998</v>
      </c>
      <c r="B347">
        <v>5.3478846996483392E-2</v>
      </c>
      <c r="C347" s="13">
        <v>3.7278747406081107E-2</v>
      </c>
      <c r="D347" s="1378">
        <v>6.4600000000000005E-2</v>
      </c>
      <c r="E347" s="1378">
        <v>3.3000000000000002E-2</v>
      </c>
      <c r="F347">
        <v>6.4600000000000005E-2</v>
      </c>
      <c r="G347">
        <v>3.3000000000000002E-2</v>
      </c>
      <c r="H347">
        <v>5.2400000000000002E-2</v>
      </c>
      <c r="I347" s="1369">
        <v>3.8399999999999997E-2</v>
      </c>
      <c r="J347">
        <v>4.1000000000000002E-2</v>
      </c>
      <c r="K347">
        <v>4.0579373601313813E-2</v>
      </c>
      <c r="L347">
        <v>4.0476582309473229E-2</v>
      </c>
      <c r="M347">
        <v>4.0753662375161565E-2</v>
      </c>
      <c r="N347" s="13">
        <f t="shared" si="55"/>
        <v>0</v>
      </c>
    </row>
    <row r="348" spans="1:14" x14ac:dyDescent="0.25">
      <c r="A348" s="1368">
        <v>0.3</v>
      </c>
      <c r="B348">
        <v>5.3961291927271469E-2</v>
      </c>
      <c r="C348" s="13">
        <v>3.7631904695425565E-2</v>
      </c>
      <c r="D348" s="1378">
        <v>6.4799999999999996E-2</v>
      </c>
      <c r="E348" s="1378">
        <v>3.4000000000000002E-2</v>
      </c>
      <c r="F348">
        <v>6.4799999999999996E-2</v>
      </c>
      <c r="G348">
        <v>3.4000000000000002E-2</v>
      </c>
      <c r="H348">
        <v>5.2499999999999998E-2</v>
      </c>
      <c r="I348" s="1369">
        <v>3.8600000000000002E-2</v>
      </c>
      <c r="J348">
        <v>4.1000000000000002E-2</v>
      </c>
      <c r="K348">
        <v>4.0911046009596198E-2</v>
      </c>
      <c r="L348">
        <v>4.0753662375161565E-2</v>
      </c>
      <c r="M348">
        <v>4.1290784964519607E-2</v>
      </c>
      <c r="N348" s="13">
        <f t="shared" si="55"/>
        <v>0</v>
      </c>
    </row>
    <row r="349" spans="1:14" x14ac:dyDescent="0.25">
      <c r="A349" s="1368">
        <v>0.31</v>
      </c>
      <c r="B349">
        <v>5.4439127142429926E-2</v>
      </c>
      <c r="C349" s="13">
        <v>3.8136982536051911E-2</v>
      </c>
      <c r="D349" s="1378">
        <v>6.4899999999999999E-2</v>
      </c>
      <c r="E349" s="1378">
        <v>3.4000000000000002E-2</v>
      </c>
      <c r="F349">
        <v>6.4899999999999999E-2</v>
      </c>
      <c r="G349">
        <v>3.4000000000000002E-2</v>
      </c>
      <c r="H349">
        <v>5.2600000000000001E-2</v>
      </c>
      <c r="I349" s="1369">
        <v>3.8800000000000001E-2</v>
      </c>
      <c r="J349">
        <v>4.1000000000000002E-2</v>
      </c>
      <c r="K349">
        <v>4.1093455863445705E-2</v>
      </c>
      <c r="L349">
        <v>4.1127522812238276E-2</v>
      </c>
      <c r="M349">
        <v>4.1774207939250775E-2</v>
      </c>
      <c r="N349" s="13">
        <f t="shared" si="55"/>
        <v>0</v>
      </c>
    </row>
    <row r="350" spans="1:14" x14ac:dyDescent="0.25">
      <c r="A350" s="1368">
        <v>0.32</v>
      </c>
      <c r="B350">
        <v>5.4849449028207244E-2</v>
      </c>
      <c r="C350" s="13">
        <v>3.8435016350281126E-2</v>
      </c>
      <c r="D350" s="1378">
        <v>6.5299999999999997E-2</v>
      </c>
      <c r="E350" s="1378">
        <v>3.5999999999999997E-2</v>
      </c>
      <c r="F350">
        <v>6.5299999999999997E-2</v>
      </c>
      <c r="G350">
        <v>3.5999999999999997E-2</v>
      </c>
      <c r="H350">
        <v>5.3199999999999997E-2</v>
      </c>
      <c r="I350" s="1369">
        <v>3.9199999999999999E-2</v>
      </c>
      <c r="J350">
        <v>4.2000000000000003E-2</v>
      </c>
      <c r="K350">
        <v>4.1804775621237113E-2</v>
      </c>
      <c r="L350">
        <v>4.1607471781933796E-2</v>
      </c>
      <c r="M350">
        <v>4.2656848100384046E-2</v>
      </c>
      <c r="N350" s="13">
        <f t="shared" si="55"/>
        <v>0</v>
      </c>
    </row>
    <row r="351" spans="1:14" x14ac:dyDescent="0.25">
      <c r="A351" s="1368">
        <v>0.33</v>
      </c>
      <c r="B351">
        <v>5.5287441329522902E-2</v>
      </c>
      <c r="C351" s="13">
        <v>3.9178654212413525E-2</v>
      </c>
      <c r="D351" s="1378">
        <v>6.5500000000000003E-2</v>
      </c>
      <c r="E351" s="1378">
        <v>3.5999999999999997E-2</v>
      </c>
      <c r="F351">
        <v>6.5500000000000003E-2</v>
      </c>
      <c r="G351">
        <v>3.5999999999999997E-2</v>
      </c>
      <c r="H351">
        <v>5.3699999999999998E-2</v>
      </c>
      <c r="I351" s="1369">
        <v>3.9800000000000002E-2</v>
      </c>
      <c r="J351">
        <v>4.2000000000000003E-2</v>
      </c>
      <c r="K351">
        <v>4.216285653138048E-2</v>
      </c>
      <c r="L351">
        <v>4.1851591825251014E-2</v>
      </c>
      <c r="M351">
        <v>4.2770512184671969E-2</v>
      </c>
      <c r="N351" s="13">
        <f t="shared" si="55"/>
        <v>0</v>
      </c>
    </row>
    <row r="352" spans="1:14" x14ac:dyDescent="0.25">
      <c r="A352" s="1368">
        <v>0.34</v>
      </c>
      <c r="B352">
        <v>5.5534668714628282E-2</v>
      </c>
      <c r="C352" s="13">
        <v>3.9579277284946729E-2</v>
      </c>
      <c r="D352" s="1378">
        <v>6.5699999999999995E-2</v>
      </c>
      <c r="E352" s="1378">
        <v>3.6999999999999998E-2</v>
      </c>
      <c r="F352">
        <v>6.5699999999999995E-2</v>
      </c>
      <c r="G352">
        <v>3.6999999999999998E-2</v>
      </c>
      <c r="H352">
        <v>5.3800000000000001E-2</v>
      </c>
      <c r="I352" s="1369">
        <v>4.0300000000000002E-2</v>
      </c>
      <c r="J352">
        <v>4.2999999999999997E-2</v>
      </c>
      <c r="K352">
        <v>4.2258803742832904E-2</v>
      </c>
      <c r="L352">
        <v>4.2436908224832426E-2</v>
      </c>
      <c r="M352">
        <v>4.4554897571313888E-2</v>
      </c>
      <c r="N352" s="13">
        <f t="shared" si="55"/>
        <v>0</v>
      </c>
    </row>
    <row r="353" spans="1:14" x14ac:dyDescent="0.25">
      <c r="A353" s="1368">
        <v>0.35</v>
      </c>
      <c r="B353">
        <v>5.561264473604266E-2</v>
      </c>
      <c r="C353" s="13">
        <v>3.9765526657987542E-2</v>
      </c>
      <c r="D353" s="1378">
        <v>6.6000000000000003E-2</v>
      </c>
      <c r="E353" s="1378">
        <v>3.6999999999999998E-2</v>
      </c>
      <c r="F353">
        <v>6.6000000000000003E-2</v>
      </c>
      <c r="G353">
        <v>3.6999999999999998E-2</v>
      </c>
      <c r="H353">
        <v>5.3999999999999999E-2</v>
      </c>
      <c r="I353" s="1369">
        <v>4.0399999999999998E-2</v>
      </c>
      <c r="J353">
        <v>4.2999999999999997E-2</v>
      </c>
      <c r="K353">
        <v>4.245010641192392E-2</v>
      </c>
      <c r="L353">
        <v>4.2670963346650777E-2</v>
      </c>
      <c r="M353">
        <v>4.5634153631916904E-2</v>
      </c>
      <c r="N353" s="13">
        <f t="shared" si="55"/>
        <v>0</v>
      </c>
    </row>
    <row r="354" spans="1:14" x14ac:dyDescent="0.25">
      <c r="A354" s="1368">
        <v>0.36</v>
      </c>
      <c r="B354">
        <v>5.5754940328876228E-2</v>
      </c>
      <c r="C354" s="13">
        <v>4.0172014343707978E-2</v>
      </c>
      <c r="D354" s="1378">
        <v>6.6299999999999998E-2</v>
      </c>
      <c r="E354" s="1378">
        <v>3.7999999999999999E-2</v>
      </c>
      <c r="F354">
        <v>6.6299999999999998E-2</v>
      </c>
      <c r="G354">
        <v>3.7999999999999999E-2</v>
      </c>
      <c r="H354">
        <v>5.4100000000000002E-2</v>
      </c>
      <c r="I354" s="1369">
        <v>4.0500000000000001E-2</v>
      </c>
      <c r="J354">
        <v>4.2999999999999997E-2</v>
      </c>
      <c r="K354">
        <v>4.273267352646639E-2</v>
      </c>
      <c r="L354">
        <v>4.3076476087492641E-2</v>
      </c>
      <c r="M354">
        <v>4.5678971580426074E-2</v>
      </c>
      <c r="N354" s="13">
        <f t="shared" si="55"/>
        <v>0</v>
      </c>
    </row>
    <row r="355" spans="1:14" x14ac:dyDescent="0.25">
      <c r="A355" s="1368">
        <v>0.37</v>
      </c>
      <c r="B355">
        <v>5.5997734644881121E-2</v>
      </c>
      <c r="C355" s="13">
        <v>4.0212858809124924E-2</v>
      </c>
      <c r="D355" s="1378">
        <v>6.6400000000000001E-2</v>
      </c>
      <c r="E355" s="1378">
        <v>3.7999999999999999E-2</v>
      </c>
      <c r="F355">
        <v>6.6400000000000001E-2</v>
      </c>
      <c r="G355">
        <v>3.7999999999999999E-2</v>
      </c>
      <c r="H355">
        <v>5.4899999999999997E-2</v>
      </c>
      <c r="I355" s="1369">
        <v>4.0800000000000003E-2</v>
      </c>
      <c r="J355">
        <v>4.2999999999999997E-2</v>
      </c>
      <c r="K355">
        <v>4.3056487929111473E-2</v>
      </c>
      <c r="L355">
        <v>4.327874524995106E-2</v>
      </c>
      <c r="M355">
        <v>4.6123186148185537E-2</v>
      </c>
      <c r="N355" s="13">
        <f t="shared" si="55"/>
        <v>0</v>
      </c>
    </row>
    <row r="356" spans="1:14" x14ac:dyDescent="0.25">
      <c r="A356" s="1368">
        <v>0.38</v>
      </c>
      <c r="B356">
        <v>5.6197444051001577E-2</v>
      </c>
      <c r="C356" s="13">
        <v>4.0363803656989668E-2</v>
      </c>
      <c r="D356" s="1378">
        <v>6.6699999999999995E-2</v>
      </c>
      <c r="E356" s="1378">
        <v>3.9E-2</v>
      </c>
      <c r="F356">
        <v>6.6699999999999995E-2</v>
      </c>
      <c r="G356">
        <v>3.9E-2</v>
      </c>
      <c r="H356">
        <v>5.5800000000000002E-2</v>
      </c>
      <c r="I356" s="1369">
        <v>4.0899999999999999E-2</v>
      </c>
      <c r="J356">
        <v>4.3999999999999997E-2</v>
      </c>
      <c r="K356">
        <v>4.3549928939586167E-2</v>
      </c>
      <c r="L356">
        <v>4.3532821795503142E-2</v>
      </c>
      <c r="M356">
        <v>4.6207746703393553E-2</v>
      </c>
      <c r="N356" s="13">
        <f t="shared" si="55"/>
        <v>0</v>
      </c>
    </row>
    <row r="357" spans="1:14" x14ac:dyDescent="0.25">
      <c r="A357" s="1368">
        <v>0.39</v>
      </c>
      <c r="B357">
        <v>5.6308726898548003E-2</v>
      </c>
      <c r="C357" s="13">
        <v>4.0760809534507017E-2</v>
      </c>
      <c r="D357" s="1378">
        <v>6.7100000000000007E-2</v>
      </c>
      <c r="E357" s="1378">
        <v>3.9E-2</v>
      </c>
      <c r="F357">
        <v>6.7100000000000007E-2</v>
      </c>
      <c r="G357">
        <v>3.9E-2</v>
      </c>
      <c r="H357">
        <v>5.67E-2</v>
      </c>
      <c r="I357" s="1369">
        <v>4.1099999999999998E-2</v>
      </c>
      <c r="J357">
        <v>4.3999999999999997E-2</v>
      </c>
      <c r="K357">
        <v>4.3700325322565389E-2</v>
      </c>
      <c r="L357">
        <v>4.4055641520667745E-2</v>
      </c>
      <c r="M357">
        <v>5.0555060206744905E-2</v>
      </c>
      <c r="N357" s="13">
        <f t="shared" si="55"/>
        <v>0</v>
      </c>
    </row>
    <row r="358" spans="1:14" x14ac:dyDescent="0.25">
      <c r="A358" s="1368">
        <v>0.4</v>
      </c>
      <c r="B358">
        <v>5.6642315892142289E-2</v>
      </c>
      <c r="C358" s="13">
        <v>4.102512390016546E-2</v>
      </c>
      <c r="D358" s="1378">
        <v>6.7699999999999996E-2</v>
      </c>
      <c r="E358" s="1378">
        <v>0.04</v>
      </c>
      <c r="F358">
        <v>6.7699999999999996E-2</v>
      </c>
      <c r="G358">
        <v>0.04</v>
      </c>
      <c r="H358">
        <v>5.6899999999999999E-2</v>
      </c>
      <c r="I358" s="1369">
        <v>4.2000000000000003E-2</v>
      </c>
      <c r="J358">
        <v>4.4999999999999998E-2</v>
      </c>
      <c r="K358">
        <v>4.4339630492690713E-2</v>
      </c>
      <c r="L358">
        <v>4.4335774116182121E-2</v>
      </c>
      <c r="M358">
        <v>5.0995807852568312E-2</v>
      </c>
      <c r="N358" s="13">
        <f t="shared" si="55"/>
        <v>0</v>
      </c>
    </row>
    <row r="359" spans="1:14" x14ac:dyDescent="0.25">
      <c r="A359" s="1368">
        <v>0.41</v>
      </c>
      <c r="B359">
        <v>5.7127078126693404E-2</v>
      </c>
      <c r="C359" s="13">
        <v>4.1156234290507611E-2</v>
      </c>
      <c r="D359" s="1378">
        <v>6.8000000000000005E-2</v>
      </c>
      <c r="E359" s="1378">
        <v>0.04</v>
      </c>
      <c r="F359">
        <v>6.8000000000000005E-2</v>
      </c>
      <c r="G359">
        <v>0.04</v>
      </c>
      <c r="H359">
        <v>5.7099999999999998E-2</v>
      </c>
      <c r="I359" s="1369">
        <v>4.2099999999999999E-2</v>
      </c>
      <c r="J359">
        <v>4.4999999999999998E-2</v>
      </c>
      <c r="K359">
        <v>4.4437806569712787E-2</v>
      </c>
      <c r="L359">
        <v>4.4601467341110659E-2</v>
      </c>
      <c r="M359">
        <v>5.1942761844122609E-2</v>
      </c>
      <c r="N359" s="13">
        <f t="shared" si="55"/>
        <v>0</v>
      </c>
    </row>
    <row r="360" spans="1:14" x14ac:dyDescent="0.25">
      <c r="A360" s="1368">
        <v>0.42</v>
      </c>
      <c r="B360">
        <v>5.7391119680696039E-2</v>
      </c>
      <c r="C360" s="13">
        <v>4.115889700791845E-2</v>
      </c>
      <c r="D360" s="1378">
        <v>6.8400000000000002E-2</v>
      </c>
      <c r="E360" s="1378">
        <v>0.04</v>
      </c>
      <c r="F360">
        <v>6.8400000000000002E-2</v>
      </c>
      <c r="G360">
        <v>0.04</v>
      </c>
      <c r="H360">
        <v>5.7299999999999997E-2</v>
      </c>
      <c r="I360" s="1369">
        <v>4.2200000000000001E-2</v>
      </c>
      <c r="J360">
        <v>4.4999999999999998E-2</v>
      </c>
      <c r="K360">
        <v>4.4850196500406149E-2</v>
      </c>
      <c r="L360">
        <v>4.4941791588474049E-2</v>
      </c>
      <c r="M360">
        <v>5.4801262898611071E-2</v>
      </c>
      <c r="N360" s="13">
        <f t="shared" si="55"/>
        <v>0</v>
      </c>
    </row>
    <row r="361" spans="1:14" x14ac:dyDescent="0.25">
      <c r="A361" s="1368">
        <v>0.43</v>
      </c>
      <c r="B361">
        <v>5.7567274185278329E-2</v>
      </c>
      <c r="C361" s="13">
        <v>4.1165806979662371E-2</v>
      </c>
      <c r="D361" s="1378">
        <v>6.8699999999999997E-2</v>
      </c>
      <c r="E361" s="1378">
        <v>0.04</v>
      </c>
      <c r="F361">
        <v>6.8699999999999997E-2</v>
      </c>
      <c r="G361">
        <v>0.04</v>
      </c>
      <c r="H361">
        <v>5.7599999999999998E-2</v>
      </c>
      <c r="I361" s="1369">
        <v>4.2200000000000001E-2</v>
      </c>
      <c r="J361">
        <v>4.4999999999999998E-2</v>
      </c>
      <c r="K361">
        <v>4.5318758325262096E-2</v>
      </c>
      <c r="L361">
        <v>4.5076892082045183E-2</v>
      </c>
      <c r="M361">
        <v>5.4952712079263319E-2</v>
      </c>
      <c r="N361" s="13">
        <f t="shared" si="55"/>
        <v>0</v>
      </c>
    </row>
    <row r="362" spans="1:14" x14ac:dyDescent="0.25">
      <c r="A362" s="1368">
        <v>0.44</v>
      </c>
      <c r="B362">
        <v>5.7571052519687013E-2</v>
      </c>
      <c r="C362" s="13">
        <v>4.2109516990048459E-2</v>
      </c>
      <c r="D362" s="1378">
        <v>6.88E-2</v>
      </c>
      <c r="E362" s="1378">
        <v>4.1000000000000002E-2</v>
      </c>
      <c r="F362">
        <v>6.88E-2</v>
      </c>
      <c r="G362">
        <v>4.1000000000000002E-2</v>
      </c>
      <c r="H362">
        <v>5.8299999999999998E-2</v>
      </c>
      <c r="I362" s="1369">
        <v>4.24E-2</v>
      </c>
      <c r="J362">
        <v>4.5999999999999999E-2</v>
      </c>
      <c r="K362">
        <v>4.6103028903866618E-2</v>
      </c>
      <c r="L362">
        <v>4.5400319789394794E-2</v>
      </c>
      <c r="M362">
        <v>5.5362740191373071E-2</v>
      </c>
      <c r="N362" s="13">
        <f t="shared" si="55"/>
        <v>0</v>
      </c>
    </row>
    <row r="363" spans="1:14" x14ac:dyDescent="0.25">
      <c r="A363" s="1368">
        <v>0.45</v>
      </c>
      <c r="B363">
        <v>5.7574113088448689E-2</v>
      </c>
      <c r="C363" s="13">
        <v>4.2379840939049576E-2</v>
      </c>
      <c r="D363" s="1378">
        <v>6.9000000000000006E-2</v>
      </c>
      <c r="E363" s="1378">
        <v>4.1000000000000002E-2</v>
      </c>
      <c r="F363">
        <v>6.9000000000000006E-2</v>
      </c>
      <c r="G363">
        <v>4.1000000000000002E-2</v>
      </c>
      <c r="H363">
        <v>5.8500000000000003E-2</v>
      </c>
      <c r="I363" s="1369">
        <v>4.2599999999999999E-2</v>
      </c>
      <c r="J363">
        <v>4.5999999999999999E-2</v>
      </c>
      <c r="K363">
        <v>4.6425783207989103E-2</v>
      </c>
      <c r="L363">
        <v>4.552464342935203E-2</v>
      </c>
      <c r="M363">
        <v>5.6032662001165315E-2</v>
      </c>
      <c r="N363" s="13">
        <f t="shared" si="55"/>
        <v>0</v>
      </c>
    </row>
    <row r="364" spans="1:14" x14ac:dyDescent="0.25">
      <c r="A364" s="1368">
        <v>0.46</v>
      </c>
      <c r="B364">
        <v>5.775367982221901E-2</v>
      </c>
      <c r="C364" s="13">
        <v>4.3208382905026828E-2</v>
      </c>
      <c r="D364" s="1378">
        <v>6.9199999999999998E-2</v>
      </c>
      <c r="E364" s="1378">
        <v>4.1000000000000002E-2</v>
      </c>
      <c r="F364">
        <v>6.9199999999999998E-2</v>
      </c>
      <c r="G364">
        <v>4.1000000000000002E-2</v>
      </c>
      <c r="H364">
        <v>5.8700000000000002E-2</v>
      </c>
      <c r="I364" s="1369">
        <v>4.2700000000000002E-2</v>
      </c>
      <c r="J364">
        <v>4.5999999999999999E-2</v>
      </c>
      <c r="K364">
        <v>4.6819325477103962E-2</v>
      </c>
      <c r="L364">
        <v>4.5680036515335087E-2</v>
      </c>
      <c r="M364">
        <v>5.6323619326136248E-2</v>
      </c>
      <c r="N364" s="13">
        <f t="shared" si="55"/>
        <v>0</v>
      </c>
    </row>
    <row r="365" spans="1:14" x14ac:dyDescent="0.25">
      <c r="A365" s="1368">
        <v>0.47</v>
      </c>
      <c r="B365">
        <v>5.7932809081582048E-2</v>
      </c>
      <c r="C365" s="13">
        <v>4.3214194755505801E-2</v>
      </c>
      <c r="D365" s="1378">
        <v>6.93E-2</v>
      </c>
      <c r="E365" s="1378">
        <v>4.1000000000000002E-2</v>
      </c>
      <c r="F365">
        <v>6.93E-2</v>
      </c>
      <c r="G365">
        <v>4.1000000000000002E-2</v>
      </c>
      <c r="H365">
        <v>5.9200000000000003E-2</v>
      </c>
      <c r="I365" s="1369">
        <v>4.3700000000000003E-2</v>
      </c>
      <c r="J365">
        <v>4.5999999999999999E-2</v>
      </c>
      <c r="K365">
        <v>4.720140568206193E-2</v>
      </c>
      <c r="L365">
        <v>4.5945411854587857E-2</v>
      </c>
      <c r="M365">
        <v>5.6554541189981752E-2</v>
      </c>
      <c r="N365" s="13">
        <f t="shared" si="55"/>
        <v>0</v>
      </c>
    </row>
    <row r="366" spans="1:14" x14ac:dyDescent="0.25">
      <c r="A366" s="1368">
        <v>0.48</v>
      </c>
      <c r="B366">
        <v>5.8339217872693874E-2</v>
      </c>
      <c r="C366" s="13">
        <v>4.3608220790383977E-2</v>
      </c>
      <c r="D366" s="1378">
        <v>6.9800000000000001E-2</v>
      </c>
      <c r="E366" s="1378">
        <v>4.2999999999999997E-2</v>
      </c>
      <c r="F366">
        <v>6.9800000000000001E-2</v>
      </c>
      <c r="G366">
        <v>4.2999999999999997E-2</v>
      </c>
      <c r="H366">
        <v>5.96E-2</v>
      </c>
      <c r="I366" s="1369">
        <v>4.41E-2</v>
      </c>
      <c r="J366">
        <v>4.7E-2</v>
      </c>
      <c r="K366">
        <v>4.8325778394428073E-2</v>
      </c>
      <c r="L366">
        <v>4.6103918067686829E-2</v>
      </c>
      <c r="M366">
        <v>5.7878439908588014E-2</v>
      </c>
      <c r="N366" s="13">
        <f t="shared" si="55"/>
        <v>0</v>
      </c>
    </row>
    <row r="367" spans="1:14" x14ac:dyDescent="0.25">
      <c r="A367" s="1368">
        <v>0.49</v>
      </c>
      <c r="B367">
        <v>5.8661194698531163E-2</v>
      </c>
      <c r="C367" s="13">
        <v>4.4130006405636961E-2</v>
      </c>
      <c r="D367" s="1378">
        <v>6.9900000000000004E-2</v>
      </c>
      <c r="E367" s="1378">
        <v>4.2999999999999997E-2</v>
      </c>
      <c r="F367">
        <v>6.9900000000000004E-2</v>
      </c>
      <c r="G367">
        <v>4.2999999999999997E-2</v>
      </c>
      <c r="H367">
        <v>6.0299999999999999E-2</v>
      </c>
      <c r="I367" s="1369">
        <v>4.41E-2</v>
      </c>
      <c r="J367">
        <v>4.7E-2</v>
      </c>
      <c r="K367">
        <v>4.8971365668857118E-2</v>
      </c>
      <c r="L367">
        <v>4.6300394365783884E-2</v>
      </c>
      <c r="M367">
        <v>5.8004271381822202E-2</v>
      </c>
      <c r="N367" s="13">
        <f t="shared" si="55"/>
        <v>0</v>
      </c>
    </row>
    <row r="368" spans="1:14" x14ac:dyDescent="0.25">
      <c r="A368" s="1368">
        <v>0.5</v>
      </c>
      <c r="B368">
        <v>5.8960142652305807E-2</v>
      </c>
      <c r="C368" s="13">
        <v>4.4395062382433181E-2</v>
      </c>
      <c r="D368" s="1378">
        <v>7.0300000000000001E-2</v>
      </c>
      <c r="E368" s="1378">
        <v>4.3999999999999997E-2</v>
      </c>
      <c r="F368">
        <v>7.0300000000000001E-2</v>
      </c>
      <c r="G368">
        <v>4.3999999999999997E-2</v>
      </c>
      <c r="H368">
        <v>6.08E-2</v>
      </c>
      <c r="I368" s="1369">
        <v>4.4400000000000002E-2</v>
      </c>
      <c r="J368">
        <v>4.8000000000000001E-2</v>
      </c>
      <c r="K368">
        <v>4.9159785865213551E-2</v>
      </c>
      <c r="L368">
        <v>4.661593978471619E-2</v>
      </c>
      <c r="M368">
        <v>5.8671090076835457E-2</v>
      </c>
      <c r="N368" s="13">
        <f t="shared" si="55"/>
        <v>0</v>
      </c>
    </row>
    <row r="369" spans="1:14" x14ac:dyDescent="0.25">
      <c r="A369" s="1368">
        <v>0.51</v>
      </c>
      <c r="B369">
        <v>5.9520430823536266E-2</v>
      </c>
      <c r="C369" s="13">
        <v>4.4577121685262698E-2</v>
      </c>
      <c r="D369" s="1378">
        <v>7.0999999999999994E-2</v>
      </c>
      <c r="E369" s="1378">
        <v>4.3999999999999997E-2</v>
      </c>
      <c r="F369">
        <v>7.0999999999999994E-2</v>
      </c>
      <c r="G369">
        <v>4.3999999999999997E-2</v>
      </c>
      <c r="H369">
        <v>6.0900000000000003E-2</v>
      </c>
      <c r="I369" s="1369">
        <v>4.4699999999999997E-2</v>
      </c>
      <c r="J369">
        <v>4.8000000000000001E-2</v>
      </c>
      <c r="K369">
        <v>4.9647937327404482E-2</v>
      </c>
      <c r="L369">
        <v>4.6875999708278472E-2</v>
      </c>
      <c r="M369">
        <v>5.8957147505657601E-2</v>
      </c>
      <c r="N369" s="13">
        <f t="shared" si="55"/>
        <v>0</v>
      </c>
    </row>
    <row r="370" spans="1:14" x14ac:dyDescent="0.25">
      <c r="A370" s="1368">
        <v>0.52</v>
      </c>
      <c r="B370">
        <v>6.0218858919723318E-2</v>
      </c>
      <c r="C370" s="13">
        <v>4.4647293012378519E-2</v>
      </c>
      <c r="D370" s="1378">
        <v>7.1599999999999997E-2</v>
      </c>
      <c r="E370" s="1378">
        <v>4.3999999999999997E-2</v>
      </c>
      <c r="F370">
        <v>7.1599999999999997E-2</v>
      </c>
      <c r="G370">
        <v>4.3999999999999997E-2</v>
      </c>
      <c r="H370">
        <v>6.0999999999999999E-2</v>
      </c>
      <c r="I370" s="1369">
        <v>4.4900000000000002E-2</v>
      </c>
      <c r="J370">
        <v>4.8000000000000001E-2</v>
      </c>
      <c r="K370">
        <v>4.9923497351742271E-2</v>
      </c>
      <c r="L370">
        <v>4.7089476207817262E-2</v>
      </c>
      <c r="M370">
        <v>5.9745937139401108E-2</v>
      </c>
      <c r="N370" s="13">
        <f t="shared" si="55"/>
        <v>0</v>
      </c>
    </row>
    <row r="371" spans="1:14" x14ac:dyDescent="0.25">
      <c r="A371" s="1368">
        <v>0.53</v>
      </c>
      <c r="B371">
        <v>6.0666853588835681E-2</v>
      </c>
      <c r="C371" s="13">
        <v>4.4655299665020749E-2</v>
      </c>
      <c r="D371" s="1378">
        <v>7.17E-2</v>
      </c>
      <c r="E371" s="1378">
        <v>4.3999999999999997E-2</v>
      </c>
      <c r="F371">
        <v>7.17E-2</v>
      </c>
      <c r="G371">
        <v>4.3999999999999997E-2</v>
      </c>
      <c r="H371">
        <v>6.1199999999999997E-2</v>
      </c>
      <c r="I371" s="1369">
        <v>4.5900000000000003E-2</v>
      </c>
      <c r="J371">
        <v>4.8000000000000001E-2</v>
      </c>
      <c r="K371">
        <v>5.0608974665993005E-2</v>
      </c>
      <c r="L371">
        <v>4.7258780664003006E-2</v>
      </c>
      <c r="M371">
        <v>6.0431660492920009E-2</v>
      </c>
      <c r="N371" s="13">
        <f t="shared" si="55"/>
        <v>0</v>
      </c>
    </row>
    <row r="372" spans="1:14" x14ac:dyDescent="0.25">
      <c r="A372" s="1368">
        <v>0.54</v>
      </c>
      <c r="B372">
        <v>6.1191620832270782E-2</v>
      </c>
      <c r="C372" s="13">
        <v>4.4695146110560441E-2</v>
      </c>
      <c r="D372" s="1378">
        <v>7.17E-2</v>
      </c>
      <c r="E372" s="1378">
        <v>4.5999999999999999E-2</v>
      </c>
      <c r="F372">
        <v>7.17E-2</v>
      </c>
      <c r="G372">
        <v>4.5999999999999999E-2</v>
      </c>
      <c r="H372">
        <v>6.1400000000000003E-2</v>
      </c>
      <c r="I372" s="1369">
        <v>4.7199999999999999E-2</v>
      </c>
      <c r="J372">
        <v>4.9000000000000002E-2</v>
      </c>
      <c r="K372">
        <v>5.120708096025791E-2</v>
      </c>
      <c r="L372">
        <v>4.7543652950089277E-2</v>
      </c>
      <c r="M372">
        <v>6.1741082624414044E-2</v>
      </c>
      <c r="N372" s="13">
        <f t="shared" si="55"/>
        <v>0</v>
      </c>
    </row>
    <row r="373" spans="1:14" x14ac:dyDescent="0.25">
      <c r="A373" s="1368">
        <v>0.55000000000000004</v>
      </c>
      <c r="B373">
        <v>6.139158981977081E-2</v>
      </c>
      <c r="C373" s="13">
        <v>4.4772338776247145E-2</v>
      </c>
      <c r="D373" s="1378">
        <v>7.1800000000000003E-2</v>
      </c>
      <c r="E373" s="1378">
        <v>4.5999999999999999E-2</v>
      </c>
      <c r="F373">
        <v>7.1800000000000003E-2</v>
      </c>
      <c r="G373">
        <v>4.5999999999999999E-2</v>
      </c>
      <c r="H373">
        <v>6.1499999999999999E-2</v>
      </c>
      <c r="I373" s="1369">
        <v>4.7500000000000001E-2</v>
      </c>
      <c r="J373">
        <v>4.9000000000000002E-2</v>
      </c>
      <c r="K373">
        <v>5.1440264568808375E-2</v>
      </c>
      <c r="L373">
        <v>4.7930185142225606E-2</v>
      </c>
      <c r="M373">
        <v>6.2631785911313992E-2</v>
      </c>
      <c r="N373" s="13">
        <f t="shared" si="55"/>
        <v>0</v>
      </c>
    </row>
    <row r="374" spans="1:14" x14ac:dyDescent="0.25">
      <c r="A374" s="1368">
        <v>0.56000000000000005</v>
      </c>
      <c r="B374">
        <v>6.1407912731072684E-2</v>
      </c>
      <c r="C374" s="13">
        <v>4.485605648592516E-2</v>
      </c>
      <c r="D374" s="1378">
        <v>7.1900000000000006E-2</v>
      </c>
      <c r="E374" s="1378">
        <v>4.7E-2</v>
      </c>
      <c r="F374">
        <v>7.1900000000000006E-2</v>
      </c>
      <c r="G374">
        <v>4.7E-2</v>
      </c>
      <c r="H374">
        <v>6.3E-2</v>
      </c>
      <c r="I374" s="1369">
        <v>4.7899999999999998E-2</v>
      </c>
      <c r="J374">
        <v>4.9000000000000002E-2</v>
      </c>
      <c r="K374">
        <v>5.1640091495170189E-2</v>
      </c>
      <c r="L374">
        <v>4.8211349348980227E-2</v>
      </c>
      <c r="M374">
        <v>6.2745760822370031E-2</v>
      </c>
      <c r="N374" s="13">
        <f t="shared" si="55"/>
        <v>0</v>
      </c>
    </row>
    <row r="375" spans="1:14" x14ac:dyDescent="0.25">
      <c r="A375" s="1368">
        <v>0.56999999999999995</v>
      </c>
      <c r="B375">
        <v>6.1543464421818739E-2</v>
      </c>
      <c r="C375" s="13">
        <v>4.4915693023690681E-2</v>
      </c>
      <c r="D375" s="1378">
        <v>7.2099999999999997E-2</v>
      </c>
      <c r="E375" s="1378">
        <v>4.7E-2</v>
      </c>
      <c r="F375">
        <v>7.2099999999999997E-2</v>
      </c>
      <c r="G375">
        <v>4.7E-2</v>
      </c>
      <c r="H375">
        <v>6.4000000000000001E-2</v>
      </c>
      <c r="I375" s="1369">
        <v>4.8399999999999999E-2</v>
      </c>
      <c r="J375">
        <v>4.9000000000000002E-2</v>
      </c>
      <c r="K375">
        <v>5.2222131036174416E-2</v>
      </c>
      <c r="L375">
        <v>4.8480368156562974E-2</v>
      </c>
      <c r="M375">
        <v>6.2873979175326875E-2</v>
      </c>
      <c r="N375" s="13">
        <f t="shared" si="55"/>
        <v>0</v>
      </c>
    </row>
    <row r="376" spans="1:14" x14ac:dyDescent="0.25">
      <c r="A376" s="1368">
        <v>0.57999999999999996</v>
      </c>
      <c r="B376">
        <v>6.1774205666006818E-2</v>
      </c>
      <c r="C376" s="13">
        <v>4.5183164504347624E-2</v>
      </c>
      <c r="D376" s="1378">
        <v>7.22E-2</v>
      </c>
      <c r="E376" s="1378">
        <v>4.9000000000000002E-2</v>
      </c>
      <c r="F376">
        <v>7.22E-2</v>
      </c>
      <c r="G376">
        <v>4.9000000000000002E-2</v>
      </c>
      <c r="H376">
        <v>6.4199999999999993E-2</v>
      </c>
      <c r="I376" s="1369">
        <v>4.9299999999999997E-2</v>
      </c>
      <c r="J376">
        <v>0.05</v>
      </c>
      <c r="K376">
        <v>5.2591713345789042E-2</v>
      </c>
      <c r="L376">
        <v>4.8688566350089557E-2</v>
      </c>
      <c r="M376">
        <v>6.3164423709506132E-2</v>
      </c>
      <c r="N376" s="13">
        <f t="shared" si="55"/>
        <v>0</v>
      </c>
    </row>
    <row r="377" spans="1:14" x14ac:dyDescent="0.25">
      <c r="A377" s="1368">
        <v>0.59</v>
      </c>
      <c r="B377">
        <v>6.1939915575577528E-2</v>
      </c>
      <c r="C377" s="13">
        <v>4.5327024871906374E-2</v>
      </c>
      <c r="D377" s="1378">
        <v>7.2400000000000006E-2</v>
      </c>
      <c r="E377" s="1378">
        <v>4.9000000000000002E-2</v>
      </c>
      <c r="F377">
        <v>7.2400000000000006E-2</v>
      </c>
      <c r="G377">
        <v>4.9000000000000002E-2</v>
      </c>
      <c r="H377">
        <v>6.4399999999999999E-2</v>
      </c>
      <c r="I377" s="1369">
        <v>4.9500000000000002E-2</v>
      </c>
      <c r="J377">
        <v>0.05</v>
      </c>
      <c r="K377">
        <v>5.2734236125703791E-2</v>
      </c>
      <c r="L377">
        <v>4.9002214274632451E-2</v>
      </c>
      <c r="M377">
        <v>6.393230774965751E-2</v>
      </c>
      <c r="N377" s="13">
        <f t="shared" si="55"/>
        <v>0</v>
      </c>
    </row>
    <row r="378" spans="1:14" x14ac:dyDescent="0.25">
      <c r="A378" s="1368">
        <v>0.6</v>
      </c>
      <c r="B378">
        <v>6.1993925758270528E-2</v>
      </c>
      <c r="C378" s="13">
        <v>4.6004072971367903E-2</v>
      </c>
      <c r="D378" s="1378">
        <v>7.2800000000000004E-2</v>
      </c>
      <c r="E378" s="1378">
        <v>5.0999999999999997E-2</v>
      </c>
      <c r="F378">
        <v>7.2800000000000004E-2</v>
      </c>
      <c r="G378">
        <v>5.0999999999999997E-2</v>
      </c>
      <c r="H378">
        <v>6.5100000000000005E-2</v>
      </c>
      <c r="I378" s="1369">
        <v>4.9799999999999997E-2</v>
      </c>
      <c r="J378">
        <v>0.05</v>
      </c>
      <c r="K378">
        <v>5.3002351874441272E-2</v>
      </c>
      <c r="L378">
        <v>4.9139402258445763E-2</v>
      </c>
      <c r="M378">
        <v>6.4932030300165144E-2</v>
      </c>
      <c r="N378" s="13">
        <f t="shared" si="55"/>
        <v>0</v>
      </c>
    </row>
    <row r="379" spans="1:14" x14ac:dyDescent="0.25">
      <c r="A379" s="1368">
        <v>0.61</v>
      </c>
      <c r="B379">
        <v>6.2186384156759367E-2</v>
      </c>
      <c r="C379" s="13">
        <v>4.643708771103619E-2</v>
      </c>
      <c r="D379" s="1378">
        <v>7.2900000000000006E-2</v>
      </c>
      <c r="E379" s="1378">
        <v>5.0999999999999997E-2</v>
      </c>
      <c r="F379">
        <v>7.2900000000000006E-2</v>
      </c>
      <c r="G379">
        <v>5.0999999999999997E-2</v>
      </c>
      <c r="H379">
        <v>6.5600000000000006E-2</v>
      </c>
      <c r="I379" s="1369">
        <v>5.0599999999999999E-2</v>
      </c>
      <c r="J379">
        <v>0.05</v>
      </c>
      <c r="K379">
        <v>5.3444681264741375E-2</v>
      </c>
      <c r="L379">
        <v>4.9278026878497777E-2</v>
      </c>
      <c r="M379">
        <v>6.5821140333275116E-2</v>
      </c>
      <c r="N379" s="13">
        <f t="shared" si="55"/>
        <v>0</v>
      </c>
    </row>
    <row r="380" spans="1:14" x14ac:dyDescent="0.25">
      <c r="A380" s="1368">
        <v>0.62</v>
      </c>
      <c r="B380">
        <v>6.2342440006238967E-2</v>
      </c>
      <c r="C380" s="13">
        <v>4.721545298680447E-2</v>
      </c>
      <c r="D380" s="1378">
        <v>7.2999999999999995E-2</v>
      </c>
      <c r="E380" s="1378">
        <v>5.2999999999999999E-2</v>
      </c>
      <c r="F380">
        <v>7.2999999999999995E-2</v>
      </c>
      <c r="G380">
        <v>5.2999999999999999E-2</v>
      </c>
      <c r="H380">
        <v>6.5699999999999995E-2</v>
      </c>
      <c r="I380" s="1369">
        <v>5.0999999999999997E-2</v>
      </c>
      <c r="J380">
        <v>5.0999999999999997E-2</v>
      </c>
      <c r="K380">
        <v>5.3932821134279017E-2</v>
      </c>
      <c r="L380">
        <v>4.9379313217307638E-2</v>
      </c>
      <c r="M380">
        <v>6.5855203170441107E-2</v>
      </c>
      <c r="N380" s="13">
        <f t="shared" si="55"/>
        <v>0</v>
      </c>
    </row>
    <row r="381" spans="1:14" x14ac:dyDescent="0.25">
      <c r="A381" s="1368">
        <v>0.63</v>
      </c>
      <c r="B381">
        <v>6.2927239737997201E-2</v>
      </c>
      <c r="C381" s="13">
        <v>4.7767938300883571E-2</v>
      </c>
      <c r="D381" s="1378">
        <v>7.2999999999999995E-2</v>
      </c>
      <c r="E381" s="1378">
        <v>5.2999999999999999E-2</v>
      </c>
      <c r="F381">
        <v>7.2999999999999995E-2</v>
      </c>
      <c r="G381">
        <v>5.2999999999999999E-2</v>
      </c>
      <c r="H381">
        <v>6.6000000000000003E-2</v>
      </c>
      <c r="I381" s="1369">
        <v>5.0999999999999997E-2</v>
      </c>
      <c r="J381">
        <v>5.0999999999999997E-2</v>
      </c>
      <c r="K381">
        <v>5.501210284829066E-2</v>
      </c>
      <c r="L381">
        <v>4.9620269072410704E-2</v>
      </c>
      <c r="M381">
        <v>6.6075300813832116E-2</v>
      </c>
      <c r="N381" s="13">
        <f t="shared" si="55"/>
        <v>0</v>
      </c>
    </row>
    <row r="382" spans="1:14" x14ac:dyDescent="0.25">
      <c r="A382" s="1368">
        <v>0.64</v>
      </c>
      <c r="B382">
        <v>6.3524055637014659E-2</v>
      </c>
      <c r="C382" s="13">
        <v>4.8749942978221862E-2</v>
      </c>
      <c r="D382" s="1378">
        <v>7.3200000000000001E-2</v>
      </c>
      <c r="E382" s="1378">
        <v>5.3999999999999999E-2</v>
      </c>
      <c r="F382">
        <v>7.3200000000000001E-2</v>
      </c>
      <c r="G382">
        <v>5.3999999999999999E-2</v>
      </c>
      <c r="H382">
        <v>6.6299999999999998E-2</v>
      </c>
      <c r="I382" s="1369">
        <v>5.1799999999999999E-2</v>
      </c>
      <c r="J382">
        <v>5.0999999999999997E-2</v>
      </c>
      <c r="K382">
        <v>5.5090844069738375E-2</v>
      </c>
      <c r="L382">
        <v>4.9944075691687739E-2</v>
      </c>
      <c r="M382">
        <v>6.6206959795761453E-2</v>
      </c>
      <c r="N382" s="13">
        <f t="shared" si="55"/>
        <v>0</v>
      </c>
    </row>
    <row r="383" spans="1:14" x14ac:dyDescent="0.25">
      <c r="A383" s="1368">
        <v>0.65</v>
      </c>
      <c r="B383">
        <v>6.4042588961187405E-2</v>
      </c>
      <c r="C383" s="13">
        <v>4.9264909847434118E-2</v>
      </c>
      <c r="D383" s="1378">
        <v>7.3300000000000004E-2</v>
      </c>
      <c r="E383" s="1378">
        <v>5.3999999999999999E-2</v>
      </c>
      <c r="F383">
        <v>7.3300000000000004E-2</v>
      </c>
      <c r="G383">
        <v>5.3999999999999999E-2</v>
      </c>
      <c r="H383">
        <v>6.7000000000000004E-2</v>
      </c>
      <c r="I383" s="1369">
        <v>5.2900000000000003E-2</v>
      </c>
      <c r="J383">
        <v>5.0999999999999997E-2</v>
      </c>
      <c r="K383">
        <v>5.5471383966283094E-2</v>
      </c>
      <c r="L383">
        <v>5.0081108259965111E-2</v>
      </c>
      <c r="M383">
        <v>6.6576742289655932E-2</v>
      </c>
      <c r="N383" s="13">
        <f t="shared" ref="N383:N421" si="56">$B$106*B383+$C$106*C383+$D$106*D383+$E$106*E383+$F$106*F383+$G$106*G383+$H$106*H383+$I$106*I383+$J$106*J383+$K$106*K383+$L$106*L383+$M$106*M383</f>
        <v>0</v>
      </c>
    </row>
    <row r="384" spans="1:14" x14ac:dyDescent="0.25">
      <c r="A384" s="1368">
        <v>0.66</v>
      </c>
      <c r="B384">
        <v>6.4491099443865982E-2</v>
      </c>
      <c r="C384" s="13">
        <v>5.1366090075788372E-2</v>
      </c>
      <c r="D384" s="1378">
        <v>7.3499999999999996E-2</v>
      </c>
      <c r="E384" s="1378">
        <v>5.7000000000000002E-2</v>
      </c>
      <c r="F384">
        <v>7.3499999999999996E-2</v>
      </c>
      <c r="G384">
        <v>5.7000000000000002E-2</v>
      </c>
      <c r="H384">
        <v>6.7699999999999996E-2</v>
      </c>
      <c r="I384" s="1369">
        <v>5.3100000000000001E-2</v>
      </c>
      <c r="J384">
        <v>5.1999999999999998E-2</v>
      </c>
      <c r="K384">
        <v>5.5680815247002101E-2</v>
      </c>
      <c r="L384">
        <v>5.0320782820311612E-2</v>
      </c>
      <c r="M384">
        <v>6.7013514848077022E-2</v>
      </c>
      <c r="N384" s="13">
        <f t="shared" si="56"/>
        <v>0</v>
      </c>
    </row>
    <row r="385" spans="1:14" x14ac:dyDescent="0.25">
      <c r="A385" s="1368">
        <v>0.67</v>
      </c>
      <c r="B385">
        <v>6.5234279720903815E-2</v>
      </c>
      <c r="C385" s="13">
        <v>5.1740699531236715E-2</v>
      </c>
      <c r="D385" s="1378">
        <v>7.3700000000000002E-2</v>
      </c>
      <c r="E385" s="1378">
        <v>5.7000000000000002E-2</v>
      </c>
      <c r="F385">
        <v>7.3700000000000002E-2</v>
      </c>
      <c r="G385">
        <v>5.7000000000000002E-2</v>
      </c>
      <c r="H385">
        <v>6.8599999999999994E-2</v>
      </c>
      <c r="I385" s="1369">
        <v>5.4600000000000003E-2</v>
      </c>
      <c r="J385">
        <v>5.1999999999999998E-2</v>
      </c>
      <c r="K385">
        <v>5.631454841069513E-2</v>
      </c>
      <c r="L385">
        <v>5.0494028524765339E-2</v>
      </c>
      <c r="M385">
        <v>6.8112732248104421E-2</v>
      </c>
      <c r="N385" s="13">
        <f t="shared" si="56"/>
        <v>0</v>
      </c>
    </row>
    <row r="386" spans="1:14" x14ac:dyDescent="0.25">
      <c r="A386" s="1368">
        <v>0.68</v>
      </c>
      <c r="B386">
        <v>6.5386091365572191E-2</v>
      </c>
      <c r="C386" s="13">
        <v>5.1947832896599502E-2</v>
      </c>
      <c r="D386" s="1378">
        <v>7.3899999999999993E-2</v>
      </c>
      <c r="E386" s="1378">
        <v>5.8999999999999997E-2</v>
      </c>
      <c r="F386">
        <v>7.3899999999999993E-2</v>
      </c>
      <c r="G386">
        <v>5.8999999999999997E-2</v>
      </c>
      <c r="H386">
        <v>6.88E-2</v>
      </c>
      <c r="I386" s="1369">
        <v>5.4699999999999999E-2</v>
      </c>
      <c r="J386">
        <v>5.2999999999999999E-2</v>
      </c>
      <c r="K386">
        <v>5.705805026188461E-2</v>
      </c>
      <c r="L386">
        <v>5.094950879199947E-2</v>
      </c>
      <c r="M386">
        <v>6.8223173672242274E-2</v>
      </c>
      <c r="N386" s="13">
        <f t="shared" si="56"/>
        <v>0</v>
      </c>
    </row>
    <row r="387" spans="1:14" x14ac:dyDescent="0.25">
      <c r="A387" s="1368">
        <v>0.69</v>
      </c>
      <c r="B387">
        <v>6.5537903010240553E-2</v>
      </c>
      <c r="C387" s="13">
        <v>5.2330278152719546E-2</v>
      </c>
      <c r="D387" s="1378">
        <v>7.3999999999999996E-2</v>
      </c>
      <c r="E387" s="1378">
        <v>5.8999999999999997E-2</v>
      </c>
      <c r="F387">
        <v>7.3999999999999996E-2</v>
      </c>
      <c r="G387">
        <v>5.8999999999999997E-2</v>
      </c>
      <c r="H387">
        <v>6.88E-2</v>
      </c>
      <c r="I387" s="1369">
        <v>5.4899999999999997E-2</v>
      </c>
      <c r="J387">
        <v>5.2999999999999999E-2</v>
      </c>
      <c r="K387">
        <v>5.7464238769413575E-2</v>
      </c>
      <c r="L387">
        <v>5.1093692540879081E-2</v>
      </c>
      <c r="M387">
        <v>6.8932254391764813E-2</v>
      </c>
      <c r="N387" s="13">
        <f t="shared" si="56"/>
        <v>0</v>
      </c>
    </row>
    <row r="388" spans="1:14" x14ac:dyDescent="0.25">
      <c r="A388" s="1368">
        <v>0.7</v>
      </c>
      <c r="B388">
        <v>6.5834444712891113E-2</v>
      </c>
      <c r="C388" s="13">
        <v>5.2747100214346788E-2</v>
      </c>
      <c r="D388" s="1378">
        <v>7.4300000000000005E-2</v>
      </c>
      <c r="E388" s="1378">
        <v>6.0999999999999999E-2</v>
      </c>
      <c r="F388">
        <v>7.4300000000000005E-2</v>
      </c>
      <c r="G388">
        <v>6.0999999999999999E-2</v>
      </c>
      <c r="H388">
        <v>6.8900000000000003E-2</v>
      </c>
      <c r="I388" s="1369">
        <v>5.5E-2</v>
      </c>
      <c r="J388">
        <v>5.3999999999999999E-2</v>
      </c>
      <c r="K388">
        <v>5.799673931818327E-2</v>
      </c>
      <c r="L388">
        <v>5.1386316891839562E-2</v>
      </c>
      <c r="M388">
        <v>6.900667799206181E-2</v>
      </c>
      <c r="N388" s="13">
        <f t="shared" si="56"/>
        <v>0</v>
      </c>
    </row>
    <row r="389" spans="1:14" x14ac:dyDescent="0.25">
      <c r="A389" s="1368">
        <v>0.71</v>
      </c>
      <c r="B389">
        <v>6.6309411042600838E-2</v>
      </c>
      <c r="C389" s="13">
        <v>5.3171041567899015E-2</v>
      </c>
      <c r="D389" s="1378">
        <v>7.4499999999999997E-2</v>
      </c>
      <c r="E389" s="1378">
        <v>6.0999999999999999E-2</v>
      </c>
      <c r="F389">
        <v>7.4499999999999997E-2</v>
      </c>
      <c r="G389">
        <v>6.0999999999999999E-2</v>
      </c>
      <c r="H389">
        <v>6.9099999999999995E-2</v>
      </c>
      <c r="I389" s="1369">
        <v>5.6800000000000003E-2</v>
      </c>
      <c r="J389">
        <v>5.3999999999999999E-2</v>
      </c>
      <c r="K389">
        <v>5.8497074522364301E-2</v>
      </c>
      <c r="L389">
        <v>5.1657496644722613E-2</v>
      </c>
      <c r="M389">
        <v>7.015111425968748E-2</v>
      </c>
      <c r="N389" s="13">
        <f t="shared" si="56"/>
        <v>0</v>
      </c>
    </row>
    <row r="390" spans="1:14" x14ac:dyDescent="0.25">
      <c r="A390" s="1368">
        <v>0.72</v>
      </c>
      <c r="B390">
        <v>6.6807676162080318E-2</v>
      </c>
      <c r="C390" s="13">
        <v>5.4215956848340449E-2</v>
      </c>
      <c r="D390" s="1378">
        <v>7.4700000000000003E-2</v>
      </c>
      <c r="E390" s="1378">
        <v>6.5000000000000002E-2</v>
      </c>
      <c r="F390">
        <v>7.4700000000000003E-2</v>
      </c>
      <c r="G390">
        <v>6.5000000000000002E-2</v>
      </c>
      <c r="H390">
        <v>6.9699999999999998E-2</v>
      </c>
      <c r="I390" s="1369">
        <v>5.7200000000000001E-2</v>
      </c>
      <c r="J390">
        <v>5.3999999999999999E-2</v>
      </c>
      <c r="K390">
        <v>5.8785530283369025E-2</v>
      </c>
      <c r="L390">
        <v>5.1791677382411382E-2</v>
      </c>
      <c r="M390">
        <v>7.0151968223423303E-2</v>
      </c>
      <c r="N390" s="13">
        <f t="shared" si="56"/>
        <v>0</v>
      </c>
    </row>
    <row r="391" spans="1:14" x14ac:dyDescent="0.25">
      <c r="A391" s="1368">
        <v>0.73</v>
      </c>
      <c r="B391">
        <v>6.7263026243719229E-2</v>
      </c>
      <c r="C391" s="13">
        <v>5.4737022242585198E-2</v>
      </c>
      <c r="D391" s="1378">
        <v>7.4899999999999994E-2</v>
      </c>
      <c r="E391" s="1378">
        <v>6.5000000000000002E-2</v>
      </c>
      <c r="F391">
        <v>7.4899999999999994E-2</v>
      </c>
      <c r="G391">
        <v>6.5000000000000002E-2</v>
      </c>
      <c r="H391">
        <v>6.9800000000000001E-2</v>
      </c>
      <c r="I391" s="1369">
        <v>5.7599999999999998E-2</v>
      </c>
      <c r="J391">
        <v>5.3999999999999999E-2</v>
      </c>
      <c r="K391">
        <v>5.9651302839740947E-2</v>
      </c>
      <c r="L391">
        <v>5.2002054928136324E-2</v>
      </c>
      <c r="M391">
        <v>7.0664862438961806E-2</v>
      </c>
      <c r="N391" s="13">
        <f t="shared" si="56"/>
        <v>0</v>
      </c>
    </row>
    <row r="392" spans="1:14" x14ac:dyDescent="0.25">
      <c r="A392" s="1368">
        <v>0.74</v>
      </c>
      <c r="B392">
        <v>6.7519753309499275E-2</v>
      </c>
      <c r="C392" s="13">
        <v>5.5677446998567248E-2</v>
      </c>
      <c r="D392" s="1378">
        <v>7.5200000000000003E-2</v>
      </c>
      <c r="E392" s="1378">
        <v>6.6000000000000003E-2</v>
      </c>
      <c r="F392">
        <v>7.5200000000000003E-2</v>
      </c>
      <c r="G392">
        <v>6.6000000000000003E-2</v>
      </c>
      <c r="H392">
        <v>7.0000000000000007E-2</v>
      </c>
      <c r="I392" s="1369">
        <v>5.8400000000000001E-2</v>
      </c>
      <c r="J392">
        <v>5.5E-2</v>
      </c>
      <c r="K392">
        <v>6.0475046557134225E-2</v>
      </c>
      <c r="L392">
        <v>5.2280959284592809E-2</v>
      </c>
      <c r="M392">
        <v>7.0758333556098243E-2</v>
      </c>
      <c r="N392" s="13">
        <f t="shared" si="56"/>
        <v>0</v>
      </c>
    </row>
    <row r="393" spans="1:14" x14ac:dyDescent="0.25">
      <c r="A393" s="1368">
        <v>0.75</v>
      </c>
      <c r="B393">
        <v>6.8349768318160184E-2</v>
      </c>
      <c r="C393" s="13">
        <v>5.6487905757467705E-2</v>
      </c>
      <c r="D393" s="1378">
        <v>7.5499999999999998E-2</v>
      </c>
      <c r="E393" s="1378">
        <v>6.6000000000000003E-2</v>
      </c>
      <c r="F393">
        <v>7.5499999999999998E-2</v>
      </c>
      <c r="G393">
        <v>6.6000000000000003E-2</v>
      </c>
      <c r="H393">
        <v>7.0300000000000001E-2</v>
      </c>
      <c r="I393" s="1369">
        <v>5.8500000000000003E-2</v>
      </c>
      <c r="J393">
        <v>5.5E-2</v>
      </c>
      <c r="K393">
        <v>6.0988388339712242E-2</v>
      </c>
      <c r="L393">
        <v>5.2741333383053583E-2</v>
      </c>
      <c r="M393">
        <v>7.1580686877456071E-2</v>
      </c>
      <c r="N393" s="13">
        <f t="shared" si="56"/>
        <v>0</v>
      </c>
    </row>
    <row r="394" spans="1:14" x14ac:dyDescent="0.25">
      <c r="A394" s="1368">
        <v>0.76</v>
      </c>
      <c r="B394">
        <v>6.9526934147364342E-2</v>
      </c>
      <c r="C394" s="13">
        <v>5.7201600083459814E-2</v>
      </c>
      <c r="D394" s="1378">
        <v>7.5700000000000003E-2</v>
      </c>
      <c r="E394" s="1378">
        <v>6.7000000000000004E-2</v>
      </c>
      <c r="F394">
        <v>7.5700000000000003E-2</v>
      </c>
      <c r="G394">
        <v>6.7000000000000004E-2</v>
      </c>
      <c r="H394">
        <v>7.0599999999999996E-2</v>
      </c>
      <c r="I394" s="1369">
        <v>5.8799999999999998E-2</v>
      </c>
      <c r="J394">
        <v>5.6000000000000001E-2</v>
      </c>
      <c r="K394">
        <v>6.2225982248819006E-2</v>
      </c>
      <c r="L394">
        <v>5.3130503404853952E-2</v>
      </c>
      <c r="M394">
        <v>7.2195860514925048E-2</v>
      </c>
      <c r="N394" s="13">
        <f t="shared" si="56"/>
        <v>0</v>
      </c>
    </row>
    <row r="395" spans="1:14" x14ac:dyDescent="0.25">
      <c r="A395" s="1368">
        <v>0.77</v>
      </c>
      <c r="B395">
        <v>6.9944272856261328E-2</v>
      </c>
      <c r="C395" s="13">
        <v>5.7302030739530746E-2</v>
      </c>
      <c r="D395" s="1378">
        <v>7.5899999999999995E-2</v>
      </c>
      <c r="E395" s="1378">
        <v>6.7000000000000004E-2</v>
      </c>
      <c r="F395">
        <v>7.5899999999999995E-2</v>
      </c>
      <c r="G395">
        <v>6.7000000000000004E-2</v>
      </c>
      <c r="H395">
        <v>7.1400000000000005E-2</v>
      </c>
      <c r="I395" s="1369">
        <v>5.9299999999999999E-2</v>
      </c>
      <c r="J395">
        <v>5.6000000000000001E-2</v>
      </c>
      <c r="K395">
        <v>6.232600114961822E-2</v>
      </c>
      <c r="L395">
        <v>5.344237664558122E-2</v>
      </c>
      <c r="M395">
        <v>7.2243483840483264E-2</v>
      </c>
      <c r="N395" s="13">
        <f t="shared" si="56"/>
        <v>0</v>
      </c>
    </row>
    <row r="396" spans="1:14" x14ac:dyDescent="0.25">
      <c r="A396" s="1368">
        <v>0.78</v>
      </c>
      <c r="B396">
        <v>7.0569739482007565E-2</v>
      </c>
      <c r="C396" s="13">
        <v>5.7570579437147509E-2</v>
      </c>
      <c r="D396" s="1378">
        <v>7.6200000000000004E-2</v>
      </c>
      <c r="E396" s="1378">
        <v>7.1999999999999995E-2</v>
      </c>
      <c r="F396">
        <v>7.6200000000000004E-2</v>
      </c>
      <c r="G396">
        <v>7.1999999999999995E-2</v>
      </c>
      <c r="H396">
        <v>7.2999999999999995E-2</v>
      </c>
      <c r="I396" s="1369">
        <v>5.96E-2</v>
      </c>
      <c r="J396">
        <v>5.8000000000000003E-2</v>
      </c>
      <c r="K396">
        <v>6.3512252724869031E-2</v>
      </c>
      <c r="L396">
        <v>5.4074275095339151E-2</v>
      </c>
      <c r="M396">
        <v>7.2331641027570684E-2</v>
      </c>
      <c r="N396" s="13">
        <f t="shared" si="56"/>
        <v>0</v>
      </c>
    </row>
    <row r="397" spans="1:14" x14ac:dyDescent="0.25">
      <c r="A397" s="1368">
        <v>0.79</v>
      </c>
      <c r="B397">
        <v>7.1835351614450454E-2</v>
      </c>
      <c r="C397" s="13">
        <v>5.7571792991735669E-2</v>
      </c>
      <c r="D397" s="1378">
        <v>7.6499999999999999E-2</v>
      </c>
      <c r="E397" s="1378">
        <v>7.1999999999999995E-2</v>
      </c>
      <c r="F397">
        <v>7.6499999999999999E-2</v>
      </c>
      <c r="G397">
        <v>7.1999999999999995E-2</v>
      </c>
      <c r="H397">
        <v>7.3499999999999996E-2</v>
      </c>
      <c r="I397" s="1369">
        <v>6.2E-2</v>
      </c>
      <c r="J397">
        <v>5.8000000000000003E-2</v>
      </c>
      <c r="K397">
        <v>6.374841701956406E-2</v>
      </c>
      <c r="L397">
        <v>5.4845459312620422E-2</v>
      </c>
      <c r="M397">
        <v>7.3686593231157227E-2</v>
      </c>
      <c r="N397" s="13">
        <f t="shared" si="56"/>
        <v>0</v>
      </c>
    </row>
    <row r="398" spans="1:14" x14ac:dyDescent="0.25">
      <c r="A398" s="1368">
        <v>0.8</v>
      </c>
      <c r="B398">
        <v>7.3318821187959571E-2</v>
      </c>
      <c r="C398" s="13">
        <v>5.7746596838690198E-2</v>
      </c>
      <c r="D398" s="1378">
        <v>7.6700000000000004E-2</v>
      </c>
      <c r="E398" s="1378">
        <v>7.9000000000000001E-2</v>
      </c>
      <c r="F398">
        <v>7.6700000000000004E-2</v>
      </c>
      <c r="G398">
        <v>7.9000000000000001E-2</v>
      </c>
      <c r="H398">
        <v>7.4499999999999997E-2</v>
      </c>
      <c r="I398" s="1369">
        <v>6.4000000000000001E-2</v>
      </c>
      <c r="J398">
        <v>5.8000000000000003E-2</v>
      </c>
      <c r="K398">
        <v>6.4396069103546089E-2</v>
      </c>
      <c r="L398">
        <v>5.5215033841479154E-2</v>
      </c>
      <c r="M398">
        <v>7.4197133493800485E-2</v>
      </c>
      <c r="N398" s="13">
        <f t="shared" si="56"/>
        <v>0</v>
      </c>
    </row>
    <row r="399" spans="1:14" x14ac:dyDescent="0.25">
      <c r="A399" s="1368">
        <v>0.81</v>
      </c>
      <c r="B399">
        <v>7.456336231958885E-2</v>
      </c>
      <c r="C399" s="13">
        <v>5.8700886770003083E-2</v>
      </c>
      <c r="D399" s="1378">
        <v>7.7200000000000005E-2</v>
      </c>
      <c r="E399" s="1378">
        <v>7.9000000000000001E-2</v>
      </c>
      <c r="F399">
        <v>7.7200000000000005E-2</v>
      </c>
      <c r="G399">
        <v>7.9000000000000001E-2</v>
      </c>
      <c r="H399">
        <v>7.4999999999999997E-2</v>
      </c>
      <c r="I399" s="1369">
        <v>6.6100000000000006E-2</v>
      </c>
      <c r="J399">
        <v>5.8000000000000003E-2</v>
      </c>
      <c r="K399">
        <v>6.4831366700613985E-2</v>
      </c>
      <c r="L399">
        <v>5.57246334791393E-2</v>
      </c>
      <c r="M399">
        <v>7.4839620265650247E-2</v>
      </c>
      <c r="N399" s="13">
        <f t="shared" si="56"/>
        <v>0</v>
      </c>
    </row>
    <row r="400" spans="1:14" x14ac:dyDescent="0.25">
      <c r="A400" s="1368">
        <v>0.82</v>
      </c>
      <c r="B400">
        <v>7.546792825035456E-2</v>
      </c>
      <c r="C400" s="13">
        <v>5.9397273977741645E-2</v>
      </c>
      <c r="D400" s="1378">
        <v>7.7499999999999999E-2</v>
      </c>
      <c r="E400" s="1378">
        <v>9.0999999999999998E-2</v>
      </c>
      <c r="F400">
        <v>7.7499999999999999E-2</v>
      </c>
      <c r="G400">
        <v>9.0999999999999998E-2</v>
      </c>
      <c r="H400">
        <v>7.5200000000000003E-2</v>
      </c>
      <c r="I400" s="1369">
        <v>6.7599999999999993E-2</v>
      </c>
      <c r="J400">
        <v>5.8999999999999997E-2</v>
      </c>
      <c r="K400">
        <v>6.5251265149407864E-2</v>
      </c>
      <c r="L400">
        <v>5.6146245369921931E-2</v>
      </c>
      <c r="M400">
        <v>7.5036109714589627E-2</v>
      </c>
      <c r="N400" s="13">
        <f t="shared" si="56"/>
        <v>0</v>
      </c>
    </row>
    <row r="401" spans="1:14" x14ac:dyDescent="0.25">
      <c r="A401" s="1368">
        <v>0.83</v>
      </c>
      <c r="B401">
        <v>7.6786068680727446E-2</v>
      </c>
      <c r="C401" s="13">
        <v>6.1225213056564504E-2</v>
      </c>
      <c r="D401" s="1378">
        <v>7.7700000000000005E-2</v>
      </c>
      <c r="E401" s="1378">
        <v>9.0999999999999998E-2</v>
      </c>
      <c r="F401">
        <v>7.7700000000000005E-2</v>
      </c>
      <c r="G401">
        <v>9.0999999999999998E-2</v>
      </c>
      <c r="H401">
        <v>7.5899999999999995E-2</v>
      </c>
      <c r="I401" s="1369">
        <v>6.93E-2</v>
      </c>
      <c r="J401">
        <v>5.8999999999999997E-2</v>
      </c>
      <c r="K401">
        <v>6.5534250951235481E-2</v>
      </c>
      <c r="L401">
        <v>5.6476884503660826E-2</v>
      </c>
      <c r="M401">
        <v>7.6484238108261812E-2</v>
      </c>
      <c r="N401" s="13">
        <f t="shared" si="56"/>
        <v>0</v>
      </c>
    </row>
    <row r="402" spans="1:14" x14ac:dyDescent="0.25">
      <c r="A402" s="1368">
        <v>0.84</v>
      </c>
      <c r="B402">
        <v>7.779102862596432E-2</v>
      </c>
      <c r="C402" s="13">
        <v>6.1403813647852884E-2</v>
      </c>
      <c r="D402" s="1378">
        <v>7.8E-2</v>
      </c>
      <c r="E402" s="1378">
        <v>0.127</v>
      </c>
      <c r="F402">
        <v>7.8E-2</v>
      </c>
      <c r="G402">
        <v>0.127</v>
      </c>
      <c r="H402">
        <v>7.5999999999999998E-2</v>
      </c>
      <c r="I402" s="1369">
        <v>7.1199999999999999E-2</v>
      </c>
      <c r="J402">
        <v>0.06</v>
      </c>
      <c r="K402">
        <v>6.6243486792298065E-2</v>
      </c>
      <c r="L402">
        <v>5.689821487178448E-2</v>
      </c>
      <c r="M402">
        <v>7.8010502268406182E-2</v>
      </c>
      <c r="N402" s="13">
        <f t="shared" si="56"/>
        <v>0</v>
      </c>
    </row>
    <row r="403" spans="1:14" x14ac:dyDescent="0.25">
      <c r="A403" s="1368">
        <v>0.85</v>
      </c>
      <c r="B403">
        <v>7.9082518335924099E-2</v>
      </c>
      <c r="C403" s="13">
        <v>6.1404255913513887E-2</v>
      </c>
      <c r="D403" s="1378">
        <v>7.9000000000000001E-2</v>
      </c>
      <c r="E403" s="1378">
        <v>0.127</v>
      </c>
      <c r="F403">
        <v>7.9000000000000001E-2</v>
      </c>
      <c r="G403">
        <v>0.127</v>
      </c>
      <c r="H403">
        <v>7.8E-2</v>
      </c>
      <c r="I403" s="1369">
        <v>7.1900000000000006E-2</v>
      </c>
      <c r="J403">
        <v>0.06</v>
      </c>
      <c r="K403">
        <v>6.7298888481425956E-2</v>
      </c>
      <c r="L403">
        <v>5.7515999847886315E-2</v>
      </c>
      <c r="M403">
        <v>7.8135428493981016E-2</v>
      </c>
      <c r="N403" s="13">
        <f t="shared" si="56"/>
        <v>0</v>
      </c>
    </row>
    <row r="404" spans="1:14" x14ac:dyDescent="0.25">
      <c r="A404" s="1368">
        <v>0.86</v>
      </c>
      <c r="B404">
        <v>8.021838071126243E-2</v>
      </c>
      <c r="C404" s="13">
        <v>6.1465478117159474E-2</v>
      </c>
      <c r="D404" s="1378">
        <v>7.9100000000000004E-2</v>
      </c>
      <c r="E404" s="1378">
        <v>0.129</v>
      </c>
      <c r="F404">
        <v>7.9100000000000004E-2</v>
      </c>
      <c r="G404">
        <v>0.129</v>
      </c>
      <c r="H404">
        <v>7.8399999999999997E-2</v>
      </c>
      <c r="I404" s="1369">
        <v>7.1900000000000006E-2</v>
      </c>
      <c r="J404">
        <v>6.2E-2</v>
      </c>
      <c r="K404">
        <v>6.9072317960505891E-2</v>
      </c>
      <c r="L404">
        <v>5.8016816830537096E-2</v>
      </c>
      <c r="M404">
        <v>7.8750659382053251E-2</v>
      </c>
      <c r="N404" s="13">
        <f t="shared" si="56"/>
        <v>0</v>
      </c>
    </row>
    <row r="405" spans="1:14" x14ac:dyDescent="0.25">
      <c r="A405" s="1368">
        <v>0.87</v>
      </c>
      <c r="B405">
        <v>8.1918047339357716E-2</v>
      </c>
      <c r="C405" s="13">
        <v>6.3171468325796093E-2</v>
      </c>
      <c r="D405" s="1378">
        <v>7.9699999999999993E-2</v>
      </c>
      <c r="E405" s="1378">
        <v>0.129</v>
      </c>
      <c r="F405">
        <v>7.9699999999999993E-2</v>
      </c>
      <c r="G405">
        <v>0.129</v>
      </c>
      <c r="H405">
        <v>8.14E-2</v>
      </c>
      <c r="I405" s="1369">
        <v>7.3800000000000004E-2</v>
      </c>
      <c r="J405">
        <v>6.2E-2</v>
      </c>
      <c r="K405">
        <v>6.9471665301592059E-2</v>
      </c>
      <c r="L405">
        <v>5.863598462278384E-2</v>
      </c>
      <c r="M405">
        <v>7.959392530864362E-2</v>
      </c>
      <c r="N405" s="13">
        <f t="shared" si="56"/>
        <v>0</v>
      </c>
    </row>
    <row r="406" spans="1:14" x14ac:dyDescent="0.25">
      <c r="A406" s="1368">
        <v>0.88</v>
      </c>
      <c r="B406">
        <v>8.493755845983128E-2</v>
      </c>
      <c r="C406" s="13">
        <v>6.3448041894502608E-2</v>
      </c>
      <c r="D406" s="1378">
        <v>8.0399999999999999E-2</v>
      </c>
      <c r="E406" s="1378">
        <v>0.13600000000000001</v>
      </c>
      <c r="F406">
        <v>8.0399999999999999E-2</v>
      </c>
      <c r="G406">
        <v>0.13600000000000001</v>
      </c>
      <c r="H406">
        <v>8.1699999999999995E-2</v>
      </c>
      <c r="I406" s="1369">
        <v>7.5200000000000003E-2</v>
      </c>
      <c r="J406">
        <v>6.4000000000000001E-2</v>
      </c>
      <c r="K406">
        <v>7.0276315829456315E-2</v>
      </c>
      <c r="L406">
        <v>5.8995386075688827E-2</v>
      </c>
      <c r="M406">
        <v>7.9895031102273931E-2</v>
      </c>
      <c r="N406" s="13">
        <f t="shared" si="56"/>
        <v>0</v>
      </c>
    </row>
    <row r="407" spans="1:14" x14ac:dyDescent="0.25">
      <c r="A407" s="1368">
        <v>0.89</v>
      </c>
      <c r="B407">
        <v>8.5956957901898237E-2</v>
      </c>
      <c r="C407" s="13">
        <v>6.5407324667621808E-2</v>
      </c>
      <c r="D407" s="1378">
        <v>8.1299999999999997E-2</v>
      </c>
      <c r="E407" s="1378">
        <v>0.13600000000000001</v>
      </c>
      <c r="F407">
        <v>8.1299999999999997E-2</v>
      </c>
      <c r="G407">
        <v>0.13600000000000001</v>
      </c>
      <c r="H407">
        <v>8.4699999999999998E-2</v>
      </c>
      <c r="I407" s="1369">
        <v>7.9799999999999996E-2</v>
      </c>
      <c r="J407">
        <v>6.4000000000000001E-2</v>
      </c>
      <c r="K407">
        <v>7.1079794716608177E-2</v>
      </c>
      <c r="L407">
        <v>5.9759127698825382E-2</v>
      </c>
      <c r="M407">
        <v>8.0077036539599689E-2</v>
      </c>
      <c r="N407" s="13">
        <f t="shared" si="56"/>
        <v>0</v>
      </c>
    </row>
    <row r="408" spans="1:14" x14ac:dyDescent="0.25">
      <c r="A408" s="1368">
        <v>0.9</v>
      </c>
      <c r="B408">
        <v>8.8866737986844815E-2</v>
      </c>
      <c r="C408" s="13">
        <v>6.6983958048912731E-2</v>
      </c>
      <c r="D408" s="1378">
        <v>8.2299999999999998E-2</v>
      </c>
      <c r="E408" s="1378">
        <v>0.15</v>
      </c>
      <c r="F408">
        <v>8.2299999999999998E-2</v>
      </c>
      <c r="G408">
        <v>0.15</v>
      </c>
      <c r="H408">
        <v>8.6199999999999999E-2</v>
      </c>
      <c r="I408" s="1369">
        <v>8.43E-2</v>
      </c>
      <c r="J408">
        <v>6.6000000000000003E-2</v>
      </c>
      <c r="K408">
        <v>7.2831119380381643E-2</v>
      </c>
      <c r="L408">
        <v>6.0697400246521538E-2</v>
      </c>
      <c r="M408">
        <v>8.0335033689528212E-2</v>
      </c>
      <c r="N408" s="13">
        <f t="shared" si="56"/>
        <v>0</v>
      </c>
    </row>
    <row r="409" spans="1:14" x14ac:dyDescent="0.25">
      <c r="A409" s="1368">
        <v>0.91</v>
      </c>
      <c r="B409">
        <v>9.2438078194799975E-2</v>
      </c>
      <c r="C409" s="13">
        <v>6.9596642802092462E-2</v>
      </c>
      <c r="D409" s="1378">
        <v>8.3400000000000002E-2</v>
      </c>
      <c r="E409" s="1378">
        <v>0.15</v>
      </c>
      <c r="F409">
        <v>8.3400000000000002E-2</v>
      </c>
      <c r="G409">
        <v>0.15</v>
      </c>
      <c r="H409">
        <v>0.09</v>
      </c>
      <c r="I409" s="1369">
        <v>8.9800000000000005E-2</v>
      </c>
      <c r="J409">
        <v>6.6000000000000003E-2</v>
      </c>
      <c r="K409">
        <v>7.3087201971581639E-2</v>
      </c>
      <c r="L409">
        <v>6.2341367051995784E-2</v>
      </c>
      <c r="M409">
        <v>8.0947491697909102E-2</v>
      </c>
      <c r="N409" s="13">
        <f t="shared" si="56"/>
        <v>0</v>
      </c>
    </row>
    <row r="410" spans="1:14" x14ac:dyDescent="0.25">
      <c r="A410" s="1368">
        <v>0.92</v>
      </c>
      <c r="B410">
        <v>9.3759488916092662E-2</v>
      </c>
      <c r="C410" s="13">
        <v>7.1298069493638164E-2</v>
      </c>
      <c r="D410" s="1378">
        <v>8.3599999999999994E-2</v>
      </c>
      <c r="E410" s="1378">
        <v>0.17299999999999999</v>
      </c>
      <c r="F410">
        <v>8.3599999999999994E-2</v>
      </c>
      <c r="G410">
        <v>0.17299999999999999</v>
      </c>
      <c r="H410">
        <v>9.2100000000000001E-2</v>
      </c>
      <c r="I410" s="1369">
        <v>9.01E-2</v>
      </c>
      <c r="J410">
        <v>6.9000000000000006E-2</v>
      </c>
      <c r="K410">
        <v>7.3948960411485895E-2</v>
      </c>
      <c r="L410">
        <v>6.3084849485628064E-2</v>
      </c>
      <c r="M410">
        <v>8.1517807775567191E-2</v>
      </c>
      <c r="N410" s="13">
        <f t="shared" si="56"/>
        <v>0</v>
      </c>
    </row>
    <row r="411" spans="1:14" x14ac:dyDescent="0.25">
      <c r="A411" s="1368">
        <v>0.93</v>
      </c>
      <c r="B411">
        <v>9.3766233537097746E-2</v>
      </c>
      <c r="C411" s="13">
        <v>7.2279408769824985E-2</v>
      </c>
      <c r="D411" s="1378">
        <v>8.4699999999999998E-2</v>
      </c>
      <c r="E411" s="1378">
        <v>0.17299999999999999</v>
      </c>
      <c r="F411">
        <v>8.4699999999999998E-2</v>
      </c>
      <c r="G411">
        <v>0.17299999999999999</v>
      </c>
      <c r="H411">
        <v>9.6600000000000005E-2</v>
      </c>
      <c r="I411" s="1369">
        <v>9.0200000000000002E-2</v>
      </c>
      <c r="J411">
        <v>6.9000000000000006E-2</v>
      </c>
      <c r="K411">
        <v>7.550791398012173E-2</v>
      </c>
      <c r="L411">
        <v>6.38778247719477E-2</v>
      </c>
      <c r="M411">
        <v>8.1934165768493772E-2</v>
      </c>
      <c r="N411" s="13">
        <f t="shared" si="56"/>
        <v>0</v>
      </c>
    </row>
    <row r="412" spans="1:14" x14ac:dyDescent="0.25">
      <c r="A412" s="1368">
        <v>0.94</v>
      </c>
      <c r="B412">
        <v>9.5161923305407847E-2</v>
      </c>
      <c r="C412" s="13">
        <v>7.436830945816629E-2</v>
      </c>
      <c r="D412" s="1378">
        <v>8.5900000000000004E-2</v>
      </c>
      <c r="E412" s="1378">
        <v>0.20200000000000001</v>
      </c>
      <c r="F412">
        <v>8.5900000000000004E-2</v>
      </c>
      <c r="G412">
        <v>0.20200000000000001</v>
      </c>
      <c r="H412">
        <v>9.7900000000000001E-2</v>
      </c>
      <c r="I412" s="1369">
        <v>9.0899999999999995E-2</v>
      </c>
      <c r="J412">
        <v>7.0999999999999994E-2</v>
      </c>
      <c r="K412">
        <v>7.703745572012638E-2</v>
      </c>
      <c r="L412">
        <v>6.4686396958777329E-2</v>
      </c>
      <c r="M412">
        <v>8.2788005890371982E-2</v>
      </c>
      <c r="N412" s="13">
        <f t="shared" si="56"/>
        <v>0</v>
      </c>
    </row>
    <row r="413" spans="1:14" x14ac:dyDescent="0.25">
      <c r="A413" s="1368">
        <v>0.95</v>
      </c>
      <c r="B413">
        <v>9.6729733071243912E-2</v>
      </c>
      <c r="C413" s="13">
        <v>7.4684376163716634E-2</v>
      </c>
      <c r="D413" s="1378">
        <v>8.8300000000000003E-2</v>
      </c>
      <c r="E413" s="1378">
        <v>0.20200000000000001</v>
      </c>
      <c r="F413">
        <v>8.8300000000000003E-2</v>
      </c>
      <c r="G413">
        <v>0.20200000000000001</v>
      </c>
      <c r="H413">
        <v>9.8199999999999996E-2</v>
      </c>
      <c r="I413" s="1369">
        <v>0.1019</v>
      </c>
      <c r="J413">
        <v>7.1999999999999995E-2</v>
      </c>
      <c r="K413">
        <v>7.9921822537374163E-2</v>
      </c>
      <c r="L413">
        <v>6.5855203170441107E-2</v>
      </c>
      <c r="M413">
        <v>8.3007125120572137E-2</v>
      </c>
      <c r="N413" s="13">
        <f t="shared" si="56"/>
        <v>0</v>
      </c>
    </row>
    <row r="414" spans="1:14" x14ac:dyDescent="0.25">
      <c r="A414" s="1368">
        <v>0.96</v>
      </c>
      <c r="B414">
        <v>0.10271632464427888</v>
      </c>
      <c r="C414" s="13">
        <v>7.9082928687387588E-2</v>
      </c>
      <c r="D414" s="1378">
        <v>8.8599999999999998E-2</v>
      </c>
      <c r="E414" s="1378">
        <v>0.23200000000000001</v>
      </c>
      <c r="F414">
        <v>8.8599999999999998E-2</v>
      </c>
      <c r="G414">
        <v>0.23200000000000001</v>
      </c>
      <c r="H414">
        <v>0.107</v>
      </c>
      <c r="I414" s="1369">
        <v>0.12570000000000001</v>
      </c>
      <c r="J414">
        <v>7.2999999999999995E-2</v>
      </c>
      <c r="K414">
        <v>8.0757683881645462E-2</v>
      </c>
      <c r="L414">
        <v>6.7074884421271949E-2</v>
      </c>
      <c r="M414">
        <v>8.4553139281628331E-2</v>
      </c>
      <c r="N414" s="13">
        <f t="shared" si="56"/>
        <v>0</v>
      </c>
    </row>
    <row r="415" spans="1:14" x14ac:dyDescent="0.25">
      <c r="A415" s="1368">
        <v>0.97</v>
      </c>
      <c r="B415">
        <v>0.10829698002532144</v>
      </c>
      <c r="C415" s="13">
        <v>8.6975370551938547E-2</v>
      </c>
      <c r="D415" s="1378">
        <v>9.0300000000000005E-2</v>
      </c>
      <c r="E415" s="1378">
        <v>0.23200000000000001</v>
      </c>
      <c r="F415">
        <v>9.0300000000000005E-2</v>
      </c>
      <c r="G415">
        <v>0.23200000000000001</v>
      </c>
      <c r="H415">
        <v>0.1166</v>
      </c>
      <c r="I415" s="1369">
        <v>0.1356</v>
      </c>
      <c r="J415">
        <v>7.4999999999999997E-2</v>
      </c>
      <c r="K415">
        <v>8.8217612849514612E-2</v>
      </c>
      <c r="L415">
        <v>7.1580686877456071E-2</v>
      </c>
      <c r="M415">
        <v>8.5401322880950481E-2</v>
      </c>
      <c r="N415" s="13">
        <f t="shared" si="56"/>
        <v>0</v>
      </c>
    </row>
    <row r="416" spans="1:14" x14ac:dyDescent="0.25">
      <c r="A416" s="1368">
        <v>0.98</v>
      </c>
      <c r="B416">
        <v>0.11334344869830724</v>
      </c>
      <c r="C416" s="13">
        <v>9.8435266557093934E-2</v>
      </c>
      <c r="D416" s="1378">
        <v>9.1999999999999998E-2</v>
      </c>
      <c r="E416" s="1378">
        <v>0.28899999999999998</v>
      </c>
      <c r="F416">
        <v>9.1999999999999998E-2</v>
      </c>
      <c r="G416">
        <v>0.28899999999999998</v>
      </c>
      <c r="H416">
        <v>0.11799999999999999</v>
      </c>
      <c r="I416" s="1369">
        <v>0.13569999999999999</v>
      </c>
      <c r="J416">
        <v>7.8E-2</v>
      </c>
      <c r="K416">
        <v>9.4577579393877662E-2</v>
      </c>
      <c r="L416">
        <v>7.7026362919195762E-2</v>
      </c>
      <c r="M416">
        <v>8.6801984216314021E-2</v>
      </c>
      <c r="N416" s="13">
        <f t="shared" si="56"/>
        <v>0</v>
      </c>
    </row>
    <row r="417" spans="1:14" x14ac:dyDescent="0.25">
      <c r="A417" s="1368">
        <v>0.99</v>
      </c>
      <c r="B417">
        <v>0.12949946153696373</v>
      </c>
      <c r="C417" s="13">
        <v>0.1071553376948601</v>
      </c>
      <c r="D417" s="1378">
        <v>0.11310000000000001</v>
      </c>
      <c r="E417" s="1378">
        <v>0.28899999999999998</v>
      </c>
      <c r="F417">
        <v>0.11310000000000001</v>
      </c>
      <c r="G417">
        <v>0.28899999999999998</v>
      </c>
      <c r="H417">
        <v>0.12089999999999999</v>
      </c>
      <c r="I417" s="1369">
        <v>0.14230000000000001</v>
      </c>
      <c r="J417">
        <v>9.4E-2</v>
      </c>
      <c r="K417">
        <v>0.10807441632085323</v>
      </c>
      <c r="L417">
        <v>9.4124770917749803E-2</v>
      </c>
      <c r="M417">
        <v>8.7045279428524913E-2</v>
      </c>
      <c r="N417" s="13">
        <f t="shared" si="56"/>
        <v>0</v>
      </c>
    </row>
    <row r="418" spans="1:14" x14ac:dyDescent="0.25">
      <c r="A418" s="1368">
        <v>1</v>
      </c>
      <c r="B418">
        <v>0.17871892647258461</v>
      </c>
      <c r="C418" s="13">
        <v>0.19841051492367284</v>
      </c>
      <c r="D418" s="1378">
        <v>0.1363</v>
      </c>
      <c r="E418" s="1378">
        <v>0.32600000000000001</v>
      </c>
      <c r="F418">
        <v>0.1363</v>
      </c>
      <c r="G418">
        <v>0.32600000000000001</v>
      </c>
      <c r="H418">
        <v>0.14990000000000001</v>
      </c>
      <c r="I418" s="1369">
        <v>0.1449</v>
      </c>
      <c r="J418">
        <v>0.12</v>
      </c>
      <c r="K418">
        <v>0.13449091855561235</v>
      </c>
      <c r="L418">
        <v>0.11093769653409177</v>
      </c>
      <c r="M418">
        <v>9.3667747469695278E-2</v>
      </c>
      <c r="N418" s="13">
        <f t="shared" si="56"/>
        <v>0</v>
      </c>
    </row>
    <row r="419" spans="1:14" s="13" customFormat="1" x14ac:dyDescent="0.25">
      <c r="A419" s="1368" t="s">
        <v>1995</v>
      </c>
      <c r="B419" s="13">
        <f>AVERAGE('классы ЭЭ и выбросы ПГ'!$Y$57)</f>
        <v>5.7902903781744876E-2</v>
      </c>
      <c r="C419" s="13">
        <f>B419</f>
        <v>5.7902903781744876E-2</v>
      </c>
      <c r="D419" s="13">
        <f>AVERAGE('классы ЭЭ и выбросы ПГ'!$Z$57:$AA$57)</f>
        <v>5.4785073813936852E-2</v>
      </c>
      <c r="E419" s="13">
        <f>D419</f>
        <v>5.4785073813936852E-2</v>
      </c>
      <c r="F419" s="13">
        <f>AVERAGE('классы ЭЭ и выбросы ПГ'!$AB$57:$AC$57)</f>
        <v>5.2713690534256813E-2</v>
      </c>
      <c r="G419" s="13">
        <f>F419</f>
        <v>5.2713690534256813E-2</v>
      </c>
      <c r="H419" s="13">
        <f>AVERAGE('классы ЭЭ и выбросы ПГ'!$AD$57:$AE$57)</f>
        <v>5.1521384092608855E-2</v>
      </c>
      <c r="I419" s="13">
        <f>H419</f>
        <v>5.1521384092608855E-2</v>
      </c>
      <c r="J419" s="13">
        <f>AVERAGE('классы ЭЭ и выбросы ПГ'!$AF$57:$AG$57)</f>
        <v>5.0411866321984848E-2</v>
      </c>
      <c r="K419" s="13">
        <f>J419</f>
        <v>5.0411866321984848E-2</v>
      </c>
      <c r="L419" s="13">
        <f>AVERAGE('классы ЭЭ и выбросы ПГ'!$AH$57:$AN$57)</f>
        <v>4.9026761616752831E-2</v>
      </c>
      <c r="M419" s="13">
        <f>L419</f>
        <v>4.9026761616752831E-2</v>
      </c>
    </row>
    <row r="420" spans="1:14" s="13" customFormat="1" x14ac:dyDescent="0.25">
      <c r="A420" s="13" t="s">
        <v>1859</v>
      </c>
      <c r="B420" s="13" t="e">
        <f ca="1">AVERAGE('классы ЭЭ и выбросы ПГ'!$Y$51)</f>
        <v>#VALUE!</v>
      </c>
      <c r="C420" s="13" t="e">
        <f ca="1">B420</f>
        <v>#VALUE!</v>
      </c>
      <c r="D420" s="13" t="e">
        <f ca="1">AVERAGE('классы ЭЭ и выбросы ПГ'!$Z$51:$AA$51)</f>
        <v>#VALUE!</v>
      </c>
      <c r="E420" s="13" t="e">
        <f ca="1">D420</f>
        <v>#VALUE!</v>
      </c>
      <c r="F420" s="13" t="e">
        <f ca="1">AVERAGE('классы ЭЭ и выбросы ПГ'!$AB$51:$AC$51)</f>
        <v>#VALUE!</v>
      </c>
      <c r="G420" s="13" t="e">
        <f ca="1">F420</f>
        <v>#VALUE!</v>
      </c>
      <c r="H420" s="13" t="e">
        <f ca="1">AVERAGE('классы ЭЭ и выбросы ПГ'!$AD$51:$AE$51)</f>
        <v>#VALUE!</v>
      </c>
      <c r="I420" s="13" t="e">
        <f ca="1">H420</f>
        <v>#VALUE!</v>
      </c>
      <c r="J420" s="13" t="e">
        <f ca="1">AVERAGE('классы ЭЭ и выбросы ПГ'!$AF$51:$AG$51)</f>
        <v>#VALUE!</v>
      </c>
      <c r="K420" s="13" t="e">
        <f ca="1">J420</f>
        <v>#VALUE!</v>
      </c>
      <c r="L420" s="13" t="e">
        <f ca="1">AVERAGE('классы ЭЭ и выбросы ПГ'!$AH$51:$AN$51)</f>
        <v>#VALUE!</v>
      </c>
      <c r="M420" s="13" t="e">
        <f ca="1">L420</f>
        <v>#VALUE!</v>
      </c>
      <c r="N420" s="13" t="e">
        <f t="shared" ca="1" si="56"/>
        <v>#VALUE!</v>
      </c>
    </row>
    <row r="421" spans="1:14" s="13" customFormat="1" x14ac:dyDescent="0.25">
      <c r="A421" s="13" t="s">
        <v>1858</v>
      </c>
      <c r="B421" s="13" t="e">
        <f ca="1">B420*0.4</f>
        <v>#VALUE!</v>
      </c>
      <c r="C421" s="13" t="e">
        <f t="shared" ref="C421:M421" ca="1" si="57">C420*0.4</f>
        <v>#VALUE!</v>
      </c>
      <c r="D421" s="13" t="e">
        <f t="shared" ca="1" si="57"/>
        <v>#VALUE!</v>
      </c>
      <c r="E421" s="13" t="e">
        <f t="shared" ca="1" si="57"/>
        <v>#VALUE!</v>
      </c>
      <c r="F421" s="13" t="e">
        <f t="shared" ca="1" si="57"/>
        <v>#VALUE!</v>
      </c>
      <c r="G421" s="13" t="e">
        <f t="shared" ca="1" si="57"/>
        <v>#VALUE!</v>
      </c>
      <c r="H421" s="13" t="e">
        <f t="shared" ca="1" si="57"/>
        <v>#VALUE!</v>
      </c>
      <c r="I421" s="13" t="e">
        <f t="shared" ca="1" si="57"/>
        <v>#VALUE!</v>
      </c>
      <c r="J421" s="13" t="e">
        <f t="shared" ca="1" si="57"/>
        <v>#VALUE!</v>
      </c>
      <c r="K421" s="13" t="e">
        <f t="shared" ca="1" si="57"/>
        <v>#VALUE!</v>
      </c>
      <c r="L421" s="13" t="e">
        <f t="shared" ca="1" si="57"/>
        <v>#VALUE!</v>
      </c>
      <c r="M421" s="13" t="e">
        <f t="shared" ca="1" si="57"/>
        <v>#VALUE!</v>
      </c>
      <c r="N421" s="13" t="e">
        <f t="shared" ca="1" si="56"/>
        <v>#VALUE!</v>
      </c>
    </row>
    <row r="422" spans="1:14" x14ac:dyDescent="0.25">
      <c r="B422" s="13" t="s">
        <v>1845</v>
      </c>
      <c r="C422" s="13" t="s">
        <v>1846</v>
      </c>
      <c r="D422" s="13" t="s">
        <v>1847</v>
      </c>
      <c r="E422" s="13" t="s">
        <v>1848</v>
      </c>
      <c r="F422" s="13" t="s">
        <v>1849</v>
      </c>
      <c r="G422" s="13" t="s">
        <v>1850</v>
      </c>
      <c r="H422" s="13" t="s">
        <v>1851</v>
      </c>
      <c r="I422" s="1369" t="s">
        <v>1852</v>
      </c>
      <c r="J422" s="13" t="s">
        <v>1853</v>
      </c>
      <c r="K422" s="13" t="s">
        <v>1854</v>
      </c>
      <c r="L422" s="13" t="s">
        <v>1855</v>
      </c>
      <c r="M422" s="13" t="s">
        <v>1856</v>
      </c>
      <c r="N422" s="13" t="s">
        <v>1483</v>
      </c>
    </row>
    <row r="423" spans="1:14" x14ac:dyDescent="0.25">
      <c r="A423" s="13" t="s">
        <v>1858</v>
      </c>
      <c r="B423" t="e">
        <f t="shared" ref="B423:M423" ca="1" si="58">0.4*B420</f>
        <v>#VALUE!</v>
      </c>
      <c r="C423" s="13" t="e">
        <f t="shared" ca="1" si="58"/>
        <v>#VALUE!</v>
      </c>
      <c r="D423" s="13" t="e">
        <f t="shared" ca="1" si="58"/>
        <v>#VALUE!</v>
      </c>
      <c r="E423" s="13" t="e">
        <f t="shared" ca="1" si="58"/>
        <v>#VALUE!</v>
      </c>
      <c r="F423" s="13" t="e">
        <f t="shared" ca="1" si="58"/>
        <v>#VALUE!</v>
      </c>
      <c r="G423" s="13" t="e">
        <f t="shared" ca="1" si="58"/>
        <v>#VALUE!</v>
      </c>
      <c r="H423" s="13" t="e">
        <f t="shared" ca="1" si="58"/>
        <v>#VALUE!</v>
      </c>
      <c r="I423" s="13" t="e">
        <f t="shared" ca="1" si="58"/>
        <v>#VALUE!</v>
      </c>
      <c r="J423" s="13" t="e">
        <f t="shared" ca="1" si="58"/>
        <v>#VALUE!</v>
      </c>
      <c r="K423" s="13" t="e">
        <f t="shared" ca="1" si="58"/>
        <v>#VALUE!</v>
      </c>
      <c r="L423" s="13" t="e">
        <f t="shared" ca="1" si="58"/>
        <v>#VALUE!</v>
      </c>
      <c r="M423" s="13" t="e">
        <f t="shared" ca="1" si="58"/>
        <v>#VALUE!</v>
      </c>
      <c r="N423" s="13" t="e">
        <f ca="1">($B$106*B423+$C$106*C423+$D$106*D423+$E$106*E423+$F$106*F423+$G$106*G423+$H$106*H423+$I$106*I423+$J$106*J423+$K$106*K423+$L$106*L423+$M$106*M423)*'Ввод исходных данных'!$G$285</f>
        <v>#VALUE!</v>
      </c>
    </row>
    <row r="424" spans="1:14" x14ac:dyDescent="0.25">
      <c r="A424" s="13" t="s">
        <v>1861</v>
      </c>
      <c r="B424" t="e">
        <f t="shared" ref="B424:M424" ca="1" si="59">0.5*B420</f>
        <v>#VALUE!</v>
      </c>
      <c r="C424" s="13" t="e">
        <f t="shared" ca="1" si="59"/>
        <v>#VALUE!</v>
      </c>
      <c r="D424" s="13" t="e">
        <f t="shared" ca="1" si="59"/>
        <v>#VALUE!</v>
      </c>
      <c r="E424" s="13" t="e">
        <f t="shared" ca="1" si="59"/>
        <v>#VALUE!</v>
      </c>
      <c r="F424" s="13" t="e">
        <f t="shared" ca="1" si="59"/>
        <v>#VALUE!</v>
      </c>
      <c r="G424" s="13" t="e">
        <f t="shared" ca="1" si="59"/>
        <v>#VALUE!</v>
      </c>
      <c r="H424" s="13" t="e">
        <f t="shared" ca="1" si="59"/>
        <v>#VALUE!</v>
      </c>
      <c r="I424" s="13" t="e">
        <f t="shared" ca="1" si="59"/>
        <v>#VALUE!</v>
      </c>
      <c r="J424" s="13" t="e">
        <f t="shared" ca="1" si="59"/>
        <v>#VALUE!</v>
      </c>
      <c r="K424" s="13" t="e">
        <f t="shared" ca="1" si="59"/>
        <v>#VALUE!</v>
      </c>
      <c r="L424" s="13" t="e">
        <f t="shared" ca="1" si="59"/>
        <v>#VALUE!</v>
      </c>
      <c r="M424" s="13" t="e">
        <f t="shared" ca="1" si="59"/>
        <v>#VALUE!</v>
      </c>
      <c r="N424" s="13" t="e">
        <f ca="1">($B$106*B424+$C$106*C424+$D$106*D424+$E$106*E424+$F$106*F424+$G$106*G424+$H$106*H424+$I$106*I424+$J$106*J424+$K$106*K424+$L$106*L424+$M$106*M424)*'Ввод исходных данных'!$G$285</f>
        <v>#VALUE!</v>
      </c>
    </row>
    <row r="425" spans="1:14" x14ac:dyDescent="0.25">
      <c r="A425" s="13" t="s">
        <v>563</v>
      </c>
      <c r="B425" t="e">
        <f t="shared" ref="B425:M425" ca="1" si="60">0.6*B420</f>
        <v>#VALUE!</v>
      </c>
      <c r="C425" s="13" t="e">
        <f t="shared" ca="1" si="60"/>
        <v>#VALUE!</v>
      </c>
      <c r="D425" s="13" t="e">
        <f t="shared" ca="1" si="60"/>
        <v>#VALUE!</v>
      </c>
      <c r="E425" s="13" t="e">
        <f t="shared" ca="1" si="60"/>
        <v>#VALUE!</v>
      </c>
      <c r="F425" s="13" t="e">
        <f t="shared" ca="1" si="60"/>
        <v>#VALUE!</v>
      </c>
      <c r="G425" s="13" t="e">
        <f t="shared" ca="1" si="60"/>
        <v>#VALUE!</v>
      </c>
      <c r="H425" s="13" t="e">
        <f t="shared" ca="1" si="60"/>
        <v>#VALUE!</v>
      </c>
      <c r="I425" s="13" t="e">
        <f t="shared" ca="1" si="60"/>
        <v>#VALUE!</v>
      </c>
      <c r="J425" s="13" t="e">
        <f t="shared" ca="1" si="60"/>
        <v>#VALUE!</v>
      </c>
      <c r="K425" s="13" t="e">
        <f t="shared" ca="1" si="60"/>
        <v>#VALUE!</v>
      </c>
      <c r="L425" s="13" t="e">
        <f t="shared" ca="1" si="60"/>
        <v>#VALUE!</v>
      </c>
      <c r="M425" s="13" t="e">
        <f t="shared" ca="1" si="60"/>
        <v>#VALUE!</v>
      </c>
      <c r="N425" s="13" t="e">
        <f ca="1">($B$106*B425+$C$106*C425+$D$106*D425+$E$106*E425+$F$106*F425+$G$106*G425+$H$106*H425+$I$106*I425+$J$106*J425+$K$106*K425+$L$106*L425+$M$106*M425)*'Ввод исходных данных'!$G$285</f>
        <v>#VALUE!</v>
      </c>
    </row>
    <row r="426" spans="1:14" x14ac:dyDescent="0.25">
      <c r="A426" s="13" t="s">
        <v>1792</v>
      </c>
      <c r="B426" t="e">
        <f t="shared" ref="B426:M426" ca="1" si="61">0.7*B420</f>
        <v>#VALUE!</v>
      </c>
      <c r="C426" s="13" t="e">
        <f t="shared" ca="1" si="61"/>
        <v>#VALUE!</v>
      </c>
      <c r="D426" s="13" t="e">
        <f t="shared" ca="1" si="61"/>
        <v>#VALUE!</v>
      </c>
      <c r="E426" s="13" t="e">
        <f t="shared" ca="1" si="61"/>
        <v>#VALUE!</v>
      </c>
      <c r="F426" s="13" t="e">
        <f t="shared" ca="1" si="61"/>
        <v>#VALUE!</v>
      </c>
      <c r="G426" s="13" t="e">
        <f t="shared" ca="1" si="61"/>
        <v>#VALUE!</v>
      </c>
      <c r="H426" s="13" t="e">
        <f t="shared" ca="1" si="61"/>
        <v>#VALUE!</v>
      </c>
      <c r="I426" s="13" t="e">
        <f t="shared" ca="1" si="61"/>
        <v>#VALUE!</v>
      </c>
      <c r="J426" s="13" t="e">
        <f t="shared" ca="1" si="61"/>
        <v>#VALUE!</v>
      </c>
      <c r="K426" s="13" t="e">
        <f t="shared" ca="1" si="61"/>
        <v>#VALUE!</v>
      </c>
      <c r="L426" s="13" t="e">
        <f t="shared" ca="1" si="61"/>
        <v>#VALUE!</v>
      </c>
      <c r="M426" s="13" t="e">
        <f t="shared" ca="1" si="61"/>
        <v>#VALUE!</v>
      </c>
      <c r="N426" s="13" t="e">
        <f ca="1">($B$106*B426+$C$106*C426+$D$106*D426+$E$106*E426+$F$106*F426+$G$106*G426+$H$106*H426+$I$106*I426+$J$106*J426+$K$106*K426+$L$106*L426+$M$106*M426)*'Ввод исходных данных'!$G$285</f>
        <v>#VALUE!</v>
      </c>
    </row>
    <row r="427" spans="1:14" x14ac:dyDescent="0.25">
      <c r="A427" s="13" t="s">
        <v>1793</v>
      </c>
      <c r="B427" t="e">
        <f t="shared" ref="B427:M427" ca="1" si="62">0.85*B420</f>
        <v>#VALUE!</v>
      </c>
      <c r="C427" s="13" t="e">
        <f t="shared" ca="1" si="62"/>
        <v>#VALUE!</v>
      </c>
      <c r="D427" s="13" t="e">
        <f t="shared" ca="1" si="62"/>
        <v>#VALUE!</v>
      </c>
      <c r="E427" s="13" t="e">
        <f t="shared" ca="1" si="62"/>
        <v>#VALUE!</v>
      </c>
      <c r="F427" s="13" t="e">
        <f t="shared" ca="1" si="62"/>
        <v>#VALUE!</v>
      </c>
      <c r="G427" s="13" t="e">
        <f t="shared" ca="1" si="62"/>
        <v>#VALUE!</v>
      </c>
      <c r="H427" s="13" t="e">
        <f t="shared" ca="1" si="62"/>
        <v>#VALUE!</v>
      </c>
      <c r="I427" s="13" t="e">
        <f t="shared" ca="1" si="62"/>
        <v>#VALUE!</v>
      </c>
      <c r="J427" s="13" t="e">
        <f t="shared" ca="1" si="62"/>
        <v>#VALUE!</v>
      </c>
      <c r="K427" s="13" t="e">
        <f t="shared" ca="1" si="62"/>
        <v>#VALUE!</v>
      </c>
      <c r="L427" s="13" t="e">
        <f t="shared" ca="1" si="62"/>
        <v>#VALUE!</v>
      </c>
      <c r="M427" s="13" t="e">
        <f t="shared" ca="1" si="62"/>
        <v>#VALUE!</v>
      </c>
      <c r="N427" s="13" t="e">
        <f ca="1">(B$106*B427+$C$106*C427+$D$106*D427+$E$106*E427+$F$106*F427+$G$106*G427+$H$106*H427+$I$106*I427+$J$106*J427+$K$106*K427+$L$106*L427+$M$106*M427)*'Ввод исходных данных'!$G$285</f>
        <v>#VALUE!</v>
      </c>
    </row>
    <row r="428" spans="1:14" x14ac:dyDescent="0.25">
      <c r="A428" s="13" t="s">
        <v>1794</v>
      </c>
      <c r="B428" t="e">
        <f t="shared" ref="B428:M428" ca="1" si="63">B420</f>
        <v>#VALUE!</v>
      </c>
      <c r="C428" s="13" t="e">
        <f t="shared" ca="1" si="63"/>
        <v>#VALUE!</v>
      </c>
      <c r="D428" s="13" t="e">
        <f t="shared" ca="1" si="63"/>
        <v>#VALUE!</v>
      </c>
      <c r="E428" s="13" t="e">
        <f t="shared" ca="1" si="63"/>
        <v>#VALUE!</v>
      </c>
      <c r="F428" s="13" t="e">
        <f t="shared" ca="1" si="63"/>
        <v>#VALUE!</v>
      </c>
      <c r="G428" s="13" t="e">
        <f t="shared" ca="1" si="63"/>
        <v>#VALUE!</v>
      </c>
      <c r="H428" s="13" t="e">
        <f t="shared" ca="1" si="63"/>
        <v>#VALUE!</v>
      </c>
      <c r="I428" s="13" t="e">
        <f t="shared" ca="1" si="63"/>
        <v>#VALUE!</v>
      </c>
      <c r="J428" s="13" t="e">
        <f t="shared" ca="1" si="63"/>
        <v>#VALUE!</v>
      </c>
      <c r="K428" s="13" t="e">
        <f t="shared" ca="1" si="63"/>
        <v>#VALUE!</v>
      </c>
      <c r="L428" s="13" t="e">
        <f t="shared" ca="1" si="63"/>
        <v>#VALUE!</v>
      </c>
      <c r="M428" s="13" t="e">
        <f t="shared" ca="1" si="63"/>
        <v>#VALUE!</v>
      </c>
      <c r="N428" s="13" t="e">
        <f ca="1">($B$106*B428+$C$106*C428+$D$106*D428+$E$106*E428+$F$106*F428+$G$106*G428+$H$106*H428+$I$106*I428+$J$106*J428+$K$106*K428+$L$106*L428+$M$106*M428)*'Ввод исходных данных'!$G$285</f>
        <v>#VALUE!</v>
      </c>
    </row>
    <row r="429" spans="1:14" x14ac:dyDescent="0.25">
      <c r="A429" s="13" t="s">
        <v>1795</v>
      </c>
      <c r="B429" t="e">
        <f t="shared" ref="B429:M429" ca="1" si="64">B420*1.25</f>
        <v>#VALUE!</v>
      </c>
      <c r="C429" s="13" t="e">
        <f t="shared" ca="1" si="64"/>
        <v>#VALUE!</v>
      </c>
      <c r="D429" s="13" t="e">
        <f t="shared" ca="1" si="64"/>
        <v>#VALUE!</v>
      </c>
      <c r="E429" s="13" t="e">
        <f t="shared" ca="1" si="64"/>
        <v>#VALUE!</v>
      </c>
      <c r="F429" s="13" t="e">
        <f t="shared" ca="1" si="64"/>
        <v>#VALUE!</v>
      </c>
      <c r="G429" s="13" t="e">
        <f t="shared" ca="1" si="64"/>
        <v>#VALUE!</v>
      </c>
      <c r="H429" s="13" t="e">
        <f t="shared" ca="1" si="64"/>
        <v>#VALUE!</v>
      </c>
      <c r="I429" s="13" t="e">
        <f t="shared" ca="1" si="64"/>
        <v>#VALUE!</v>
      </c>
      <c r="J429" s="13" t="e">
        <f t="shared" ca="1" si="64"/>
        <v>#VALUE!</v>
      </c>
      <c r="K429" s="13" t="e">
        <f t="shared" ca="1" si="64"/>
        <v>#VALUE!</v>
      </c>
      <c r="L429" s="13" t="e">
        <f t="shared" ca="1" si="64"/>
        <v>#VALUE!</v>
      </c>
      <c r="M429" s="13" t="e">
        <f t="shared" ca="1" si="64"/>
        <v>#VALUE!</v>
      </c>
      <c r="N429" s="13" t="e">
        <f ca="1">($B$106*B429+$C$106*C429+$D$106*D429+$E$106*E429+$F$106*F429+$G$106*G429+$H$106*H429+$I$106*I429+$J$106*J429+$K$106*K429+$L$106*L429+$M$106*M429)*'Ввод исходных данных'!$G$285</f>
        <v>#VALUE!</v>
      </c>
    </row>
    <row r="430" spans="1:14" x14ac:dyDescent="0.25">
      <c r="A430" s="13" t="s">
        <v>1796</v>
      </c>
      <c r="B430" t="e">
        <f t="shared" ref="B430:M430" ca="1" si="65">B420*1.5</f>
        <v>#VALUE!</v>
      </c>
      <c r="C430" s="13" t="e">
        <f t="shared" ca="1" si="65"/>
        <v>#VALUE!</v>
      </c>
      <c r="D430" s="13" t="e">
        <f t="shared" ca="1" si="65"/>
        <v>#VALUE!</v>
      </c>
      <c r="E430" s="13" t="e">
        <f t="shared" ca="1" si="65"/>
        <v>#VALUE!</v>
      </c>
      <c r="F430" s="13" t="e">
        <f t="shared" ca="1" si="65"/>
        <v>#VALUE!</v>
      </c>
      <c r="G430" s="13" t="e">
        <f t="shared" ca="1" si="65"/>
        <v>#VALUE!</v>
      </c>
      <c r="H430" s="13" t="e">
        <f t="shared" ca="1" si="65"/>
        <v>#VALUE!</v>
      </c>
      <c r="I430" s="13" t="e">
        <f t="shared" ca="1" si="65"/>
        <v>#VALUE!</v>
      </c>
      <c r="J430" s="13" t="e">
        <f t="shared" ca="1" si="65"/>
        <v>#VALUE!</v>
      </c>
      <c r="K430" s="13" t="e">
        <f t="shared" ca="1" si="65"/>
        <v>#VALUE!</v>
      </c>
      <c r="L430" s="13" t="e">
        <f t="shared" ca="1" si="65"/>
        <v>#VALUE!</v>
      </c>
      <c r="M430" s="13" t="e">
        <f t="shared" ca="1" si="65"/>
        <v>#VALUE!</v>
      </c>
      <c r="N430" s="13" t="e">
        <f ca="1">($B$106*B430+$C$106*C430+$D$106*D430+$E$106*E430+$F$106*F430+$G$106*G430+$H$106*H430+$I$106*I430+$J$106*J430+$K$106*K430+$L$106*L430+$M$106*M430)*'Ввод исходных данных'!$G$285</f>
        <v>#VALUE!</v>
      </c>
    </row>
    <row r="431" spans="1:14" x14ac:dyDescent="0.25">
      <c r="A431" s="13" t="s">
        <v>1797</v>
      </c>
      <c r="N431" s="13"/>
    </row>
  </sheetData>
  <sheetProtection password="ECB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I100"/>
  <sheetViews>
    <sheetView topLeftCell="B1" zoomScale="90" zoomScaleNormal="90" zoomScaleSheetLayoutView="70" workbookViewId="0">
      <selection activeCell="D9" sqref="D9"/>
    </sheetView>
  </sheetViews>
  <sheetFormatPr defaultColWidth="0" defaultRowHeight="12" customHeight="1" zeroHeight="1" x14ac:dyDescent="0.25"/>
  <cols>
    <col min="1" max="1" width="9.140625" style="51" hidden="1" customWidth="1"/>
    <col min="2" max="2" width="4.5703125" style="51" bestFit="1" customWidth="1"/>
    <col min="3" max="3" width="66.5703125" style="51" customWidth="1"/>
    <col min="4" max="4" width="42" style="51" customWidth="1"/>
    <col min="5" max="5" width="53.5703125" style="51" customWidth="1"/>
    <col min="6" max="6" width="27.140625" style="1068" customWidth="1"/>
    <col min="7" max="7" width="4.28515625" style="1068" customWidth="1"/>
    <col min="8" max="8" width="9.140625" style="51" customWidth="1"/>
    <col min="9" max="9" width="9.140625" style="51" hidden="1" customWidth="1"/>
    <col min="10" max="16384" width="9.140625" style="13" hidden="1"/>
  </cols>
  <sheetData>
    <row r="1" spans="1:9" s="1536" customFormat="1" ht="15" customHeight="1" x14ac:dyDescent="0.25">
      <c r="A1" s="1325"/>
      <c r="B1" s="1326"/>
      <c r="C1" s="1271" t="s">
        <v>1573</v>
      </c>
      <c r="D1" s="1379"/>
      <c r="E1" s="1939" t="s">
        <v>1571</v>
      </c>
      <c r="F1" s="1939"/>
      <c r="G1" s="1939"/>
      <c r="H1" s="1326"/>
      <c r="I1" s="1325"/>
    </row>
    <row r="2" spans="1:9" ht="7.5" customHeight="1" x14ac:dyDescent="0.25">
      <c r="A2" s="1325"/>
      <c r="B2" s="1326"/>
      <c r="C2" s="1540"/>
      <c r="D2" s="1540"/>
      <c r="E2" s="1326"/>
      <c r="F2" s="1326"/>
      <c r="G2" s="1326"/>
      <c r="H2" s="1326"/>
      <c r="I2" s="1325"/>
    </row>
    <row r="3" spans="1:9" ht="9.75" customHeight="1" x14ac:dyDescent="0.25">
      <c r="A3" s="1325"/>
      <c r="B3" s="1326"/>
      <c r="C3" s="1940" t="s">
        <v>1876</v>
      </c>
      <c r="D3" s="1941"/>
      <c r="E3" s="1558" t="s">
        <v>1664</v>
      </c>
      <c r="F3" s="1326"/>
      <c r="G3" s="1326"/>
      <c r="H3" s="1326"/>
      <c r="I3" s="1325"/>
    </row>
    <row r="4" spans="1:9" ht="15" customHeight="1" x14ac:dyDescent="0.25">
      <c r="A4" s="1325"/>
      <c r="B4" s="1326"/>
      <c r="C4" s="1940"/>
      <c r="D4" s="1942"/>
      <c r="E4" s="436" t="s">
        <v>1680</v>
      </c>
      <c r="F4" s="1326"/>
      <c r="G4" s="1326"/>
      <c r="H4" s="1326"/>
      <c r="I4" s="1325"/>
    </row>
    <row r="5" spans="1:9" ht="15" customHeight="1" x14ac:dyDescent="0.25">
      <c r="A5" s="1325"/>
      <c r="B5" s="1326"/>
      <c r="C5" s="1943" t="s">
        <v>1899</v>
      </c>
      <c r="D5" s="1944"/>
      <c r="E5" s="1541" t="s">
        <v>1662</v>
      </c>
      <c r="F5" s="1326"/>
      <c r="G5" s="1326"/>
      <c r="H5" s="1326"/>
      <c r="I5" s="1325"/>
    </row>
    <row r="6" spans="1:9" ht="15" customHeight="1" x14ac:dyDescent="0.25">
      <c r="A6" s="1325"/>
      <c r="B6" s="1326"/>
      <c r="C6" s="1945"/>
      <c r="D6" s="1944"/>
      <c r="E6" s="1542" t="s">
        <v>1375</v>
      </c>
      <c r="F6" s="1326"/>
      <c r="G6" s="1326"/>
      <c r="H6" s="1326"/>
      <c r="I6" s="1325"/>
    </row>
    <row r="7" spans="1:9" ht="7.5" customHeight="1" x14ac:dyDescent="0.25">
      <c r="A7" s="1325"/>
      <c r="B7" s="1326"/>
      <c r="C7" s="1543"/>
      <c r="D7" s="1543"/>
      <c r="E7" s="1544"/>
      <c r="F7" s="1326"/>
      <c r="G7" s="1326"/>
      <c r="H7" s="1326"/>
      <c r="I7" s="1325"/>
    </row>
    <row r="8" spans="1:9" ht="30" customHeight="1" x14ac:dyDescent="0.25">
      <c r="A8" s="1325"/>
      <c r="B8" s="1326"/>
      <c r="C8" s="1946" t="s">
        <v>1914</v>
      </c>
      <c r="D8" s="1946"/>
      <c r="E8" s="1946"/>
      <c r="F8" s="1946"/>
      <c r="G8" s="1380"/>
      <c r="H8" s="1325"/>
      <c r="I8" s="1325"/>
    </row>
    <row r="9" spans="1:9" ht="15" customHeight="1" x14ac:dyDescent="0.25">
      <c r="A9" s="1325"/>
      <c r="B9" s="1334">
        <v>1</v>
      </c>
      <c r="C9" s="1545" t="s">
        <v>752</v>
      </c>
      <c r="D9" s="1546" t="s">
        <v>461</v>
      </c>
      <c r="E9" s="1935" t="s">
        <v>1894</v>
      </c>
      <c r="F9" s="1947"/>
      <c r="G9" s="1310">
        <f>IF(OR(D9=INDEX(РегионыСписок,1),D9=""),0,1)</f>
        <v>1</v>
      </c>
      <c r="H9" s="1326"/>
      <c r="I9" s="1325"/>
    </row>
    <row r="10" spans="1:9" ht="15" x14ac:dyDescent="0.25">
      <c r="A10" s="1325"/>
      <c r="B10" s="1334">
        <v>2</v>
      </c>
      <c r="C10" s="1547" t="s">
        <v>753</v>
      </c>
      <c r="D10" s="1548" t="s">
        <v>461</v>
      </c>
      <c r="E10" s="1948"/>
      <c r="F10" s="1949"/>
      <c r="G10" s="1310">
        <f>IF(OR(D10="Пожалуйста, выберите",D10=""),0,1)</f>
        <v>0</v>
      </c>
      <c r="H10" s="1326"/>
      <c r="I10" s="1325"/>
    </row>
    <row r="11" spans="1:9" ht="15" x14ac:dyDescent="0.25">
      <c r="A11" s="1325"/>
      <c r="B11" s="1334" t="s">
        <v>1877</v>
      </c>
      <c r="C11" s="1549" t="s">
        <v>462</v>
      </c>
      <c r="D11" s="1381" t="str">
        <f>IFERROR(VLOOKUP(CONCATENATE($D$9,$D$10),Климатология!$D$9:$BF$548,6,0),"")</f>
        <v/>
      </c>
      <c r="E11" s="1950"/>
      <c r="F11" s="1951"/>
      <c r="G11" s="1310">
        <f t="shared" ref="G11:G24" si="0">IF(D11="",0,1)</f>
        <v>0</v>
      </c>
      <c r="H11" s="1326"/>
      <c r="I11" s="1325"/>
    </row>
    <row r="12" spans="1:9" ht="15" x14ac:dyDescent="0.25">
      <c r="A12" s="1325"/>
      <c r="B12" s="1334" t="s">
        <v>1878</v>
      </c>
      <c r="C12" s="1547" t="s">
        <v>805</v>
      </c>
      <c r="D12" s="1548"/>
      <c r="E12" s="1950" t="s">
        <v>1666</v>
      </c>
      <c r="F12" s="1951"/>
      <c r="G12" s="1310">
        <f t="shared" si="0"/>
        <v>0</v>
      </c>
      <c r="H12" s="1326"/>
      <c r="I12" s="1325"/>
    </row>
    <row r="13" spans="1:9" ht="15" x14ac:dyDescent="0.25">
      <c r="A13" s="1325"/>
      <c r="B13" s="1334" t="s">
        <v>1879</v>
      </c>
      <c r="C13" s="1547" t="s">
        <v>1862</v>
      </c>
      <c r="D13" s="1550"/>
      <c r="E13" s="1950"/>
      <c r="F13" s="1951"/>
      <c r="G13" s="1310">
        <f t="shared" si="0"/>
        <v>0</v>
      </c>
      <c r="H13" s="1326"/>
      <c r="I13" s="1325"/>
    </row>
    <row r="14" spans="1:9" ht="15" customHeight="1" x14ac:dyDescent="0.25">
      <c r="A14" s="1325"/>
      <c r="B14" s="1334" t="s">
        <v>1880</v>
      </c>
      <c r="C14" s="1549" t="s">
        <v>1888</v>
      </c>
      <c r="D14" s="1550"/>
      <c r="E14" s="1950" t="s">
        <v>2025</v>
      </c>
      <c r="F14" s="1951"/>
      <c r="G14" s="1310">
        <f t="shared" si="0"/>
        <v>0</v>
      </c>
      <c r="H14" s="1326"/>
      <c r="I14" s="1325"/>
    </row>
    <row r="15" spans="1:9" ht="15" x14ac:dyDescent="0.25">
      <c r="A15" s="1325"/>
      <c r="B15" s="1334" t="s">
        <v>1881</v>
      </c>
      <c r="C15" s="1549" t="s">
        <v>1989</v>
      </c>
      <c r="D15" s="1548" t="s">
        <v>461</v>
      </c>
      <c r="E15" s="1950"/>
      <c r="F15" s="1951"/>
      <c r="G15" s="1310">
        <f>IF(OR(D15=INDEX(danet,1),D15=""),0,1)</f>
        <v>1</v>
      </c>
      <c r="H15" s="1326"/>
      <c r="I15" s="1325"/>
    </row>
    <row r="16" spans="1:9" ht="15" x14ac:dyDescent="0.25">
      <c r="A16" s="1325"/>
      <c r="B16" s="1334" t="s">
        <v>1882</v>
      </c>
      <c r="C16" s="1549" t="s">
        <v>1903</v>
      </c>
      <c r="D16" s="1548" t="s">
        <v>461</v>
      </c>
      <c r="E16" s="1950" t="s">
        <v>1988</v>
      </c>
      <c r="F16" s="1951"/>
      <c r="G16" s="1310">
        <f>IF(OR(D16=INDEX(danet,1),D16=""),0,1)</f>
        <v>1</v>
      </c>
      <c r="H16" s="1326"/>
      <c r="I16" s="1325"/>
    </row>
    <row r="17" spans="1:9" s="51" customFormat="1" ht="15" x14ac:dyDescent="0.25">
      <c r="A17" s="1325"/>
      <c r="B17" s="1334" t="s">
        <v>1883</v>
      </c>
      <c r="C17" s="1551" t="s">
        <v>1910</v>
      </c>
      <c r="D17" s="1552"/>
      <c r="E17" s="1935" t="str">
        <f>IF(D16=INDEX(danet,1),"выберите способ учета теплоэнергии",IF(D16=INDEX(danet,3),"не заполняйте, если нет совместного учета расхода теплоэнергии",""))</f>
        <v/>
      </c>
      <c r="F17" s="1936"/>
      <c r="G17" s="1310">
        <f>IF(AND($D$16=INDEX(danet,2),D17=""),0,IF(D16=INDEX(danet,1),0,1))</f>
        <v>1</v>
      </c>
      <c r="H17" s="1326"/>
      <c r="I17" s="1325"/>
    </row>
    <row r="18" spans="1:9" s="51" customFormat="1" ht="15" x14ac:dyDescent="0.25">
      <c r="A18" s="1325"/>
      <c r="B18" s="1334" t="s">
        <v>1904</v>
      </c>
      <c r="C18" s="1553" t="s">
        <v>496</v>
      </c>
      <c r="D18" s="1423">
        <f>IF(D17="",0,IFERROR(D17/0.00086,0))</f>
        <v>0</v>
      </c>
      <c r="E18" s="1937"/>
      <c r="F18" s="1938"/>
      <c r="G18" s="1310">
        <f>IF(D18="",0,1)</f>
        <v>1</v>
      </c>
      <c r="H18" s="1326"/>
      <c r="I18" s="1325"/>
    </row>
    <row r="19" spans="1:9" s="51" customFormat="1" ht="15" x14ac:dyDescent="0.25">
      <c r="A19" s="1325"/>
      <c r="B19" s="1334" t="s">
        <v>1884</v>
      </c>
      <c r="C19" s="1551" t="s">
        <v>1897</v>
      </c>
      <c r="D19" s="1552"/>
      <c r="E19" s="1935" t="str">
        <f>IF(D16=INDEX(danet,1),"выберите способ учета теплоэнергии",IF(D16=INDEX(danet,2),"не заполняйте, если нет отдельного учета расхода теплоэнергии на отопление",""))</f>
        <v/>
      </c>
      <c r="F19" s="1936"/>
      <c r="G19" s="1310">
        <f>IF(AND($D$16=INDEX(danet,3),D19=""),0,IF($D$16=INDEX(danet,1),0,1))</f>
        <v>1</v>
      </c>
      <c r="H19" s="1326"/>
      <c r="I19" s="1325"/>
    </row>
    <row r="20" spans="1:9" s="51" customFormat="1" ht="15" customHeight="1" x14ac:dyDescent="0.25">
      <c r="A20" s="1325"/>
      <c r="B20" s="1334" t="s">
        <v>1905</v>
      </c>
      <c r="C20" s="1553" t="s">
        <v>496</v>
      </c>
      <c r="D20" s="1423">
        <f>IF(D19="",0,IFERROR(D19/0.00086,0))</f>
        <v>0</v>
      </c>
      <c r="E20" s="1937"/>
      <c r="F20" s="1938"/>
      <c r="G20" s="1310">
        <f t="shared" si="0"/>
        <v>1</v>
      </c>
      <c r="H20" s="1326"/>
      <c r="I20" s="1325"/>
    </row>
    <row r="21" spans="1:9" s="51" customFormat="1" ht="15" x14ac:dyDescent="0.25">
      <c r="A21" s="1325"/>
      <c r="B21" s="1334" t="s">
        <v>1863</v>
      </c>
      <c r="C21" s="1551" t="s">
        <v>1896</v>
      </c>
      <c r="D21" s="1552"/>
      <c r="E21" s="1935" t="str">
        <f>IF(D16=INDEX(danet,1),"выберите способ учета теплоэнергии",IF(D16=INDEX(danet,2),"не заполняйте, если нет отдельного учета расхода теплоэнергии на ГВС",""))</f>
        <v/>
      </c>
      <c r="F21" s="1936"/>
      <c r="G21" s="1310">
        <f>IF(AND($D$16=INDEX(danet,3),D21=""),0,IF($D$16=INDEX(danet,1),0,1))</f>
        <v>1</v>
      </c>
      <c r="H21" s="1326"/>
      <c r="I21" s="1325"/>
    </row>
    <row r="22" spans="1:9" s="51" customFormat="1" ht="15" customHeight="1" x14ac:dyDescent="0.25">
      <c r="A22" s="1325"/>
      <c r="B22" s="1334" t="s">
        <v>1990</v>
      </c>
      <c r="C22" s="1553" t="s">
        <v>496</v>
      </c>
      <c r="D22" s="1423">
        <f>IF(D21="",0,IFERROR(D21/0.00086,0))</f>
        <v>0</v>
      </c>
      <c r="E22" s="1937"/>
      <c r="F22" s="1938"/>
      <c r="G22" s="1310">
        <f t="shared" si="0"/>
        <v>1</v>
      </c>
      <c r="H22" s="1326"/>
      <c r="I22" s="1325"/>
    </row>
    <row r="23" spans="1:9" s="51" customFormat="1" ht="15" x14ac:dyDescent="0.25">
      <c r="A23" s="1325"/>
      <c r="B23" s="1334" t="s">
        <v>1864</v>
      </c>
      <c r="C23" s="1549" t="s">
        <v>1902</v>
      </c>
      <c r="D23" s="1550"/>
      <c r="E23" s="1950" t="s">
        <v>1987</v>
      </c>
      <c r="F23" s="1951"/>
      <c r="G23" s="1310">
        <f>IF(D23="",0,1)</f>
        <v>0</v>
      </c>
      <c r="H23" s="1326"/>
      <c r="I23" s="1325"/>
    </row>
    <row r="24" spans="1:9" s="51" customFormat="1" ht="15" x14ac:dyDescent="0.25">
      <c r="A24" s="1325"/>
      <c r="B24" s="1334" t="s">
        <v>1865</v>
      </c>
      <c r="C24" s="1549" t="s">
        <v>1895</v>
      </c>
      <c r="D24" s="1564">
        <f>IF(D16="да",D18+IF(D23="",IF(D15="да",10*D14,7*D14),D23),D20+IF(OR(D21="",D21=0),135*D14,D22)+IF(D23="",IF(D15="да",10*D14,7*D14),D23))</f>
        <v>0</v>
      </c>
      <c r="E24" s="1950"/>
      <c r="F24" s="1951"/>
      <c r="G24" s="1310">
        <f t="shared" si="0"/>
        <v>1</v>
      </c>
      <c r="H24" s="1326"/>
      <c r="I24" s="1325"/>
    </row>
    <row r="25" spans="1:9" s="51" customFormat="1" ht="32.25" x14ac:dyDescent="0.25">
      <c r="A25" s="1325"/>
      <c r="B25" s="1334" t="s">
        <v>1866</v>
      </c>
      <c r="C25" s="1554" t="s">
        <v>2131</v>
      </c>
      <c r="D25" s="1382">
        <f>IF(D20=0,0,IFERROR(D20/D14/D11,0))</f>
        <v>0</v>
      </c>
      <c r="E25" s="1950"/>
      <c r="F25" s="1951"/>
      <c r="G25" s="1310">
        <f>IF(D25="",0,1)</f>
        <v>1</v>
      </c>
      <c r="H25" s="1326"/>
      <c r="I25" s="1325"/>
    </row>
    <row r="26" spans="1:9" s="51" customFormat="1" ht="32.25" x14ac:dyDescent="0.25">
      <c r="A26" s="1325"/>
      <c r="B26" s="1334" t="s">
        <v>1869</v>
      </c>
      <c r="C26" s="1549" t="s">
        <v>1898</v>
      </c>
      <c r="D26" s="1382">
        <f>IF(D22=0,0,IFERROR(D22/D14,0))</f>
        <v>0</v>
      </c>
      <c r="E26" s="1950"/>
      <c r="F26" s="1951"/>
      <c r="G26" s="1310">
        <f>IF(D26="",0,1)</f>
        <v>1</v>
      </c>
      <c r="H26" s="1326"/>
      <c r="I26" s="1325"/>
    </row>
    <row r="27" spans="1:9" s="51" customFormat="1" ht="32.25" x14ac:dyDescent="0.25">
      <c r="A27" s="1325"/>
      <c r="B27" s="1334" t="s">
        <v>1871</v>
      </c>
      <c r="C27" s="1549" t="s">
        <v>1889</v>
      </c>
      <c r="D27" s="1382">
        <f>IF(D24=0,0,IFERROR(D24/D14,0))</f>
        <v>0</v>
      </c>
      <c r="E27" s="1950"/>
      <c r="F27" s="1951"/>
      <c r="G27" s="1310">
        <f>IF(D27="",0,1)</f>
        <v>1</v>
      </c>
      <c r="H27" s="1326"/>
      <c r="I27" s="1325"/>
    </row>
    <row r="28" spans="1:9" s="51" customFormat="1" ht="32.25" x14ac:dyDescent="0.25">
      <c r="A28" s="1325"/>
      <c r="B28" s="1334" t="s">
        <v>1872</v>
      </c>
      <c r="C28" s="1549" t="s">
        <v>2130</v>
      </c>
      <c r="D28" s="1382">
        <f>IF(D24=0,0,IFERROR(D24/D14/D11,0))</f>
        <v>0</v>
      </c>
      <c r="E28" s="1950"/>
      <c r="F28" s="1951"/>
      <c r="G28" s="1310">
        <f>IF(D28="",0,1)</f>
        <v>1</v>
      </c>
      <c r="H28" s="1326"/>
      <c r="I28" s="1325"/>
    </row>
    <row r="29" spans="1:9" s="51" customFormat="1" ht="15" x14ac:dyDescent="0.25">
      <c r="A29" s="1325"/>
      <c r="B29" s="1325"/>
      <c r="C29" s="1325"/>
      <c r="D29" s="1400" t="str">
        <f>IF(AND(D17="",D19=""),"Для расчета необходимо ввести хотя бы годовой расход теплоэнергии на отопление (поле № 9), или годовой расход теплоэнергии всего (поле № 8)","")</f>
        <v>Для расчета необходимо ввести хотя бы годовой расход теплоэнергии на отопление (поле № 9), или годовой расход теплоэнергии всего (поле № 8)</v>
      </c>
      <c r="E29" s="1325"/>
      <c r="F29" s="1782"/>
      <c r="G29" s="1782"/>
      <c r="H29" s="1325"/>
      <c r="I29" s="1325"/>
    </row>
    <row r="30" spans="1:9" s="51" customFormat="1" ht="30" customHeight="1" x14ac:dyDescent="0.25">
      <c r="A30" s="1325"/>
      <c r="B30" s="1325"/>
      <c r="C30" s="1955" t="s">
        <v>2483</v>
      </c>
      <c r="D30" s="1955"/>
      <c r="E30" s="1956"/>
      <c r="F30" s="1389" t="s">
        <v>1892</v>
      </c>
      <c r="G30" s="1397"/>
      <c r="H30" s="1325"/>
      <c r="I30" s="1325"/>
    </row>
    <row r="31" spans="1:9" s="51" customFormat="1" ht="30" customHeight="1" thickBot="1" x14ac:dyDescent="0.3">
      <c r="A31" s="1325"/>
      <c r="B31" s="1334"/>
      <c r="C31" s="1957"/>
      <c r="D31" s="1955"/>
      <c r="E31" s="1958"/>
      <c r="F31" s="1390" t="s">
        <v>1893</v>
      </c>
      <c r="G31" s="1555"/>
      <c r="H31" s="1326"/>
      <c r="I31" s="1325"/>
    </row>
    <row r="32" spans="1:9" s="51" customFormat="1" ht="30" customHeight="1" thickBot="1" x14ac:dyDescent="0.3">
      <c r="A32" s="1325"/>
      <c r="B32" s="1334" t="s">
        <v>1873</v>
      </c>
      <c r="C32" s="1556" t="s">
        <v>1870</v>
      </c>
      <c r="D32" s="1422" t="str">
        <f>IF(OR(D27=0,D13="",D17+D19=0),"не определен",
IFERROR(CONCATENATE(
      'классы ЭЭ и выбросы ПГ'!Y24,
      'классы ЭЭ и выбросы ПГ'!Y25,
      'классы ЭЭ и выбросы ПГ'!Y26,
      'классы ЭЭ и выбросы ПГ'!Y27,
      'классы ЭЭ и выбросы ПГ'!Y28,
      'классы ЭЭ и выбросы ПГ'!Y29,
      'классы ЭЭ и выбросы ПГ'!Y30,
      'классы ЭЭ и выбросы ПГ'!Y31,
      'классы ЭЭ и выбросы ПГ'!Y32),
""))</f>
        <v>не определен</v>
      </c>
      <c r="E32" s="1780" t="str">
        <f>IFERROR(VLOOKUP(D32,'классы ЭЭ и выбросы ПГ'!$C$26:$F$34,4,FALSE),"определяется, если заполнено поле №8 или №9 и нет ошибок ввода")</f>
        <v>определяется, если заполнено поле №8 или №9 и нет ошибок ввода</v>
      </c>
      <c r="F32" s="1391" t="s">
        <v>1791</v>
      </c>
      <c r="G32" s="1555"/>
      <c r="H32" s="1326"/>
      <c r="I32" s="1325"/>
    </row>
    <row r="33" spans="1:9" s="51" customFormat="1" ht="30" customHeight="1" x14ac:dyDescent="0.25">
      <c r="A33" s="1325"/>
      <c r="B33" s="1334" t="s">
        <v>1875</v>
      </c>
      <c r="C33" s="1551" t="s">
        <v>1890</v>
      </c>
      <c r="D33" s="1383" t="str">
        <f>IF(OR(D27=0,D13="",D17+D19=0),"определяется, если нет ошибок ввода",IFERROR(MAX(0,D14*(D27-'классы ЭЭ и выбросы ПГ'!AO12)),""))</f>
        <v>определяется, если нет ошибок ввода</v>
      </c>
      <c r="E33" s="1388" t="str">
        <f>CONCATENATE("по сравнению с базовым уровнем для зданий ",D13," эт. согласно приказу Минстроя №399")</f>
        <v>по сравнению с базовым уровнем для зданий  эт. согласно приказу Минстроя №399</v>
      </c>
      <c r="F33" s="1392" t="s">
        <v>1792</v>
      </c>
      <c r="G33" s="1555"/>
      <c r="H33" s="1326"/>
      <c r="I33" s="1325"/>
    </row>
    <row r="34" spans="1:9" s="51" customFormat="1" ht="30" customHeight="1" x14ac:dyDescent="0.25">
      <c r="A34" s="1325"/>
      <c r="B34" s="1334" t="s">
        <v>1885</v>
      </c>
      <c r="C34" s="1553" t="s">
        <v>1165</v>
      </c>
      <c r="D34" s="1384" t="str">
        <f>IFERROR(D33/D24,"")</f>
        <v/>
      </c>
      <c r="E34" s="1385" t="s">
        <v>2409</v>
      </c>
      <c r="F34" s="1393" t="s">
        <v>1793</v>
      </c>
      <c r="G34" s="1555"/>
      <c r="H34" s="1326"/>
      <c r="I34" s="1325"/>
    </row>
    <row r="35" spans="1:9" s="51" customFormat="1" ht="30" customHeight="1" x14ac:dyDescent="0.25">
      <c r="A35" s="1325"/>
      <c r="B35" s="1334" t="s">
        <v>1900</v>
      </c>
      <c r="C35" s="1551" t="s">
        <v>1891</v>
      </c>
      <c r="D35" s="1386" t="str">
        <f>IF(OR(D27=0,D13="",D17+D19=0),"определяется, если заполнено поле №6 и нет ошибок ввода",IFERROR(MAX(0,D14*(D27-0.4*'классы ЭЭ и выбросы ПГ'!AO12)),""))</f>
        <v>определяется, если заполнено поле №6 и нет ошибок ввода</v>
      </c>
      <c r="E35" s="1388" t="str">
        <f>CONCATENATE("по сравнению с уровнем А++ для зданий ",D13," эт. согласно приказу Минстроя №399")</f>
        <v>по сравнению с уровнем А++ для зданий  эт. согласно приказу Минстроя №399</v>
      </c>
      <c r="F35" s="1394" t="s">
        <v>1794</v>
      </c>
      <c r="G35" s="1555"/>
      <c r="H35" s="1326"/>
      <c r="I35" s="1325"/>
    </row>
    <row r="36" spans="1:9" s="51" customFormat="1" ht="30" customHeight="1" x14ac:dyDescent="0.25">
      <c r="A36" s="1325"/>
      <c r="B36" s="1334" t="s">
        <v>1901</v>
      </c>
      <c r="C36" s="1553" t="s">
        <v>1165</v>
      </c>
      <c r="D36" s="1384" t="str">
        <f>IFERROR(D35/D24,"")</f>
        <v/>
      </c>
      <c r="E36" s="1385" t="s">
        <v>2409</v>
      </c>
      <c r="F36" s="1395" t="s">
        <v>1795</v>
      </c>
      <c r="G36" s="1555"/>
      <c r="H36" s="1326"/>
      <c r="I36" s="1325"/>
    </row>
    <row r="37" spans="1:9" s="51" customFormat="1" ht="30" customHeight="1" x14ac:dyDescent="0.35">
      <c r="A37" s="1325"/>
      <c r="B37" s="1325"/>
      <c r="C37" s="1959" t="str">
        <f>IFERROR(IF(OR(D27="",D13=""),
                   "",
                    CONCATENATE(
                                        "Потребление энергоресурсов в этом МКД выше, чем в ",
                                        MATCH(0,'кривые-экспресс'!$W$5:$W$104,-1)-1,
                                        "% аналогичных* МКД в России!")),"")</f>
        <v/>
      </c>
      <c r="D37" s="1959"/>
      <c r="E37" s="1960"/>
      <c r="F37" s="1395" t="s">
        <v>1796</v>
      </c>
      <c r="G37" s="1398"/>
      <c r="H37" s="1325"/>
      <c r="I37" s="1325"/>
    </row>
    <row r="38" spans="1:9" s="51" customFormat="1" ht="30" customHeight="1" x14ac:dyDescent="0.25">
      <c r="A38" s="1325"/>
      <c r="B38" s="1325"/>
      <c r="C38" s="1961" t="str">
        <f>IF(OR(D12="",D13="",C37=""),"",
            "* - многоквартирных домов, построенных "&amp;
            IF(D12&lt;2000,"до","после")&amp;
            " 2000 года с количеством этажей "&amp;
            IF(D13&lt;=2,"1-2",IF(D13&lt;=4,"3-4",IF(D13&lt;=6,"5-6",IF(D13&lt;=8,"7-8",IF(D13&lt;=10,"9-10","более 10"))))))</f>
        <v/>
      </c>
      <c r="D38" s="1961"/>
      <c r="E38" s="1962"/>
      <c r="F38" s="1396" t="s">
        <v>1797</v>
      </c>
      <c r="G38" s="1398"/>
      <c r="H38" s="1325"/>
      <c r="I38" s="1325"/>
    </row>
    <row r="39" spans="1:9" s="51" customFormat="1" ht="22.5" customHeight="1" x14ac:dyDescent="0.25">
      <c r="A39" s="1325"/>
      <c r="B39" s="1325"/>
      <c r="C39" s="1963" t="str">
        <f>IF(IFERROR(OR(
                                                           'кривые-экспресс'!$W$3&lt;0.8*'кривые-экспресс'!$D$5,
                                                           'кривые-экспресс'!$W$3&gt;1.2*'кривые-экспресс'!$D$104),FALSE),
              "Суммарное потребление энергоресурсов значительно выходит за рамки распределения аналогичных МКД РФ. Проверьте исходные данные",
              "")</f>
        <v/>
      </c>
      <c r="D39" s="1963"/>
      <c r="E39" s="1963"/>
      <c r="F39" s="1963"/>
      <c r="G39" s="1781"/>
      <c r="H39" s="1325"/>
      <c r="I39" s="1325"/>
    </row>
    <row r="40" spans="1:9" s="51" customFormat="1" ht="30" customHeight="1" x14ac:dyDescent="0.25">
      <c r="A40" s="1325"/>
      <c r="B40" s="1325"/>
      <c r="C40" s="1952" t="str">
        <f>IF(AND(D34&lt;&gt;"",OR(D63&gt;=0.1,D34&gt;=0.1)),"Есть потенциал повышения энергоэффективности до базового уровня. Продолжайте работу с Помощником",IF(AND(D34&lt;&gt;"",OR(D36&gt;0.3,D65&gt;0.3)),"Потенциал повышения энергоэффективности до базового уровня невысок. С помощью существенных мер возможно повысить энергоэффективность МКД до высокого уровня. Продолжайте работу с Помощником, если имеется такая финансовая возможность.",IF(D34&lt;&gt;"","Уровень энергоэффективности МКД достаточно высок. Если нет ошибок ввода, то для данного МКД  нет необходимости в повышении энергоэффективности и в работе с Помощником","")))</f>
        <v/>
      </c>
      <c r="D40" s="1952"/>
      <c r="E40" s="1952"/>
      <c r="F40" s="1952"/>
      <c r="G40" s="1325"/>
      <c r="H40" s="1325"/>
      <c r="I40" s="1325"/>
    </row>
    <row r="41" spans="1:9" s="51" customFormat="1" ht="15" customHeight="1" x14ac:dyDescent="0.25">
      <c r="A41" s="1325"/>
      <c r="B41" s="1325"/>
      <c r="C41" s="1953" t="str">
        <f>IF(AND(D34&lt;&gt;"",D34&gt;0.6),"Суммарное потребление энергоресурсов зданием более чем вдвое превышает базовый уровень. Проверьте исходные данные",IF(AND(D34&lt;&gt;"",D34&lt;-0.2),"Суммарное потребление энергоресурсов зданием сильно ниже базового уровня. Проверьте исходные данные",""))</f>
        <v/>
      </c>
      <c r="D41" s="1953"/>
      <c r="E41" s="1953"/>
      <c r="F41" s="1953"/>
      <c r="G41" s="1325"/>
      <c r="H41" s="1325"/>
      <c r="I41" s="1325"/>
    </row>
    <row r="42" spans="1:9" s="51" customFormat="1" ht="15" customHeight="1" x14ac:dyDescent="0.25">
      <c r="A42" s="1325"/>
      <c r="B42" s="1325"/>
      <c r="C42" s="1954" t="str">
        <f>IF(AND(D63&lt;&gt;"",D63&gt;1),"Потребление теплоэнергии зданием более чем вдвое превышает базовый уровень. Проверьте исходные данные",IF(AND(D63&lt;&gt;"",D63&lt;-0.2),"Потребление теплоэнергии зданием сильно ниже базового уровня. Проверьте исходные данные",""))</f>
        <v/>
      </c>
      <c r="D42" s="1954"/>
      <c r="E42" s="1954"/>
      <c r="F42" s="1954"/>
      <c r="G42" s="1325"/>
      <c r="H42" s="1325"/>
      <c r="I42" s="1325"/>
    </row>
    <row r="43" spans="1:9" s="51" customFormat="1" ht="19.5" customHeight="1" thickBot="1" x14ac:dyDescent="0.3">
      <c r="A43" s="1325"/>
      <c r="B43" s="1325"/>
      <c r="C43" s="1325"/>
      <c r="D43" s="1557" t="s">
        <v>1994</v>
      </c>
      <c r="E43" s="1325"/>
      <c r="F43" s="1325"/>
      <c r="G43" s="1325"/>
      <c r="H43" s="1325"/>
      <c r="I43" s="1325"/>
    </row>
    <row r="44" spans="1:9" s="51" customFormat="1" ht="15" x14ac:dyDescent="0.25">
      <c r="A44" s="1325"/>
      <c r="B44" s="1325"/>
      <c r="C44" s="1325"/>
      <c r="D44" s="1325"/>
      <c r="E44" s="1325"/>
      <c r="F44" s="1325"/>
      <c r="G44" s="1325"/>
      <c r="H44" s="1325"/>
      <c r="I44" s="1325"/>
    </row>
    <row r="45" spans="1:9" s="51" customFormat="1" ht="15" x14ac:dyDescent="0.25">
      <c r="A45" s="1325"/>
      <c r="B45" s="1325"/>
      <c r="C45" s="1325"/>
      <c r="D45" s="1325"/>
      <c r="E45" s="1325"/>
      <c r="F45" s="1325"/>
      <c r="G45" s="1325"/>
      <c r="H45" s="1325"/>
      <c r="I45" s="1325"/>
    </row>
    <row r="46" spans="1:9" s="51" customFormat="1" ht="15" x14ac:dyDescent="0.25">
      <c r="A46" s="1325"/>
      <c r="B46" s="1325"/>
      <c r="C46" s="1325"/>
      <c r="D46" s="1325"/>
      <c r="E46" s="1325"/>
      <c r="F46" s="1325"/>
      <c r="G46" s="1325"/>
      <c r="H46" s="1325"/>
      <c r="I46" s="1325"/>
    </row>
    <row r="47" spans="1:9" s="51" customFormat="1" ht="15" x14ac:dyDescent="0.25">
      <c r="A47" s="1325"/>
      <c r="B47" s="1325"/>
      <c r="C47" s="1325"/>
      <c r="D47" s="1325"/>
      <c r="E47" s="1325"/>
      <c r="F47" s="1325"/>
      <c r="G47" s="1325"/>
      <c r="H47" s="1325"/>
      <c r="I47" s="1325"/>
    </row>
    <row r="48" spans="1:9" s="51" customFormat="1" ht="15" x14ac:dyDescent="0.25">
      <c r="A48" s="1325"/>
      <c r="B48" s="1325"/>
      <c r="C48" s="1325"/>
      <c r="D48" s="1325"/>
      <c r="E48" s="1325"/>
      <c r="F48" s="1325"/>
      <c r="G48" s="1325"/>
      <c r="H48" s="1325"/>
      <c r="I48" s="1325"/>
    </row>
    <row r="49" spans="1:9" s="51" customFormat="1" ht="15" x14ac:dyDescent="0.25">
      <c r="A49" s="1325"/>
      <c r="B49" s="1325"/>
      <c r="C49" s="1325"/>
      <c r="D49" s="1325"/>
      <c r="E49" s="1325"/>
      <c r="F49" s="1325"/>
      <c r="G49" s="1325"/>
      <c r="H49" s="1325"/>
      <c r="I49" s="1325"/>
    </row>
    <row r="50" spans="1:9" s="51" customFormat="1" ht="15" x14ac:dyDescent="0.25">
      <c r="A50" s="1325"/>
      <c r="B50" s="1325"/>
      <c r="C50" s="1325"/>
      <c r="D50" s="1325"/>
      <c r="E50" s="1325"/>
      <c r="F50" s="1325"/>
      <c r="G50" s="1325"/>
      <c r="H50" s="1325"/>
      <c r="I50" s="1325"/>
    </row>
    <row r="51" spans="1:9" s="51" customFormat="1" ht="15" x14ac:dyDescent="0.25">
      <c r="A51" s="1325"/>
      <c r="B51" s="1325"/>
      <c r="C51" s="1325"/>
      <c r="D51" s="1325"/>
      <c r="E51" s="1325"/>
      <c r="F51" s="1325"/>
      <c r="G51" s="1325"/>
      <c r="H51" s="1325"/>
      <c r="I51" s="1325"/>
    </row>
    <row r="52" spans="1:9" s="51" customFormat="1" ht="15" x14ac:dyDescent="0.25">
      <c r="A52" s="1325"/>
      <c r="B52" s="1325"/>
      <c r="C52" s="1325"/>
      <c r="D52" s="1325"/>
      <c r="E52" s="1325"/>
      <c r="F52" s="1325"/>
      <c r="G52" s="1325"/>
      <c r="H52" s="1325"/>
      <c r="I52" s="1325"/>
    </row>
    <row r="53" spans="1:9" s="51" customFormat="1" ht="15" x14ac:dyDescent="0.25">
      <c r="A53" s="1325"/>
      <c r="B53" s="1325"/>
      <c r="C53" s="1325"/>
      <c r="D53" s="1325"/>
      <c r="E53" s="1325"/>
      <c r="F53" s="1325"/>
      <c r="G53" s="1325"/>
      <c r="H53" s="1325"/>
      <c r="I53" s="1325"/>
    </row>
    <row r="54" spans="1:9" s="51" customFormat="1" ht="15" x14ac:dyDescent="0.25">
      <c r="A54" s="1325"/>
      <c r="B54" s="1325"/>
      <c r="C54" s="1325"/>
      <c r="D54" s="1325"/>
      <c r="E54" s="1325"/>
      <c r="F54" s="1325"/>
      <c r="G54" s="1325"/>
      <c r="H54" s="1325"/>
      <c r="I54" s="1325"/>
    </row>
    <row r="55" spans="1:9" s="51" customFormat="1" ht="15" x14ac:dyDescent="0.25">
      <c r="A55" s="1325"/>
      <c r="B55" s="1325"/>
      <c r="C55" s="1325"/>
      <c r="D55" s="1325"/>
      <c r="E55" s="1325"/>
      <c r="F55" s="1325"/>
      <c r="G55" s="1325"/>
      <c r="H55" s="1325"/>
      <c r="I55" s="1325"/>
    </row>
    <row r="56" spans="1:9" s="51" customFormat="1" ht="15" x14ac:dyDescent="0.25">
      <c r="A56" s="1325"/>
      <c r="B56" s="1325"/>
      <c r="C56" s="1325"/>
      <c r="D56" s="1325"/>
      <c r="E56" s="1325"/>
      <c r="F56" s="1325"/>
      <c r="G56" s="1325"/>
      <c r="H56" s="1325"/>
      <c r="I56" s="1325"/>
    </row>
    <row r="57" spans="1:9" s="51" customFormat="1" ht="15" x14ac:dyDescent="0.25">
      <c r="A57" s="1325"/>
      <c r="B57" s="1325"/>
      <c r="C57" s="1325"/>
      <c r="D57" s="1325"/>
      <c r="E57" s="1325"/>
      <c r="F57" s="1325"/>
      <c r="G57" s="1325"/>
      <c r="H57" s="1325"/>
      <c r="I57" s="1325"/>
    </row>
    <row r="58" spans="1:9" s="51" customFormat="1" ht="15" x14ac:dyDescent="0.25">
      <c r="A58" s="1325"/>
      <c r="B58" s="1325"/>
      <c r="C58" s="1325"/>
      <c r="D58" s="1325"/>
      <c r="E58" s="1325"/>
      <c r="F58" s="1325"/>
      <c r="G58" s="1325"/>
      <c r="H58" s="1325"/>
      <c r="I58" s="1325"/>
    </row>
    <row r="59" spans="1:9" s="51" customFormat="1" ht="15" x14ac:dyDescent="0.25">
      <c r="A59" s="1325"/>
      <c r="B59" s="1325"/>
      <c r="C59" s="1325"/>
      <c r="D59" s="1325"/>
      <c r="E59" s="1325"/>
      <c r="F59" s="1325"/>
      <c r="G59" s="1325"/>
      <c r="H59" s="1325"/>
      <c r="I59" s="1325"/>
    </row>
    <row r="60" spans="1:9" s="51" customFormat="1" ht="15" x14ac:dyDescent="0.25">
      <c r="A60" s="1325"/>
      <c r="B60" s="1325"/>
      <c r="C60" s="1325"/>
      <c r="D60" s="1325"/>
      <c r="E60" s="1325"/>
      <c r="F60" s="1325"/>
      <c r="G60" s="1325"/>
      <c r="H60" s="1325"/>
      <c r="I60" s="1325"/>
    </row>
    <row r="61" spans="1:9" s="51" customFormat="1" ht="24.75" customHeight="1" x14ac:dyDescent="0.25">
      <c r="A61" s="1325"/>
      <c r="B61" s="1325"/>
      <c r="C61" s="1957" t="s">
        <v>1874</v>
      </c>
      <c r="D61" s="1957"/>
      <c r="E61" s="1957"/>
      <c r="F61" s="1957"/>
      <c r="G61" s="1325"/>
      <c r="H61" s="1325"/>
      <c r="I61" s="1325"/>
    </row>
    <row r="62" spans="1:9" s="51" customFormat="1" ht="30" customHeight="1" x14ac:dyDescent="0.25">
      <c r="A62" s="1325"/>
      <c r="B62" s="1334" t="s">
        <v>1906</v>
      </c>
      <c r="C62" s="1551" t="s">
        <v>1890</v>
      </c>
      <c r="D62" s="1386" t="str">
        <f>IF(OR(D25=0,D13=""),"определяется, если заполнено поле №9 и нет ошибок ввода",IFERROR(MAX(0,D14*(D25*D11-'классы ЭЭ и выбросы ПГ'!AO20)),""))</f>
        <v>определяется, если заполнено поле №9 и нет ошибок ввода</v>
      </c>
      <c r="E62" s="1966" t="str">
        <f>CONCATENATE("по сравнению с базовым уровнем для зданий ",D13," эт. согласно приказу Минстроя №399")</f>
        <v>по сравнению с базовым уровнем для зданий  эт. согласно приказу Минстроя №399</v>
      </c>
      <c r="F62" s="1947"/>
      <c r="G62" s="1310"/>
      <c r="H62" s="1326"/>
      <c r="I62" s="1325"/>
    </row>
    <row r="63" spans="1:9" s="51" customFormat="1" ht="18" customHeight="1" x14ac:dyDescent="0.25">
      <c r="A63" s="1325"/>
      <c r="B63" s="1334" t="s">
        <v>1907</v>
      </c>
      <c r="C63" s="1553" t="s">
        <v>1165</v>
      </c>
      <c r="D63" s="1384" t="str">
        <f>IFERROR(D62/D20,"")</f>
        <v/>
      </c>
      <c r="E63" s="1964" t="s">
        <v>2408</v>
      </c>
      <c r="F63" s="1965"/>
      <c r="G63" s="1310"/>
      <c r="H63" s="1326"/>
      <c r="I63" s="1325"/>
    </row>
    <row r="64" spans="1:9" s="51" customFormat="1" ht="30" customHeight="1" x14ac:dyDescent="0.25">
      <c r="A64" s="1325"/>
      <c r="B64" s="1334" t="s">
        <v>1908</v>
      </c>
      <c r="C64" s="1551" t="s">
        <v>1891</v>
      </c>
      <c r="D64" s="1386" t="str">
        <f>IF(OR(D25=0,D13=""),"определяется, если заполнено поле №9 и нет ошибок ввода",IFERROR(MAX(D14*(D25*D11-0.4*'классы ЭЭ и выбросы ПГ'!AO20)),""))</f>
        <v>определяется, если заполнено поле №9 и нет ошибок ввода</v>
      </c>
      <c r="E64" s="1964" t="str">
        <f>CONCATENATE("по сравнению с уровнем А++ для зданий ",D13," эт. согласно приказу Минстроя №399")</f>
        <v>по сравнению с уровнем А++ для зданий  эт. согласно приказу Минстроя №399</v>
      </c>
      <c r="F64" s="1965"/>
      <c r="G64" s="1310"/>
      <c r="H64" s="1326"/>
      <c r="I64" s="1325"/>
    </row>
    <row r="65" spans="1:9" s="51" customFormat="1" ht="18" customHeight="1" x14ac:dyDescent="0.25">
      <c r="A65" s="1325"/>
      <c r="B65" s="1334" t="s">
        <v>1909</v>
      </c>
      <c r="C65" s="1553" t="s">
        <v>1165</v>
      </c>
      <c r="D65" s="1384" t="str">
        <f>IFERROR(D64/D20,"")</f>
        <v/>
      </c>
      <c r="E65" s="1948" t="s">
        <v>2408</v>
      </c>
      <c r="F65" s="1949"/>
      <c r="G65" s="1310"/>
      <c r="H65" s="1326"/>
      <c r="I65" s="1325"/>
    </row>
    <row r="66" spans="1:9" s="51" customFormat="1" ht="15" x14ac:dyDescent="0.25">
      <c r="A66" s="1325"/>
      <c r="B66" s="1325"/>
      <c r="C66" s="1325"/>
      <c r="D66" s="1325"/>
      <c r="E66" s="1325"/>
      <c r="F66" s="1325"/>
      <c r="G66" s="1325"/>
      <c r="H66" s="1325"/>
      <c r="I66" s="1325"/>
    </row>
    <row r="67" spans="1:9" s="51" customFormat="1" ht="15" x14ac:dyDescent="0.25">
      <c r="A67" s="1325"/>
      <c r="B67" s="1325"/>
      <c r="C67" s="1325"/>
      <c r="D67" s="1325"/>
      <c r="E67" s="1325"/>
      <c r="F67" s="1325"/>
      <c r="G67" s="1325"/>
      <c r="H67" s="1325"/>
      <c r="I67" s="1325"/>
    </row>
    <row r="68" spans="1:9" s="51" customFormat="1" ht="15" x14ac:dyDescent="0.25">
      <c r="A68" s="1325"/>
      <c r="B68" s="1325"/>
      <c r="C68" s="1325"/>
      <c r="D68" s="1325"/>
      <c r="E68" s="1325"/>
      <c r="F68" s="1325"/>
      <c r="G68" s="1325"/>
      <c r="H68" s="1325"/>
      <c r="I68" s="1325"/>
    </row>
    <row r="69" spans="1:9" s="51" customFormat="1" ht="15" x14ac:dyDescent="0.25">
      <c r="A69" s="1325"/>
      <c r="B69" s="1325"/>
      <c r="C69" s="1325"/>
      <c r="D69" s="1325"/>
      <c r="E69" s="1325"/>
      <c r="F69" s="1325"/>
      <c r="G69" s="1325"/>
      <c r="H69" s="1325"/>
      <c r="I69" s="1325"/>
    </row>
    <row r="70" spans="1:9" s="51" customFormat="1" ht="15" x14ac:dyDescent="0.25">
      <c r="A70" s="1325"/>
      <c r="B70" s="1325"/>
      <c r="C70" s="1325"/>
      <c r="D70" s="1325"/>
      <c r="E70" s="1325"/>
      <c r="F70" s="1325"/>
      <c r="G70" s="1325"/>
      <c r="H70" s="1325"/>
      <c r="I70" s="1325"/>
    </row>
    <row r="71" spans="1:9" s="51" customFormat="1" ht="15" x14ac:dyDescent="0.25">
      <c r="A71" s="1325"/>
      <c r="B71" s="1325"/>
      <c r="C71" s="1325"/>
      <c r="D71" s="1325"/>
      <c r="E71" s="1325"/>
      <c r="F71" s="1325"/>
      <c r="G71" s="1325"/>
      <c r="H71" s="1325"/>
      <c r="I71" s="1325"/>
    </row>
    <row r="72" spans="1:9" s="51" customFormat="1" ht="15" x14ac:dyDescent="0.25">
      <c r="A72" s="1325"/>
      <c r="B72" s="1325"/>
      <c r="C72" s="1325"/>
      <c r="D72" s="1325"/>
      <c r="E72" s="1325"/>
      <c r="F72" s="1325"/>
      <c r="G72" s="1325"/>
      <c r="H72" s="1325"/>
      <c r="I72" s="1325"/>
    </row>
    <row r="73" spans="1:9" s="51" customFormat="1" ht="15" x14ac:dyDescent="0.25">
      <c r="A73" s="1325"/>
      <c r="B73" s="1325"/>
      <c r="C73" s="1325"/>
      <c r="D73" s="1325"/>
      <c r="E73" s="1325"/>
      <c r="F73" s="1325"/>
      <c r="G73" s="1325"/>
      <c r="H73" s="1325"/>
      <c r="I73" s="1325"/>
    </row>
    <row r="74" spans="1:9" s="51" customFormat="1" ht="15" x14ac:dyDescent="0.25">
      <c r="A74" s="1325"/>
      <c r="B74" s="1325"/>
      <c r="C74" s="1325"/>
      <c r="D74" s="1325"/>
      <c r="E74" s="1325"/>
      <c r="F74" s="1325"/>
      <c r="G74" s="1325"/>
      <c r="H74" s="1325"/>
      <c r="I74" s="1325"/>
    </row>
    <row r="75" spans="1:9" s="51" customFormat="1" ht="15" x14ac:dyDescent="0.25">
      <c r="A75" s="1325"/>
      <c r="B75" s="1325"/>
      <c r="C75" s="1325"/>
      <c r="D75" s="1325"/>
      <c r="E75" s="1325"/>
      <c r="F75" s="1325"/>
      <c r="G75" s="1325"/>
      <c r="H75" s="1325"/>
      <c r="I75" s="1325"/>
    </row>
    <row r="76" spans="1:9" s="51" customFormat="1" ht="15" x14ac:dyDescent="0.25">
      <c r="A76" s="1325"/>
      <c r="B76" s="1325"/>
      <c r="C76" s="1325"/>
      <c r="D76" s="1325"/>
      <c r="E76" s="1325"/>
      <c r="F76" s="1325"/>
      <c r="G76" s="1325"/>
      <c r="H76" s="1325"/>
      <c r="I76" s="1325"/>
    </row>
    <row r="77" spans="1:9" s="51" customFormat="1" ht="15" x14ac:dyDescent="0.25">
      <c r="A77" s="1325"/>
      <c r="B77" s="1325"/>
      <c r="C77" s="1325"/>
      <c r="D77" s="1325"/>
      <c r="E77" s="1325"/>
      <c r="F77" s="1325"/>
      <c r="G77" s="1325"/>
      <c r="H77" s="1325"/>
      <c r="I77" s="1325"/>
    </row>
    <row r="78" spans="1:9" s="51" customFormat="1" ht="15" x14ac:dyDescent="0.25">
      <c r="A78" s="1325"/>
      <c r="B78" s="1325"/>
      <c r="C78" s="1325"/>
      <c r="D78" s="1325"/>
      <c r="E78" s="1325"/>
      <c r="F78" s="1325"/>
      <c r="G78" s="1325"/>
      <c r="H78" s="1325"/>
      <c r="I78" s="1325"/>
    </row>
    <row r="79" spans="1:9" s="51" customFormat="1" ht="15" x14ac:dyDescent="0.25">
      <c r="A79" s="1325"/>
      <c r="B79" s="1325"/>
      <c r="C79" s="1325"/>
      <c r="D79" s="1325"/>
      <c r="E79" s="1325"/>
      <c r="F79" s="1325"/>
      <c r="G79" s="1325"/>
      <c r="H79" s="1325"/>
      <c r="I79" s="1325"/>
    </row>
    <row r="80" spans="1:9" s="51" customFormat="1" ht="15" x14ac:dyDescent="0.25">
      <c r="A80" s="1325"/>
      <c r="B80" s="1325"/>
      <c r="C80" s="1325"/>
      <c r="D80" s="1325"/>
      <c r="E80" s="1325"/>
      <c r="F80" s="1325"/>
      <c r="G80" s="1325"/>
      <c r="H80" s="1325"/>
      <c r="I80" s="1325"/>
    </row>
    <row r="81" spans="1:9" s="51" customFormat="1" ht="15" x14ac:dyDescent="0.25">
      <c r="A81" s="1325"/>
      <c r="B81" s="1325"/>
      <c r="C81" s="1325"/>
      <c r="D81" s="1325"/>
      <c r="E81" s="1325"/>
      <c r="F81" s="1325"/>
      <c r="G81" s="1325"/>
      <c r="H81" s="1325"/>
      <c r="I81" s="1325"/>
    </row>
    <row r="82" spans="1:9" s="51" customFormat="1" ht="15" x14ac:dyDescent="0.25">
      <c r="A82" s="1325"/>
      <c r="B82" s="1325"/>
      <c r="C82" s="1325"/>
      <c r="D82" s="1325"/>
      <c r="E82" s="1325"/>
      <c r="F82" s="1325"/>
      <c r="G82" s="1325"/>
      <c r="H82" s="1325"/>
      <c r="I82" s="1325"/>
    </row>
    <row r="83" spans="1:9" s="51" customFormat="1" ht="15" x14ac:dyDescent="0.25">
      <c r="A83" s="1325"/>
      <c r="B83" s="1325"/>
      <c r="C83" s="1325"/>
      <c r="D83" s="1325"/>
      <c r="E83" s="1325"/>
      <c r="F83" s="1325"/>
      <c r="G83" s="1325"/>
      <c r="H83" s="1325"/>
      <c r="I83" s="1325"/>
    </row>
    <row r="84" spans="1:9" s="51" customFormat="1" ht="15" x14ac:dyDescent="0.25">
      <c r="A84" s="1325"/>
      <c r="B84" s="1325"/>
      <c r="C84" s="1325"/>
      <c r="D84" s="1325"/>
      <c r="E84" s="1325"/>
      <c r="F84" s="1325"/>
      <c r="G84" s="1325"/>
      <c r="H84" s="1325"/>
      <c r="I84" s="1325"/>
    </row>
    <row r="85" spans="1:9" s="51" customFormat="1" ht="15" x14ac:dyDescent="0.25">
      <c r="A85" s="1325"/>
      <c r="B85" s="1325"/>
      <c r="C85" s="1325"/>
      <c r="D85" s="1325"/>
      <c r="E85" s="1325"/>
      <c r="F85" s="1325"/>
      <c r="G85" s="1325"/>
      <c r="H85" s="1325"/>
      <c r="I85" s="1325"/>
    </row>
    <row r="86" spans="1:9" s="51" customFormat="1" ht="15" x14ac:dyDescent="0.25">
      <c r="A86" s="1325"/>
      <c r="B86" s="1325"/>
      <c r="C86" s="1325"/>
      <c r="D86" s="1325"/>
      <c r="E86" s="1325"/>
      <c r="F86" s="1325"/>
      <c r="G86" s="1325"/>
      <c r="H86" s="1325"/>
      <c r="I86" s="1325"/>
    </row>
    <row r="87" spans="1:9" s="51" customFormat="1" ht="15" x14ac:dyDescent="0.25">
      <c r="A87" s="1325"/>
      <c r="B87" s="1325"/>
      <c r="C87" s="1325"/>
      <c r="D87" s="1325"/>
      <c r="E87" s="1325"/>
      <c r="F87" s="1325"/>
      <c r="G87" s="1325"/>
      <c r="H87" s="1325"/>
      <c r="I87" s="1325"/>
    </row>
    <row r="88" spans="1:9" s="51" customFormat="1" ht="15" x14ac:dyDescent="0.25">
      <c r="A88" s="1325"/>
      <c r="B88" s="1325"/>
      <c r="C88" s="1325"/>
      <c r="D88" s="1325"/>
      <c r="E88" s="1325"/>
      <c r="F88" s="1325"/>
      <c r="G88" s="1325"/>
      <c r="H88" s="1325"/>
      <c r="I88" s="1325"/>
    </row>
    <row r="89" spans="1:9" s="51" customFormat="1" ht="15" x14ac:dyDescent="0.25">
      <c r="A89" s="1325"/>
      <c r="B89" s="1325"/>
      <c r="C89" s="1325"/>
      <c r="D89" s="1325"/>
      <c r="E89" s="1325"/>
      <c r="F89" s="1325"/>
      <c r="G89" s="1325"/>
      <c r="H89" s="1325"/>
      <c r="I89" s="1325"/>
    </row>
    <row r="90" spans="1:9" s="51" customFormat="1" ht="15" x14ac:dyDescent="0.25">
      <c r="A90" s="1325"/>
      <c r="B90" s="1325"/>
      <c r="C90" s="1325"/>
      <c r="D90" s="1325"/>
      <c r="E90" s="1325"/>
      <c r="F90" s="1325"/>
      <c r="G90" s="1325"/>
      <c r="H90" s="1325"/>
      <c r="I90" s="1325"/>
    </row>
    <row r="91" spans="1:9" s="51" customFormat="1" ht="15" x14ac:dyDescent="0.25">
      <c r="A91" s="1325"/>
      <c r="B91" s="1325"/>
      <c r="C91" s="1325"/>
      <c r="D91" s="1325"/>
      <c r="E91" s="1325"/>
      <c r="F91" s="1325"/>
      <c r="G91" s="1325"/>
      <c r="H91" s="1325"/>
      <c r="I91" s="1325"/>
    </row>
    <row r="92" spans="1:9" s="51" customFormat="1" ht="15" x14ac:dyDescent="0.25">
      <c r="A92" s="1325"/>
      <c r="B92" s="1325"/>
      <c r="C92" s="1325"/>
      <c r="D92" s="1325"/>
      <c r="E92" s="1325"/>
      <c r="F92" s="1325"/>
      <c r="G92" s="1325"/>
      <c r="H92" s="1325"/>
      <c r="I92" s="1325"/>
    </row>
    <row r="93" spans="1:9" s="51" customFormat="1" ht="15" x14ac:dyDescent="0.25">
      <c r="A93" s="1325"/>
      <c r="B93" s="1325"/>
      <c r="C93" s="1325"/>
      <c r="D93" s="1325"/>
      <c r="E93" s="1325"/>
      <c r="F93" s="1325"/>
      <c r="G93" s="1325"/>
      <c r="H93" s="1325"/>
      <c r="I93" s="1325"/>
    </row>
    <row r="94" spans="1:9" s="51" customFormat="1" ht="15" x14ac:dyDescent="0.25">
      <c r="A94" s="1325"/>
      <c r="B94" s="1325"/>
      <c r="C94" s="1325"/>
      <c r="D94" s="1325"/>
      <c r="E94" s="1325"/>
      <c r="F94" s="1325"/>
      <c r="G94" s="1325"/>
      <c r="H94" s="1325"/>
      <c r="I94" s="1325"/>
    </row>
    <row r="95" spans="1:9" s="51" customFormat="1" ht="15" x14ac:dyDescent="0.25">
      <c r="A95" s="1325"/>
      <c r="B95" s="1325"/>
      <c r="C95" s="1325"/>
      <c r="D95" s="1325"/>
      <c r="E95" s="1325"/>
      <c r="F95" s="1325"/>
      <c r="G95" s="1325"/>
      <c r="H95" s="1325"/>
      <c r="I95" s="1325"/>
    </row>
    <row r="96" spans="1:9" s="51" customFormat="1" ht="15" customHeight="1" x14ac:dyDescent="0.25">
      <c r="A96" s="1325"/>
      <c r="B96" s="1325"/>
      <c r="C96" s="1325"/>
      <c r="D96" s="1325"/>
      <c r="E96" s="1325"/>
      <c r="F96" s="1325"/>
      <c r="G96" s="1325"/>
      <c r="H96" s="1325"/>
      <c r="I96" s="1325"/>
    </row>
    <row r="97" spans="1:9" s="51" customFormat="1" ht="12" customHeight="1" x14ac:dyDescent="0.25">
      <c r="A97" s="1325"/>
      <c r="B97" s="1325"/>
      <c r="C97" s="1325"/>
      <c r="D97" s="1325"/>
      <c r="E97" s="1325"/>
      <c r="F97" s="1325"/>
      <c r="G97" s="1325"/>
      <c r="H97" s="1325"/>
      <c r="I97" s="1325"/>
    </row>
    <row r="98" spans="1:9" s="51" customFormat="1" ht="12" customHeight="1" x14ac:dyDescent="0.25">
      <c r="A98" s="1325"/>
      <c r="B98" s="1325"/>
      <c r="C98" s="1325"/>
      <c r="D98" s="1325"/>
      <c r="E98" s="1325"/>
      <c r="F98" s="1325"/>
      <c r="G98" s="1325"/>
      <c r="H98" s="1325"/>
      <c r="I98" s="1325"/>
    </row>
    <row r="99" spans="1:9" s="51" customFormat="1" ht="12" customHeight="1" x14ac:dyDescent="0.25">
      <c r="A99" s="1325"/>
      <c r="B99" s="1325"/>
      <c r="C99" s="1325"/>
      <c r="D99" s="1325"/>
      <c r="E99" s="1325"/>
      <c r="F99" s="1325"/>
      <c r="G99" s="1325"/>
      <c r="H99" s="1325"/>
      <c r="I99" s="1325"/>
    </row>
    <row r="100" spans="1:9" s="51" customFormat="1" ht="12" customHeight="1" x14ac:dyDescent="0.25">
      <c r="A100" s="1325"/>
      <c r="B100" s="1325"/>
      <c r="C100" s="1325"/>
      <c r="D100" s="1325"/>
      <c r="E100" s="1325"/>
      <c r="F100" s="1325"/>
      <c r="G100" s="1325"/>
      <c r="H100" s="1325"/>
      <c r="I100" s="1325"/>
    </row>
  </sheetData>
  <sheetProtection password="ECB1" sheet="1" objects="1" scenarios="1"/>
  <mergeCells count="32">
    <mergeCell ref="E64:F64"/>
    <mergeCell ref="E65:F65"/>
    <mergeCell ref="C61:F61"/>
    <mergeCell ref="E62:F62"/>
    <mergeCell ref="E63:F63"/>
    <mergeCell ref="C40:F40"/>
    <mergeCell ref="C41:F41"/>
    <mergeCell ref="C42:F42"/>
    <mergeCell ref="E19:F20"/>
    <mergeCell ref="E21:F22"/>
    <mergeCell ref="E23:F23"/>
    <mergeCell ref="E24:F24"/>
    <mergeCell ref="E25:F25"/>
    <mergeCell ref="E26:F26"/>
    <mergeCell ref="E27:F27"/>
    <mergeCell ref="E28:F28"/>
    <mergeCell ref="C30:E31"/>
    <mergeCell ref="C37:E37"/>
    <mergeCell ref="C38:E38"/>
    <mergeCell ref="C39:F39"/>
    <mergeCell ref="E17:F18"/>
    <mergeCell ref="E1:G1"/>
    <mergeCell ref="C3:D4"/>
    <mergeCell ref="C5:D6"/>
    <mergeCell ref="C8:F8"/>
    <mergeCell ref="E9:F10"/>
    <mergeCell ref="E11:F11"/>
    <mergeCell ref="E12:F12"/>
    <mergeCell ref="E13:F13"/>
    <mergeCell ref="E14:F14"/>
    <mergeCell ref="E15:F15"/>
    <mergeCell ref="E16:F16"/>
  </mergeCells>
  <conditionalFormatting sqref="D9:D10 D15">
    <cfRule type="containsBlanks" dxfId="222" priority="24">
      <formula>LEN(TRIM(D9))=0</formula>
    </cfRule>
  </conditionalFormatting>
  <conditionalFormatting sqref="D16">
    <cfRule type="containsBlanks" dxfId="221" priority="20">
      <formula>LEN(TRIM(D16))=0</formula>
    </cfRule>
  </conditionalFormatting>
  <conditionalFormatting sqref="D19 D21">
    <cfRule type="expression" dxfId="220" priority="19">
      <formula>OR($D$16=INDEX(danet,1),$D$16=INDEX(danet,2))</formula>
    </cfRule>
  </conditionalFormatting>
  <conditionalFormatting sqref="E19:F22">
    <cfRule type="expression" dxfId="219" priority="17">
      <formula>$D$16=INDEX(danet,3)</formula>
    </cfRule>
  </conditionalFormatting>
  <conditionalFormatting sqref="E17:F18">
    <cfRule type="expression" dxfId="218" priority="13">
      <formula>$D$16=INDEX(danet,2)</formula>
    </cfRule>
  </conditionalFormatting>
  <conditionalFormatting sqref="D17">
    <cfRule type="expression" dxfId="217" priority="12">
      <formula>OR($D$16=INDEX(danet,3),$D$16=INDEX(danet,1))</formula>
    </cfRule>
  </conditionalFormatting>
  <conditionalFormatting sqref="D32">
    <cfRule type="expression" dxfId="216" priority="10">
      <formula>OR($D$13="",$D$27="")</formula>
    </cfRule>
  </conditionalFormatting>
  <conditionalFormatting sqref="F30">
    <cfRule type="expression" dxfId="215" priority="9">
      <formula>$D$32="A++"</formula>
    </cfRule>
  </conditionalFormatting>
  <conditionalFormatting sqref="F31:G31">
    <cfRule type="expression" dxfId="214" priority="8">
      <formula>$D$32="A+"</formula>
    </cfRule>
  </conditionalFormatting>
  <conditionalFormatting sqref="F32:G32">
    <cfRule type="expression" dxfId="213" priority="7">
      <formula>$D$32="A"</formula>
    </cfRule>
  </conditionalFormatting>
  <conditionalFormatting sqref="F33:G33">
    <cfRule type="expression" dxfId="212" priority="6">
      <formula>$D$32="B"</formula>
    </cfRule>
  </conditionalFormatting>
  <conditionalFormatting sqref="F34:G34">
    <cfRule type="expression" dxfId="211" priority="5">
      <formula>$D$32="C"</formula>
    </cfRule>
  </conditionalFormatting>
  <conditionalFormatting sqref="F35:G35">
    <cfRule type="expression" dxfId="210" priority="4">
      <formula>$D$32="D"</formula>
    </cfRule>
  </conditionalFormatting>
  <conditionalFormatting sqref="F36:G36">
    <cfRule type="expression" dxfId="209" priority="3">
      <formula>$D$32="E"</formula>
    </cfRule>
  </conditionalFormatting>
  <conditionalFormatting sqref="F37:G37">
    <cfRule type="expression" dxfId="208" priority="2">
      <formula>$D$32="F"</formula>
    </cfRule>
  </conditionalFormatting>
  <conditionalFormatting sqref="F38:G38">
    <cfRule type="expression" dxfId="207" priority="1">
      <formula>$D$32="G"</formula>
    </cfRule>
  </conditionalFormatting>
  <conditionalFormatting sqref="D43">
    <cfRule type="expression" dxfId="206" priority="11">
      <formula>AND($D$34&lt;0.1,$D$63&lt;0.1,$D$36&lt;0.5,$D$65&lt;0.5)</formula>
    </cfRule>
  </conditionalFormatting>
  <dataValidations count="9">
    <dataValidation type="whole" allowBlank="1" showInputMessage="1" showErrorMessage="1" errorTitle="Ошибка!" error="Допускается количество этажей от 1 до 40." sqref="D13">
      <formula1>1</formula1>
      <formula2>40</formula2>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decimal" allowBlank="1" showInputMessage="1" showErrorMessage="1" sqref="D14">
      <formula1>50</formula1>
      <formula2>150000</formula2>
    </dataValidation>
    <dataValidation type="decimal" allowBlank="1" showInputMessage="1" showErrorMessage="1" sqref="D17">
      <formula1>0</formula1>
      <formula2>D14*2</formula2>
    </dataValidation>
    <dataValidation type="decimal" allowBlank="1" showInputMessage="1" showErrorMessage="1" sqref="D19">
      <formula1>0</formula1>
      <formula2>D14*2*0.6</formula2>
    </dataValidation>
    <dataValidation type="decimal" allowBlank="1" showInputMessage="1" showErrorMessage="1" sqref="D21">
      <formula1>0</formula1>
      <formula2>D14*2*0.4</formula2>
    </dataValidation>
    <dataValidation type="list" allowBlank="1" showInputMessage="1" showErrorMessage="1" sqref="D9">
      <formula1>РегионыСписок</formula1>
    </dataValidation>
    <dataValidation type="list" allowBlank="1" showInputMessage="1" showErrorMessage="1" sqref="D15:D16">
      <formula1>danet</formula1>
    </dataValidation>
    <dataValidation type="list" allowBlank="1" showInputMessage="1" showErrorMessage="1" sqref="D10">
      <formula1>OFFSET(РегионСтарт,MATCH(D9,РегионСтолбец,0)-1,1,COUNTIF(РегионСтолбец,D9),1)</formula1>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43" location="'Ввод исходных данных'!D9" tooltip="перейти..." display="Ввести данные для детального прогноза &gt;&gt;"/>
  </hyperlinks>
  <printOptions horizontalCentered="1"/>
  <pageMargins left="0.23622047244094491" right="0.23622047244094491" top="0.15748031496062992" bottom="0.15748031496062992" header="0.11811023622047245" footer="0.11811023622047245"/>
  <pageSetup paperSize="9" scale="49" fitToHeight="0" orientation="portrait" r:id="rId2"/>
  <headerFooter>
    <oddFooter>&amp;R&amp;D</oddFooter>
  </headerFooter>
  <drawing r:id="rId3"/>
  <extLst>
    <ext xmlns:x14="http://schemas.microsoft.com/office/spreadsheetml/2009/9/main" uri="{78C0D931-6437-407d-A8EE-F0AAD7539E65}">
      <x14:conditionalFormattings>
        <x14:conditionalFormatting xmlns:xm="http://schemas.microsoft.com/office/excel/2006/main">
          <x14:cfRule type="iconSet" priority="23" id="{E9CD7744-F89B-43F9-9FF8-6553125FA948}">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G24:G28 G9:G15 G20 G22</xm:sqref>
        </x14:conditionalFormatting>
        <x14:conditionalFormatting xmlns:xm="http://schemas.microsoft.com/office/excel/2006/main">
          <x14:cfRule type="iconSet" priority="22" id="{EBE799A3-5DE1-461D-9D2A-18255A9965CA}">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G23</xm:sqref>
        </x14:conditionalFormatting>
        <x14:conditionalFormatting xmlns:xm="http://schemas.microsoft.com/office/excel/2006/main">
          <x14:cfRule type="iconSet" priority="21" id="{DD1073B7-FE34-4243-AADC-B669297FD9C2}">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G18</xm:sqref>
        </x14:conditionalFormatting>
        <x14:conditionalFormatting xmlns:xm="http://schemas.microsoft.com/office/excel/2006/main">
          <x14:cfRule type="iconSet" priority="18" id="{20CCF979-5C1C-4924-B853-F6BD4EA0841A}">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G17</xm:sqref>
        </x14:conditionalFormatting>
        <x14:conditionalFormatting xmlns:xm="http://schemas.microsoft.com/office/excel/2006/main">
          <x14:cfRule type="iconSet" priority="16" id="{B5130586-38CC-4FB6-9FBB-ACC12587BB06}">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G16</xm:sqref>
        </x14:conditionalFormatting>
        <x14:conditionalFormatting xmlns:xm="http://schemas.microsoft.com/office/excel/2006/main">
          <x14:cfRule type="iconSet" priority="15" id="{39255687-6C06-476C-8FB7-CB5881ED23DB}">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G19</xm:sqref>
        </x14:conditionalFormatting>
        <x14:conditionalFormatting xmlns:xm="http://schemas.microsoft.com/office/excel/2006/main">
          <x14:cfRule type="iconSet" priority="14" id="{5E2ABB9C-41F9-4EA2-971F-9190B203771D}">
            <x14:iconSet iconSet="3Symbols2" showValue="0" custom="1">
              <x14:cfvo type="percent">
                <xm:f>0</xm:f>
              </x14:cfvo>
              <x14:cfvo type="num">
                <xm:f>0</xm:f>
              </x14:cfvo>
              <x14:cfvo type="num">
                <xm:f>1</xm:f>
              </x14:cfvo>
              <x14:cfIcon iconSet="NoIcons" iconId="0"/>
              <x14:cfIcon iconSet="3Symbols2" iconId="0"/>
              <x14:cfIcon iconSet="3Symbols2" iconId="2"/>
            </x14:iconSet>
          </x14:cfRule>
          <xm:sqref>G21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W431"/>
  <sheetViews>
    <sheetView topLeftCell="A4" zoomScale="70" zoomScaleNormal="70" workbookViewId="0">
      <selection activeCell="A4" sqref="A1:XFD1048576"/>
    </sheetView>
  </sheetViews>
  <sheetFormatPr defaultColWidth="9.140625" defaultRowHeight="15" x14ac:dyDescent="0.25"/>
  <cols>
    <col min="1" max="8" width="9.140625" style="13"/>
    <col min="9" max="9" width="9.140625" style="1369"/>
    <col min="10" max="16384" width="9.140625" style="13"/>
  </cols>
  <sheetData>
    <row r="1" spans="1:23" ht="21" x14ac:dyDescent="0.25">
      <c r="A1" s="1365"/>
      <c r="B1" s="1365"/>
      <c r="C1" s="1365"/>
      <c r="D1" s="1365"/>
      <c r="E1" s="1365"/>
      <c r="F1" s="1365"/>
      <c r="G1" s="1365"/>
      <c r="H1" s="1365"/>
      <c r="I1" s="1365"/>
      <c r="J1" s="1365"/>
      <c r="K1" s="1365"/>
      <c r="L1" s="1367"/>
      <c r="N1" s="1365" t="s">
        <v>1857</v>
      </c>
      <c r="O1" s="1365"/>
      <c r="P1" s="1365"/>
      <c r="Q1" s="1365" t="s">
        <v>1858</v>
      </c>
      <c r="R1" s="1365"/>
      <c r="S1" s="1365"/>
      <c r="U1" s="13" t="s">
        <v>1860</v>
      </c>
    </row>
    <row r="2" spans="1:23" ht="42" x14ac:dyDescent="0.25">
      <c r="A2" s="1365" t="s">
        <v>1842</v>
      </c>
      <c r="B2" s="1365" t="s">
        <v>982</v>
      </c>
      <c r="C2" s="1365" t="s">
        <v>541</v>
      </c>
      <c r="D2" s="1365" t="s">
        <v>1292</v>
      </c>
      <c r="E2" s="1365"/>
      <c r="F2" s="1365"/>
      <c r="G2" s="1365"/>
      <c r="H2" s="1365"/>
      <c r="I2" s="1365"/>
      <c r="J2" s="1365"/>
      <c r="K2" s="1365"/>
      <c r="L2" s="1365"/>
      <c r="M2" s="1367"/>
      <c r="N2" s="1365" t="s">
        <v>982</v>
      </c>
      <c r="O2" s="1365" t="s">
        <v>541</v>
      </c>
      <c r="P2" s="1365" t="s">
        <v>1292</v>
      </c>
      <c r="Q2" s="1365" t="s">
        <v>982</v>
      </c>
      <c r="R2" s="1365" t="s">
        <v>541</v>
      </c>
      <c r="S2" s="1365" t="s">
        <v>1292</v>
      </c>
      <c r="U2" s="1365" t="s">
        <v>982</v>
      </c>
      <c r="V2" s="1365" t="s">
        <v>541</v>
      </c>
      <c r="W2" s="1365" t="s">
        <v>1292</v>
      </c>
    </row>
    <row r="3" spans="1:23" ht="31.5" x14ac:dyDescent="0.25">
      <c r="A3" s="1365" t="s">
        <v>1165</v>
      </c>
      <c r="B3" s="1365" t="s">
        <v>1843</v>
      </c>
      <c r="C3" s="1365" t="s">
        <v>1843</v>
      </c>
      <c r="D3" s="1365" t="s">
        <v>2031</v>
      </c>
      <c r="E3" s="1365" t="s">
        <v>1799</v>
      </c>
      <c r="F3" s="1365" t="s">
        <v>1798</v>
      </c>
      <c r="G3" s="1365" t="s">
        <v>1791</v>
      </c>
      <c r="H3" s="1365" t="s">
        <v>1792</v>
      </c>
      <c r="I3" s="1365" t="s">
        <v>1793</v>
      </c>
      <c r="J3" s="1365" t="s">
        <v>1794</v>
      </c>
      <c r="K3" s="1365" t="s">
        <v>1795</v>
      </c>
      <c r="L3" s="1365" t="s">
        <v>1796</v>
      </c>
      <c r="M3" s="1365" t="s">
        <v>1797</v>
      </c>
      <c r="N3" s="1365"/>
      <c r="O3" s="1365"/>
      <c r="P3" s="1365"/>
      <c r="Q3" s="1365"/>
      <c r="R3" s="1365"/>
      <c r="S3" s="1365"/>
      <c r="U3" s="1369">
        <f>'Рейтинг МКД'!D25</f>
        <v>0</v>
      </c>
      <c r="V3" s="1370">
        <f>'Рейтинг МКД'!D26</f>
        <v>0</v>
      </c>
      <c r="W3" s="1369" t="e">
        <f>'Рейтинг МКД'!D28*'Рейтинг МКД'!D11</f>
        <v>#VALUE!</v>
      </c>
    </row>
    <row r="4" spans="1:23" x14ac:dyDescent="0.25">
      <c r="A4" s="1365"/>
      <c r="B4" s="1365"/>
      <c r="C4" s="1365"/>
      <c r="D4" s="1365"/>
      <c r="E4" s="1365"/>
      <c r="F4" s="1365"/>
      <c r="G4" s="1365"/>
      <c r="H4" s="1365"/>
      <c r="I4" s="1365"/>
      <c r="J4" s="1365"/>
      <c r="K4" s="1365"/>
      <c r="L4" s="1365"/>
      <c r="M4" s="1365"/>
      <c r="N4" s="1365"/>
      <c r="O4" s="1365"/>
      <c r="P4" s="1365"/>
      <c r="Q4" s="1365"/>
      <c r="R4" s="1365"/>
      <c r="S4" s="1365"/>
    </row>
    <row r="5" spans="1:23" x14ac:dyDescent="0.25">
      <c r="A5" s="1366">
        <v>0.01</v>
      </c>
      <c r="B5" s="13">
        <f>$B$106*B108+$C$106*C108+$D$106*D108+$E$106*E108+$F$106*F108+$G$106*G108+$H$106*H108+$I$106*I108+$J$106*J108+$K$106*K108+$L$106*L108+$M$106*M108</f>
        <v>0</v>
      </c>
      <c r="C5" s="1367">
        <f t="shared" ref="C5:C36" si="0">$B$106*B213+$C$106*C213+$D$106*D213+$E$106*E213+$F$106*F213+$G$106*G213+$H$106*H213+$I$106*I213+$J$106*J213+$K$106*K213+$L$106*L213+$M$106*M213</f>
        <v>0</v>
      </c>
      <c r="D5" s="1434" t="e">
        <f>B5*'Рейтинг МКД'!$D$11+'кривые-экспресс'!C5+IF('Рейтинг МКД'!$D$15="нет",7,10)</f>
        <v>#VALUE!</v>
      </c>
      <c r="E5" s="1434" t="e">
        <f>IF(D5&lt;=$N$423,D5,"")</f>
        <v>#VALUE!</v>
      </c>
      <c r="F5" s="1367" t="e">
        <f>IF(AND($D5&lt;=$N$424,$D5&gt;$N$423),$D5,"")</f>
        <v>#VALUE!</v>
      </c>
      <c r="G5" s="1367" t="e">
        <f>IF(AND($D5&lt;=$N$425,$D5&gt;$N$424),$D5,"")</f>
        <v>#VALUE!</v>
      </c>
      <c r="H5" s="1367" t="e">
        <f>IF(AND($D5&lt;=$N$426,$D5&gt;$N$425),$D5,"")</f>
        <v>#VALUE!</v>
      </c>
      <c r="I5" s="1367" t="e">
        <f>IF(AND($D5&lt;=$N$427,$D5&gt;$N$426),$D5,"")</f>
        <v>#VALUE!</v>
      </c>
      <c r="J5" s="1367" t="e">
        <f>IF(AND($D5&lt;=$N$428,$D5&gt;$N$427),$D5,"")</f>
        <v>#VALUE!</v>
      </c>
      <c r="K5" s="1367" t="e">
        <f>IF(AND($D5&lt;=$N$429,$D5&gt;$N$428),$D5,"")</f>
        <v>#VALUE!</v>
      </c>
      <c r="L5" s="1367" t="e">
        <f>IF(AND($D5&lt;=$N$430,$D5&gt;$N$429),$D5,"")</f>
        <v>#VALUE!</v>
      </c>
      <c r="M5" s="1367" t="e">
        <f>IF(AND($D5&gt;$N$430),$D5,"")</f>
        <v>#VALUE!</v>
      </c>
      <c r="N5" s="13" t="e">
        <f>$B$106*B210+$C$106*C210+$D$106*D210+$E$106*E210+$F$106*F210+$G$106*G210+$H$106*H210+$I$106*I210+$J$106*J210+$K$106*K210+$L$106*L210+$M$106*M210</f>
        <v>#VALUE!</v>
      </c>
      <c r="O5" s="13" t="e">
        <f>$B$106*B315+$C$106*C315+$D$106*D315+$E$106*E315+$F$106*F315+$G$106*G315+$H$106*H315+$I$106*I315+$J$106*J315+$K$106*K315+$L$106*L315+$M$106*M315</f>
        <v>#VALUE!</v>
      </c>
      <c r="P5" s="1426" t="e">
        <f>'Рейтинг МКД'!D11*($B$106*B420+$C$106*C420+$D$106*D420+$E$106*E420+$F$106*F420+$G$106*G420+$H$106*H420+$I$106*I420+$J$106*J420+$K$106*K420+$L$106*L420+$M$106*M420)+IF('Рейтинг МКД'!$D$15="нет",7,10)</f>
        <v>#VALUE!</v>
      </c>
      <c r="Q5" s="13" t="e">
        <f>$B$106*B211+$C$106*C211+$D$106*D211+$E$106*E211+$F$106*F211+$G$106*G211+$H$106*H211+$I$106*I211+$J$106*J211+$K$106*K211+$L$106*L211+$M$106*M211</f>
        <v>#VALUE!</v>
      </c>
      <c r="R5" s="13" t="e">
        <f>$B$106*B316+$C$106*C316+$D$106*D316+$E$106*E316+$F$106*F316+$G$106*G316+$H$106*H316+$I$106*I316+$J$106*J316+$K$106*K316+$L$106*L316+$M$106*M316</f>
        <v>#VALUE!</v>
      </c>
      <c r="S5" s="13" t="e">
        <f>'Рейтинг МКД'!$D$11*($B$106*B421+$C$106*C421+$D$106*D421+$E$106*E421+$F$106*F421+$G$106*G421+$H$106*H421+$I$106*I421+$J$106*J421+$K$106*K421+$L$106*L421+$M$106*M421)+IF('Рейтинг МКД'!$D$15="нет",7,10)</f>
        <v>#VALUE!</v>
      </c>
      <c r="U5" s="13" t="str">
        <f t="shared" ref="U5:U36" si="1">IF(AND($U$3&gt;=B5,$U$3&lt;B6),$U$3,"")</f>
        <v/>
      </c>
      <c r="V5" s="13" t="str">
        <f t="shared" ref="V5:V36" si="2">IF(AND($V$3&gt;=C5,$V$3&lt;C6),$V$3,"")</f>
        <v/>
      </c>
      <c r="W5" s="13" t="e">
        <f>IF(AND($W$3&gt;=SUM(E5:M5),$W$3&lt;SUM(E6:M6)),$W$3,"")</f>
        <v>#VALUE!</v>
      </c>
    </row>
    <row r="6" spans="1:23" x14ac:dyDescent="0.25">
      <c r="A6" s="1366">
        <v>0.02</v>
      </c>
      <c r="B6" s="13">
        <f t="shared" ref="B6:B69" si="3">$B$106*B109+$C$106*C109+$D$106*D109+$E$106*E109+$F$106*F109+$G$106*G109+$H$106*H109+$I$106*I109+$J$106*J109+$K$106*K109+$L$106*L109+$M$106*M109</f>
        <v>0</v>
      </c>
      <c r="C6" s="1367">
        <f t="shared" si="0"/>
        <v>0</v>
      </c>
      <c r="D6" s="1434" t="e">
        <f>B6*'Рейтинг МКД'!$D$11+'кривые-экспресс'!C6+IF('Рейтинг МКД'!$D$15="нет",7,10)</f>
        <v>#VALUE!</v>
      </c>
      <c r="E6" s="1434" t="e">
        <f t="shared" ref="E6:E69" si="4">IF(D6&lt;=$N$423,D6,"")</f>
        <v>#VALUE!</v>
      </c>
      <c r="F6" s="1367" t="e">
        <f t="shared" ref="F6:F69" si="5">IF(AND($D6&lt;=$N$424,$D6&gt;$N$423),$D6,"")</f>
        <v>#VALUE!</v>
      </c>
      <c r="G6" s="1367" t="e">
        <f t="shared" ref="G6:G69" si="6">IF(AND($D6&lt;=$N$425,$D6&gt;$N$424),$D6,"")</f>
        <v>#VALUE!</v>
      </c>
      <c r="H6" s="1367" t="e">
        <f t="shared" ref="H6:H69" si="7">IF(AND($D6&lt;=$N$426,$D6&gt;$N$425),$D6,"")</f>
        <v>#VALUE!</v>
      </c>
      <c r="I6" s="1367" t="e">
        <f t="shared" ref="I6:I69" si="8">IF(AND($D6&lt;=$N$427,$D6&gt;$N$426),$D6,"")</f>
        <v>#VALUE!</v>
      </c>
      <c r="J6" s="1367" t="e">
        <f t="shared" ref="J6:J69" si="9">IF(AND($D6&lt;=$N$428,$D6&gt;$N$427),$D6,"")</f>
        <v>#VALUE!</v>
      </c>
      <c r="K6" s="1367" t="e">
        <f t="shared" ref="K6:K69" si="10">IF(AND($D6&lt;=$N$429,$D6&gt;$N$428),$D6,"")</f>
        <v>#VALUE!</v>
      </c>
      <c r="L6" s="1367" t="e">
        <f t="shared" ref="L6:L69" si="11">IF(AND($D6&lt;=$N$430,$D6&gt;$N$429),$D6,"")</f>
        <v>#VALUE!</v>
      </c>
      <c r="M6" s="1367" t="e">
        <f t="shared" ref="M6:M69" si="12">IF(AND($D6&gt;$N$430),$D6,"")</f>
        <v>#VALUE!</v>
      </c>
      <c r="N6" s="13" t="e">
        <f t="shared" ref="N6:N22" si="13">N5</f>
        <v>#VALUE!</v>
      </c>
      <c r="O6" s="13" t="e">
        <f t="shared" ref="O6:S21" si="14">O5</f>
        <v>#VALUE!</v>
      </c>
      <c r="P6" s="13" t="e">
        <f t="shared" si="14"/>
        <v>#VALUE!</v>
      </c>
      <c r="Q6" s="13" t="e">
        <f t="shared" si="14"/>
        <v>#VALUE!</v>
      </c>
      <c r="R6" s="13" t="e">
        <f t="shared" si="14"/>
        <v>#VALUE!</v>
      </c>
      <c r="S6" s="13" t="e">
        <f t="shared" si="14"/>
        <v>#VALUE!</v>
      </c>
      <c r="U6" s="13" t="str">
        <f t="shared" si="1"/>
        <v/>
      </c>
      <c r="V6" s="13" t="str">
        <f t="shared" si="2"/>
        <v/>
      </c>
      <c r="W6" s="13" t="e">
        <f>IF(AND($W$3&gt;=SUM(E6:M6),$W$3&lt;SUM(E7:M7)),$W$3,"")</f>
        <v>#VALUE!</v>
      </c>
    </row>
    <row r="7" spans="1:23" x14ac:dyDescent="0.25">
      <c r="A7" s="1366">
        <v>0.03</v>
      </c>
      <c r="B7" s="13">
        <f t="shared" si="3"/>
        <v>0</v>
      </c>
      <c r="C7" s="1367">
        <f t="shared" si="0"/>
        <v>0</v>
      </c>
      <c r="D7" s="1434" t="e">
        <f>B7*'Рейтинг МКД'!$D$11+'кривые-экспресс'!C7+IF('Рейтинг МКД'!$D$15="нет",7,10)</f>
        <v>#VALUE!</v>
      </c>
      <c r="E7" s="1434" t="e">
        <f t="shared" si="4"/>
        <v>#VALUE!</v>
      </c>
      <c r="F7" s="1367" t="e">
        <f t="shared" si="5"/>
        <v>#VALUE!</v>
      </c>
      <c r="G7" s="1367" t="e">
        <f t="shared" si="6"/>
        <v>#VALUE!</v>
      </c>
      <c r="H7" s="1367" t="e">
        <f t="shared" si="7"/>
        <v>#VALUE!</v>
      </c>
      <c r="I7" s="1367" t="e">
        <f t="shared" si="8"/>
        <v>#VALUE!</v>
      </c>
      <c r="J7" s="1367" t="e">
        <f t="shared" si="9"/>
        <v>#VALUE!</v>
      </c>
      <c r="K7" s="1367" t="e">
        <f t="shared" si="10"/>
        <v>#VALUE!</v>
      </c>
      <c r="L7" s="1367" t="e">
        <f t="shared" si="11"/>
        <v>#VALUE!</v>
      </c>
      <c r="M7" s="1367" t="e">
        <f t="shared" si="12"/>
        <v>#VALUE!</v>
      </c>
      <c r="N7" s="13" t="e">
        <f t="shared" si="13"/>
        <v>#VALUE!</v>
      </c>
      <c r="O7" s="13" t="e">
        <f t="shared" si="14"/>
        <v>#VALUE!</v>
      </c>
      <c r="P7" s="13" t="e">
        <f t="shared" si="14"/>
        <v>#VALUE!</v>
      </c>
      <c r="Q7" s="13" t="e">
        <f t="shared" si="14"/>
        <v>#VALUE!</v>
      </c>
      <c r="R7" s="13" t="e">
        <f t="shared" si="14"/>
        <v>#VALUE!</v>
      </c>
      <c r="S7" s="13" t="e">
        <f t="shared" si="14"/>
        <v>#VALUE!</v>
      </c>
      <c r="U7" s="13" t="str">
        <f t="shared" si="1"/>
        <v/>
      </c>
      <c r="V7" s="13" t="str">
        <f t="shared" si="2"/>
        <v/>
      </c>
      <c r="W7" s="13" t="e">
        <f t="shared" ref="W7:W70" si="15">IF(AND($W$3&gt;=SUM(E7:M7),$W$3&lt;SUM(E8:M8)),$W$3,"")</f>
        <v>#VALUE!</v>
      </c>
    </row>
    <row r="8" spans="1:23" x14ac:dyDescent="0.25">
      <c r="A8" s="1366">
        <v>0.04</v>
      </c>
      <c r="B8" s="13">
        <f t="shared" si="3"/>
        <v>0</v>
      </c>
      <c r="C8" s="1367">
        <f t="shared" si="0"/>
        <v>0</v>
      </c>
      <c r="D8" s="1434" t="e">
        <f>B8*'Рейтинг МКД'!$D$11+'кривые-экспресс'!C8+IF('Рейтинг МКД'!$D$15="нет",7,10)</f>
        <v>#VALUE!</v>
      </c>
      <c r="E8" s="1434" t="e">
        <f t="shared" si="4"/>
        <v>#VALUE!</v>
      </c>
      <c r="F8" s="1367" t="e">
        <f t="shared" si="5"/>
        <v>#VALUE!</v>
      </c>
      <c r="G8" s="1367" t="e">
        <f t="shared" si="6"/>
        <v>#VALUE!</v>
      </c>
      <c r="H8" s="1367" t="e">
        <f t="shared" si="7"/>
        <v>#VALUE!</v>
      </c>
      <c r="I8" s="1367" t="e">
        <f t="shared" si="8"/>
        <v>#VALUE!</v>
      </c>
      <c r="J8" s="1367" t="e">
        <f t="shared" si="9"/>
        <v>#VALUE!</v>
      </c>
      <c r="K8" s="1367" t="e">
        <f t="shared" si="10"/>
        <v>#VALUE!</v>
      </c>
      <c r="L8" s="1367" t="e">
        <f t="shared" si="11"/>
        <v>#VALUE!</v>
      </c>
      <c r="M8" s="1367" t="e">
        <f t="shared" si="12"/>
        <v>#VALUE!</v>
      </c>
      <c r="N8" s="13" t="e">
        <f t="shared" si="13"/>
        <v>#VALUE!</v>
      </c>
      <c r="O8" s="13" t="e">
        <f t="shared" si="14"/>
        <v>#VALUE!</v>
      </c>
      <c r="P8" s="13" t="e">
        <f t="shared" si="14"/>
        <v>#VALUE!</v>
      </c>
      <c r="Q8" s="13" t="e">
        <f t="shared" si="14"/>
        <v>#VALUE!</v>
      </c>
      <c r="R8" s="13" t="e">
        <f t="shared" si="14"/>
        <v>#VALUE!</v>
      </c>
      <c r="S8" s="13" t="e">
        <f t="shared" si="14"/>
        <v>#VALUE!</v>
      </c>
      <c r="U8" s="13" t="str">
        <f t="shared" si="1"/>
        <v/>
      </c>
      <c r="V8" s="13" t="str">
        <f t="shared" si="2"/>
        <v/>
      </c>
      <c r="W8" s="13" t="e">
        <f t="shared" si="15"/>
        <v>#VALUE!</v>
      </c>
    </row>
    <row r="9" spans="1:23" x14ac:dyDescent="0.25">
      <c r="A9" s="1366">
        <v>0.05</v>
      </c>
      <c r="B9" s="13">
        <f t="shared" si="3"/>
        <v>0</v>
      </c>
      <c r="C9" s="1367">
        <f t="shared" si="0"/>
        <v>0</v>
      </c>
      <c r="D9" s="1434" t="e">
        <f>B9*'Рейтинг МКД'!$D$11+'кривые-экспресс'!C9+IF('Рейтинг МКД'!$D$15="нет",7,10)</f>
        <v>#VALUE!</v>
      </c>
      <c r="E9" s="1434" t="e">
        <f t="shared" si="4"/>
        <v>#VALUE!</v>
      </c>
      <c r="F9" s="1367" t="e">
        <f t="shared" si="5"/>
        <v>#VALUE!</v>
      </c>
      <c r="G9" s="1367" t="e">
        <f t="shared" si="6"/>
        <v>#VALUE!</v>
      </c>
      <c r="H9" s="1367" t="e">
        <f t="shared" si="7"/>
        <v>#VALUE!</v>
      </c>
      <c r="I9" s="1367" t="e">
        <f t="shared" si="8"/>
        <v>#VALUE!</v>
      </c>
      <c r="J9" s="1367" t="e">
        <f t="shared" si="9"/>
        <v>#VALUE!</v>
      </c>
      <c r="K9" s="1367" t="e">
        <f t="shared" si="10"/>
        <v>#VALUE!</v>
      </c>
      <c r="L9" s="1367" t="e">
        <f t="shared" si="11"/>
        <v>#VALUE!</v>
      </c>
      <c r="M9" s="1367" t="e">
        <f t="shared" si="12"/>
        <v>#VALUE!</v>
      </c>
      <c r="N9" s="13" t="e">
        <f t="shared" si="13"/>
        <v>#VALUE!</v>
      </c>
      <c r="O9" s="13" t="e">
        <f t="shared" si="14"/>
        <v>#VALUE!</v>
      </c>
      <c r="P9" s="13" t="e">
        <f t="shared" si="14"/>
        <v>#VALUE!</v>
      </c>
      <c r="Q9" s="13" t="e">
        <f t="shared" si="14"/>
        <v>#VALUE!</v>
      </c>
      <c r="R9" s="13" t="e">
        <f t="shared" si="14"/>
        <v>#VALUE!</v>
      </c>
      <c r="S9" s="13" t="e">
        <f t="shared" si="14"/>
        <v>#VALUE!</v>
      </c>
      <c r="U9" s="13" t="str">
        <f t="shared" si="1"/>
        <v/>
      </c>
      <c r="V9" s="13" t="str">
        <f t="shared" si="2"/>
        <v/>
      </c>
      <c r="W9" s="13" t="e">
        <f t="shared" si="15"/>
        <v>#VALUE!</v>
      </c>
    </row>
    <row r="10" spans="1:23" x14ac:dyDescent="0.25">
      <c r="A10" s="1366">
        <v>0.06</v>
      </c>
      <c r="B10" s="13">
        <f t="shared" si="3"/>
        <v>0</v>
      </c>
      <c r="C10" s="1367">
        <f t="shared" si="0"/>
        <v>0</v>
      </c>
      <c r="D10" s="1434" t="e">
        <f>B10*'Рейтинг МКД'!$D$11+'кривые-экспресс'!C10+IF('Рейтинг МКД'!$D$15="нет",7,10)</f>
        <v>#VALUE!</v>
      </c>
      <c r="E10" s="1434" t="e">
        <f t="shared" si="4"/>
        <v>#VALUE!</v>
      </c>
      <c r="F10" s="1367" t="e">
        <f t="shared" si="5"/>
        <v>#VALUE!</v>
      </c>
      <c r="G10" s="1367" t="e">
        <f t="shared" si="6"/>
        <v>#VALUE!</v>
      </c>
      <c r="H10" s="1367" t="e">
        <f t="shared" si="7"/>
        <v>#VALUE!</v>
      </c>
      <c r="I10" s="1367" t="e">
        <f t="shared" si="8"/>
        <v>#VALUE!</v>
      </c>
      <c r="J10" s="1367" t="e">
        <f t="shared" si="9"/>
        <v>#VALUE!</v>
      </c>
      <c r="K10" s="1367" t="e">
        <f t="shared" si="10"/>
        <v>#VALUE!</v>
      </c>
      <c r="L10" s="1367" t="e">
        <f t="shared" si="11"/>
        <v>#VALUE!</v>
      </c>
      <c r="M10" s="1367" t="e">
        <f t="shared" si="12"/>
        <v>#VALUE!</v>
      </c>
      <c r="N10" s="13" t="e">
        <f t="shared" si="13"/>
        <v>#VALUE!</v>
      </c>
      <c r="O10" s="13" t="e">
        <f t="shared" si="14"/>
        <v>#VALUE!</v>
      </c>
      <c r="P10" s="13" t="e">
        <f t="shared" si="14"/>
        <v>#VALUE!</v>
      </c>
      <c r="Q10" s="13" t="e">
        <f t="shared" si="14"/>
        <v>#VALUE!</v>
      </c>
      <c r="R10" s="13" t="e">
        <f t="shared" si="14"/>
        <v>#VALUE!</v>
      </c>
      <c r="S10" s="13" t="e">
        <f t="shared" si="14"/>
        <v>#VALUE!</v>
      </c>
      <c r="U10" s="13" t="str">
        <f t="shared" si="1"/>
        <v/>
      </c>
      <c r="V10" s="13" t="str">
        <f t="shared" si="2"/>
        <v/>
      </c>
      <c r="W10" s="13" t="e">
        <f t="shared" si="15"/>
        <v>#VALUE!</v>
      </c>
    </row>
    <row r="11" spans="1:23" x14ac:dyDescent="0.25">
      <c r="A11" s="1366">
        <v>7.0000000000000007E-2</v>
      </c>
      <c r="B11" s="13">
        <f t="shared" si="3"/>
        <v>0</v>
      </c>
      <c r="C11" s="1367">
        <f t="shared" si="0"/>
        <v>0</v>
      </c>
      <c r="D11" s="1434" t="e">
        <f>B11*'Рейтинг МКД'!$D$11+'кривые-экспресс'!C11+IF('Рейтинг МКД'!$D$15="нет",7,10)</f>
        <v>#VALUE!</v>
      </c>
      <c r="E11" s="1434" t="e">
        <f t="shared" si="4"/>
        <v>#VALUE!</v>
      </c>
      <c r="F11" s="1367" t="e">
        <f t="shared" si="5"/>
        <v>#VALUE!</v>
      </c>
      <c r="G11" s="1367" t="e">
        <f t="shared" si="6"/>
        <v>#VALUE!</v>
      </c>
      <c r="H11" s="1367" t="e">
        <f t="shared" si="7"/>
        <v>#VALUE!</v>
      </c>
      <c r="I11" s="1367" t="e">
        <f t="shared" si="8"/>
        <v>#VALUE!</v>
      </c>
      <c r="J11" s="1367" t="e">
        <f t="shared" si="9"/>
        <v>#VALUE!</v>
      </c>
      <c r="K11" s="1367" t="e">
        <f t="shared" si="10"/>
        <v>#VALUE!</v>
      </c>
      <c r="L11" s="1367" t="e">
        <f t="shared" si="11"/>
        <v>#VALUE!</v>
      </c>
      <c r="M11" s="1367" t="e">
        <f t="shared" si="12"/>
        <v>#VALUE!</v>
      </c>
      <c r="N11" s="13" t="e">
        <f t="shared" si="13"/>
        <v>#VALUE!</v>
      </c>
      <c r="O11" s="13" t="e">
        <f t="shared" si="14"/>
        <v>#VALUE!</v>
      </c>
      <c r="P11" s="13" t="e">
        <f t="shared" si="14"/>
        <v>#VALUE!</v>
      </c>
      <c r="Q11" s="13" t="e">
        <f t="shared" si="14"/>
        <v>#VALUE!</v>
      </c>
      <c r="R11" s="13" t="e">
        <f t="shared" si="14"/>
        <v>#VALUE!</v>
      </c>
      <c r="S11" s="13" t="e">
        <f t="shared" si="14"/>
        <v>#VALUE!</v>
      </c>
      <c r="U11" s="13" t="str">
        <f t="shared" si="1"/>
        <v/>
      </c>
      <c r="V11" s="13" t="str">
        <f t="shared" si="2"/>
        <v/>
      </c>
      <c r="W11" s="13" t="e">
        <f t="shared" si="15"/>
        <v>#VALUE!</v>
      </c>
    </row>
    <row r="12" spans="1:23" x14ac:dyDescent="0.25">
      <c r="A12" s="1366">
        <v>0.08</v>
      </c>
      <c r="B12" s="13">
        <f t="shared" si="3"/>
        <v>0</v>
      </c>
      <c r="C12" s="1367">
        <f t="shared" si="0"/>
        <v>0</v>
      </c>
      <c r="D12" s="1434" t="e">
        <f>B12*'Рейтинг МКД'!$D$11+'кривые-экспресс'!C12+IF('Рейтинг МКД'!$D$15="нет",7,10)</f>
        <v>#VALUE!</v>
      </c>
      <c r="E12" s="1434" t="e">
        <f t="shared" si="4"/>
        <v>#VALUE!</v>
      </c>
      <c r="F12" s="1367" t="e">
        <f t="shared" si="5"/>
        <v>#VALUE!</v>
      </c>
      <c r="G12" s="1367" t="e">
        <f t="shared" si="6"/>
        <v>#VALUE!</v>
      </c>
      <c r="H12" s="1367" t="e">
        <f t="shared" si="7"/>
        <v>#VALUE!</v>
      </c>
      <c r="I12" s="1367" t="e">
        <f t="shared" si="8"/>
        <v>#VALUE!</v>
      </c>
      <c r="J12" s="1367" t="e">
        <f t="shared" si="9"/>
        <v>#VALUE!</v>
      </c>
      <c r="K12" s="1367" t="e">
        <f t="shared" si="10"/>
        <v>#VALUE!</v>
      </c>
      <c r="L12" s="1367" t="e">
        <f t="shared" si="11"/>
        <v>#VALUE!</v>
      </c>
      <c r="M12" s="1367" t="e">
        <f t="shared" si="12"/>
        <v>#VALUE!</v>
      </c>
      <c r="N12" s="13" t="e">
        <f t="shared" si="13"/>
        <v>#VALUE!</v>
      </c>
      <c r="O12" s="13" t="e">
        <f t="shared" si="14"/>
        <v>#VALUE!</v>
      </c>
      <c r="P12" s="13" t="e">
        <f t="shared" si="14"/>
        <v>#VALUE!</v>
      </c>
      <c r="Q12" s="13" t="e">
        <f t="shared" si="14"/>
        <v>#VALUE!</v>
      </c>
      <c r="R12" s="13" t="e">
        <f t="shared" si="14"/>
        <v>#VALUE!</v>
      </c>
      <c r="S12" s="13" t="e">
        <f t="shared" si="14"/>
        <v>#VALUE!</v>
      </c>
      <c r="U12" s="13" t="str">
        <f t="shared" si="1"/>
        <v/>
      </c>
      <c r="V12" s="13" t="str">
        <f t="shared" si="2"/>
        <v/>
      </c>
      <c r="W12" s="13" t="e">
        <f t="shared" si="15"/>
        <v>#VALUE!</v>
      </c>
    </row>
    <row r="13" spans="1:23" x14ac:dyDescent="0.25">
      <c r="A13" s="1366">
        <v>0.09</v>
      </c>
      <c r="B13" s="13">
        <f t="shared" si="3"/>
        <v>0</v>
      </c>
      <c r="C13" s="1367">
        <f t="shared" si="0"/>
        <v>0</v>
      </c>
      <c r="D13" s="1434" t="e">
        <f>B13*'Рейтинг МКД'!$D$11+'кривые-экспресс'!C13+IF('Рейтинг МКД'!$D$15="нет",7,10)</f>
        <v>#VALUE!</v>
      </c>
      <c r="E13" s="1434" t="e">
        <f t="shared" si="4"/>
        <v>#VALUE!</v>
      </c>
      <c r="F13" s="1367" t="e">
        <f t="shared" si="5"/>
        <v>#VALUE!</v>
      </c>
      <c r="G13" s="1367" t="e">
        <f t="shared" si="6"/>
        <v>#VALUE!</v>
      </c>
      <c r="H13" s="1367" t="e">
        <f t="shared" si="7"/>
        <v>#VALUE!</v>
      </c>
      <c r="I13" s="1367" t="e">
        <f t="shared" si="8"/>
        <v>#VALUE!</v>
      </c>
      <c r="J13" s="1367" t="e">
        <f t="shared" si="9"/>
        <v>#VALUE!</v>
      </c>
      <c r="K13" s="1367" t="e">
        <f t="shared" si="10"/>
        <v>#VALUE!</v>
      </c>
      <c r="L13" s="1367" t="e">
        <f t="shared" si="11"/>
        <v>#VALUE!</v>
      </c>
      <c r="M13" s="1367" t="e">
        <f t="shared" si="12"/>
        <v>#VALUE!</v>
      </c>
      <c r="N13" s="13" t="e">
        <f t="shared" si="13"/>
        <v>#VALUE!</v>
      </c>
      <c r="O13" s="13" t="e">
        <f t="shared" si="14"/>
        <v>#VALUE!</v>
      </c>
      <c r="P13" s="13" t="e">
        <f t="shared" si="14"/>
        <v>#VALUE!</v>
      </c>
      <c r="Q13" s="13" t="e">
        <f t="shared" si="14"/>
        <v>#VALUE!</v>
      </c>
      <c r="R13" s="13" t="e">
        <f t="shared" si="14"/>
        <v>#VALUE!</v>
      </c>
      <c r="S13" s="13" t="e">
        <f t="shared" si="14"/>
        <v>#VALUE!</v>
      </c>
      <c r="U13" s="13" t="str">
        <f t="shared" si="1"/>
        <v/>
      </c>
      <c r="V13" s="13" t="str">
        <f t="shared" si="2"/>
        <v/>
      </c>
      <c r="W13" s="13" t="e">
        <f t="shared" si="15"/>
        <v>#VALUE!</v>
      </c>
    </row>
    <row r="14" spans="1:23" x14ac:dyDescent="0.25">
      <c r="A14" s="1366">
        <v>0.1</v>
      </c>
      <c r="B14" s="13">
        <f t="shared" si="3"/>
        <v>0</v>
      </c>
      <c r="C14" s="1367">
        <f t="shared" si="0"/>
        <v>0</v>
      </c>
      <c r="D14" s="1434" t="e">
        <f>B14*'Рейтинг МКД'!$D$11+'кривые-экспресс'!C14+IF('Рейтинг МКД'!$D$15="нет",7,10)</f>
        <v>#VALUE!</v>
      </c>
      <c r="E14" s="1434" t="e">
        <f t="shared" si="4"/>
        <v>#VALUE!</v>
      </c>
      <c r="F14" s="1367" t="e">
        <f t="shared" si="5"/>
        <v>#VALUE!</v>
      </c>
      <c r="G14" s="1367" t="e">
        <f t="shared" si="6"/>
        <v>#VALUE!</v>
      </c>
      <c r="H14" s="1367" t="e">
        <f t="shared" si="7"/>
        <v>#VALUE!</v>
      </c>
      <c r="I14" s="1367" t="e">
        <f t="shared" si="8"/>
        <v>#VALUE!</v>
      </c>
      <c r="J14" s="1367" t="e">
        <f t="shared" si="9"/>
        <v>#VALUE!</v>
      </c>
      <c r="K14" s="1367" t="e">
        <f t="shared" si="10"/>
        <v>#VALUE!</v>
      </c>
      <c r="L14" s="1367" t="e">
        <f t="shared" si="11"/>
        <v>#VALUE!</v>
      </c>
      <c r="M14" s="1367" t="e">
        <f t="shared" si="12"/>
        <v>#VALUE!</v>
      </c>
      <c r="N14" s="13" t="e">
        <f t="shared" si="13"/>
        <v>#VALUE!</v>
      </c>
      <c r="O14" s="13" t="e">
        <f t="shared" si="14"/>
        <v>#VALUE!</v>
      </c>
      <c r="P14" s="13" t="e">
        <f t="shared" si="14"/>
        <v>#VALUE!</v>
      </c>
      <c r="Q14" s="13" t="e">
        <f t="shared" si="14"/>
        <v>#VALUE!</v>
      </c>
      <c r="R14" s="13" t="e">
        <f t="shared" si="14"/>
        <v>#VALUE!</v>
      </c>
      <c r="S14" s="13" t="e">
        <f t="shared" si="14"/>
        <v>#VALUE!</v>
      </c>
      <c r="U14" s="13" t="str">
        <f t="shared" si="1"/>
        <v/>
      </c>
      <c r="V14" s="13" t="str">
        <f t="shared" si="2"/>
        <v/>
      </c>
      <c r="W14" s="13" t="e">
        <f t="shared" si="15"/>
        <v>#VALUE!</v>
      </c>
    </row>
    <row r="15" spans="1:23" x14ac:dyDescent="0.25">
      <c r="A15" s="1366">
        <v>0.11</v>
      </c>
      <c r="B15" s="13">
        <f t="shared" si="3"/>
        <v>0</v>
      </c>
      <c r="C15" s="1367">
        <f t="shared" si="0"/>
        <v>0</v>
      </c>
      <c r="D15" s="1434" t="e">
        <f>B15*'Рейтинг МКД'!$D$11+'кривые-экспресс'!C15+IF('Рейтинг МКД'!$D$15="нет",7,10)</f>
        <v>#VALUE!</v>
      </c>
      <c r="E15" s="1434" t="e">
        <f t="shared" si="4"/>
        <v>#VALUE!</v>
      </c>
      <c r="F15" s="1367" t="e">
        <f t="shared" si="5"/>
        <v>#VALUE!</v>
      </c>
      <c r="G15" s="1367" t="e">
        <f t="shared" si="6"/>
        <v>#VALUE!</v>
      </c>
      <c r="H15" s="1367" t="e">
        <f t="shared" si="7"/>
        <v>#VALUE!</v>
      </c>
      <c r="I15" s="1367" t="e">
        <f t="shared" si="8"/>
        <v>#VALUE!</v>
      </c>
      <c r="J15" s="1367" t="e">
        <f t="shared" si="9"/>
        <v>#VALUE!</v>
      </c>
      <c r="K15" s="1367" t="e">
        <f t="shared" si="10"/>
        <v>#VALUE!</v>
      </c>
      <c r="L15" s="1367" t="e">
        <f t="shared" si="11"/>
        <v>#VALUE!</v>
      </c>
      <c r="M15" s="1367" t="e">
        <f t="shared" si="12"/>
        <v>#VALUE!</v>
      </c>
      <c r="N15" s="13" t="e">
        <f t="shared" si="13"/>
        <v>#VALUE!</v>
      </c>
      <c r="O15" s="13" t="e">
        <f t="shared" si="14"/>
        <v>#VALUE!</v>
      </c>
      <c r="P15" s="13" t="e">
        <f t="shared" si="14"/>
        <v>#VALUE!</v>
      </c>
      <c r="Q15" s="13" t="e">
        <f t="shared" si="14"/>
        <v>#VALUE!</v>
      </c>
      <c r="R15" s="13" t="e">
        <f t="shared" si="14"/>
        <v>#VALUE!</v>
      </c>
      <c r="S15" s="13" t="e">
        <f t="shared" si="14"/>
        <v>#VALUE!</v>
      </c>
      <c r="U15" s="13" t="str">
        <f t="shared" si="1"/>
        <v/>
      </c>
      <c r="V15" s="13" t="str">
        <f t="shared" si="2"/>
        <v/>
      </c>
      <c r="W15" s="13" t="e">
        <f t="shared" si="15"/>
        <v>#VALUE!</v>
      </c>
    </row>
    <row r="16" spans="1:23" x14ac:dyDescent="0.25">
      <c r="A16" s="1366">
        <v>0.12</v>
      </c>
      <c r="B16" s="13">
        <f t="shared" si="3"/>
        <v>0</v>
      </c>
      <c r="C16" s="1367">
        <f t="shared" si="0"/>
        <v>0</v>
      </c>
      <c r="D16" s="1434" t="e">
        <f>B16*'Рейтинг МКД'!$D$11+'кривые-экспресс'!C16+IF('Рейтинг МКД'!$D$15="нет",7,10)</f>
        <v>#VALUE!</v>
      </c>
      <c r="E16" s="1434" t="e">
        <f t="shared" si="4"/>
        <v>#VALUE!</v>
      </c>
      <c r="F16" s="1367" t="e">
        <f t="shared" si="5"/>
        <v>#VALUE!</v>
      </c>
      <c r="G16" s="1367" t="e">
        <f t="shared" si="6"/>
        <v>#VALUE!</v>
      </c>
      <c r="H16" s="1367" t="e">
        <f t="shared" si="7"/>
        <v>#VALUE!</v>
      </c>
      <c r="I16" s="1367" t="e">
        <f t="shared" si="8"/>
        <v>#VALUE!</v>
      </c>
      <c r="J16" s="1367" t="e">
        <f t="shared" si="9"/>
        <v>#VALUE!</v>
      </c>
      <c r="K16" s="1367" t="e">
        <f t="shared" si="10"/>
        <v>#VALUE!</v>
      </c>
      <c r="L16" s="1367" t="e">
        <f t="shared" si="11"/>
        <v>#VALUE!</v>
      </c>
      <c r="M16" s="1367" t="e">
        <f t="shared" si="12"/>
        <v>#VALUE!</v>
      </c>
      <c r="N16" s="13" t="e">
        <f t="shared" si="13"/>
        <v>#VALUE!</v>
      </c>
      <c r="O16" s="13" t="e">
        <f t="shared" si="14"/>
        <v>#VALUE!</v>
      </c>
      <c r="P16" s="13" t="e">
        <f t="shared" si="14"/>
        <v>#VALUE!</v>
      </c>
      <c r="Q16" s="13" t="e">
        <f t="shared" si="14"/>
        <v>#VALUE!</v>
      </c>
      <c r="R16" s="13" t="e">
        <f t="shared" si="14"/>
        <v>#VALUE!</v>
      </c>
      <c r="S16" s="13" t="e">
        <f t="shared" si="14"/>
        <v>#VALUE!</v>
      </c>
      <c r="U16" s="13" t="str">
        <f t="shared" si="1"/>
        <v/>
      </c>
      <c r="V16" s="13" t="str">
        <f t="shared" si="2"/>
        <v/>
      </c>
      <c r="W16" s="13" t="e">
        <f t="shared" si="15"/>
        <v>#VALUE!</v>
      </c>
    </row>
    <row r="17" spans="1:23" x14ac:dyDescent="0.25">
      <c r="A17" s="1366">
        <v>0.13</v>
      </c>
      <c r="B17" s="13">
        <f t="shared" si="3"/>
        <v>0</v>
      </c>
      <c r="C17" s="1367">
        <f t="shared" si="0"/>
        <v>0</v>
      </c>
      <c r="D17" s="1434" t="e">
        <f>B17*'Рейтинг МКД'!$D$11+'кривые-экспресс'!C17+IF('Рейтинг МКД'!$D$15="нет",7,10)</f>
        <v>#VALUE!</v>
      </c>
      <c r="E17" s="1434" t="e">
        <f t="shared" si="4"/>
        <v>#VALUE!</v>
      </c>
      <c r="F17" s="1367" t="e">
        <f t="shared" si="5"/>
        <v>#VALUE!</v>
      </c>
      <c r="G17" s="1367" t="e">
        <f t="shared" si="6"/>
        <v>#VALUE!</v>
      </c>
      <c r="H17" s="1367" t="e">
        <f t="shared" si="7"/>
        <v>#VALUE!</v>
      </c>
      <c r="I17" s="1367" t="e">
        <f t="shared" si="8"/>
        <v>#VALUE!</v>
      </c>
      <c r="J17" s="1367" t="e">
        <f t="shared" si="9"/>
        <v>#VALUE!</v>
      </c>
      <c r="K17" s="1367" t="e">
        <f t="shared" si="10"/>
        <v>#VALUE!</v>
      </c>
      <c r="L17" s="1367" t="e">
        <f t="shared" si="11"/>
        <v>#VALUE!</v>
      </c>
      <c r="M17" s="1367" t="e">
        <f t="shared" si="12"/>
        <v>#VALUE!</v>
      </c>
      <c r="N17" s="13" t="e">
        <f t="shared" si="13"/>
        <v>#VALUE!</v>
      </c>
      <c r="O17" s="13" t="e">
        <f t="shared" si="14"/>
        <v>#VALUE!</v>
      </c>
      <c r="P17" s="13" t="e">
        <f t="shared" si="14"/>
        <v>#VALUE!</v>
      </c>
      <c r="Q17" s="13" t="e">
        <f t="shared" si="14"/>
        <v>#VALUE!</v>
      </c>
      <c r="R17" s="13" t="e">
        <f t="shared" si="14"/>
        <v>#VALUE!</v>
      </c>
      <c r="S17" s="13" t="e">
        <f t="shared" si="14"/>
        <v>#VALUE!</v>
      </c>
      <c r="U17" s="13" t="str">
        <f t="shared" si="1"/>
        <v/>
      </c>
      <c r="V17" s="13" t="str">
        <f t="shared" si="2"/>
        <v/>
      </c>
      <c r="W17" s="13" t="e">
        <f t="shared" si="15"/>
        <v>#VALUE!</v>
      </c>
    </row>
    <row r="18" spans="1:23" x14ac:dyDescent="0.25">
      <c r="A18" s="1366">
        <v>0.14000000000000001</v>
      </c>
      <c r="B18" s="13">
        <f t="shared" si="3"/>
        <v>0</v>
      </c>
      <c r="C18" s="1367">
        <f t="shared" si="0"/>
        <v>0</v>
      </c>
      <c r="D18" s="1434" t="e">
        <f>B18*'Рейтинг МКД'!$D$11+'кривые-экспресс'!C18+IF('Рейтинг МКД'!$D$15="нет",7,10)</f>
        <v>#VALUE!</v>
      </c>
      <c r="E18" s="1434" t="e">
        <f t="shared" si="4"/>
        <v>#VALUE!</v>
      </c>
      <c r="F18" s="1367" t="e">
        <f t="shared" si="5"/>
        <v>#VALUE!</v>
      </c>
      <c r="G18" s="1367" t="e">
        <f t="shared" si="6"/>
        <v>#VALUE!</v>
      </c>
      <c r="H18" s="1367" t="e">
        <f t="shared" si="7"/>
        <v>#VALUE!</v>
      </c>
      <c r="I18" s="1367" t="e">
        <f t="shared" si="8"/>
        <v>#VALUE!</v>
      </c>
      <c r="J18" s="1367" t="e">
        <f t="shared" si="9"/>
        <v>#VALUE!</v>
      </c>
      <c r="K18" s="1367" t="e">
        <f t="shared" si="10"/>
        <v>#VALUE!</v>
      </c>
      <c r="L18" s="1367" t="e">
        <f t="shared" si="11"/>
        <v>#VALUE!</v>
      </c>
      <c r="M18" s="1367" t="e">
        <f t="shared" si="12"/>
        <v>#VALUE!</v>
      </c>
      <c r="N18" s="13" t="e">
        <f t="shared" si="13"/>
        <v>#VALUE!</v>
      </c>
      <c r="O18" s="13" t="e">
        <f t="shared" si="14"/>
        <v>#VALUE!</v>
      </c>
      <c r="P18" s="13" t="e">
        <f t="shared" si="14"/>
        <v>#VALUE!</v>
      </c>
      <c r="Q18" s="13" t="e">
        <f t="shared" si="14"/>
        <v>#VALUE!</v>
      </c>
      <c r="R18" s="13" t="e">
        <f t="shared" si="14"/>
        <v>#VALUE!</v>
      </c>
      <c r="S18" s="13" t="e">
        <f t="shared" si="14"/>
        <v>#VALUE!</v>
      </c>
      <c r="U18" s="13" t="str">
        <f t="shared" si="1"/>
        <v/>
      </c>
      <c r="V18" s="13" t="str">
        <f t="shared" si="2"/>
        <v/>
      </c>
      <c r="W18" s="13" t="e">
        <f t="shared" si="15"/>
        <v>#VALUE!</v>
      </c>
    </row>
    <row r="19" spans="1:23" x14ac:dyDescent="0.25">
      <c r="A19" s="1366">
        <v>0.15</v>
      </c>
      <c r="B19" s="13">
        <f t="shared" si="3"/>
        <v>0</v>
      </c>
      <c r="C19" s="1367">
        <f t="shared" si="0"/>
        <v>0</v>
      </c>
      <c r="D19" s="1434" t="e">
        <f>B19*'Рейтинг МКД'!$D$11+'кривые-экспресс'!C19+IF('Рейтинг МКД'!$D$15="нет",7,10)</f>
        <v>#VALUE!</v>
      </c>
      <c r="E19" s="1434" t="e">
        <f t="shared" si="4"/>
        <v>#VALUE!</v>
      </c>
      <c r="F19" s="1367" t="e">
        <f t="shared" si="5"/>
        <v>#VALUE!</v>
      </c>
      <c r="G19" s="1367" t="e">
        <f t="shared" si="6"/>
        <v>#VALUE!</v>
      </c>
      <c r="H19" s="1367" t="e">
        <f t="shared" si="7"/>
        <v>#VALUE!</v>
      </c>
      <c r="I19" s="1367" t="e">
        <f t="shared" si="8"/>
        <v>#VALUE!</v>
      </c>
      <c r="J19" s="1367" t="e">
        <f t="shared" si="9"/>
        <v>#VALUE!</v>
      </c>
      <c r="K19" s="1367" t="e">
        <f t="shared" si="10"/>
        <v>#VALUE!</v>
      </c>
      <c r="L19" s="1367" t="e">
        <f t="shared" si="11"/>
        <v>#VALUE!</v>
      </c>
      <c r="M19" s="1367" t="e">
        <f t="shared" si="12"/>
        <v>#VALUE!</v>
      </c>
      <c r="N19" s="13" t="e">
        <f t="shared" si="13"/>
        <v>#VALUE!</v>
      </c>
      <c r="O19" s="13" t="e">
        <f t="shared" si="14"/>
        <v>#VALUE!</v>
      </c>
      <c r="P19" s="13" t="e">
        <f t="shared" si="14"/>
        <v>#VALUE!</v>
      </c>
      <c r="Q19" s="13" t="e">
        <f t="shared" si="14"/>
        <v>#VALUE!</v>
      </c>
      <c r="R19" s="13" t="e">
        <f t="shared" si="14"/>
        <v>#VALUE!</v>
      </c>
      <c r="S19" s="13" t="e">
        <f t="shared" si="14"/>
        <v>#VALUE!</v>
      </c>
      <c r="U19" s="13" t="str">
        <f t="shared" si="1"/>
        <v/>
      </c>
      <c r="V19" s="13" t="str">
        <f t="shared" si="2"/>
        <v/>
      </c>
      <c r="W19" s="13" t="e">
        <f t="shared" si="15"/>
        <v>#VALUE!</v>
      </c>
    </row>
    <row r="20" spans="1:23" x14ac:dyDescent="0.25">
      <c r="A20" s="1366">
        <v>0.16</v>
      </c>
      <c r="B20" s="13">
        <f t="shared" si="3"/>
        <v>0</v>
      </c>
      <c r="C20" s="1367">
        <f t="shared" si="0"/>
        <v>0</v>
      </c>
      <c r="D20" s="1434" t="e">
        <f>B20*'Рейтинг МКД'!$D$11+'кривые-экспресс'!C20+IF('Рейтинг МКД'!$D$15="нет",7,10)</f>
        <v>#VALUE!</v>
      </c>
      <c r="E20" s="1434" t="e">
        <f t="shared" si="4"/>
        <v>#VALUE!</v>
      </c>
      <c r="F20" s="1367" t="e">
        <f t="shared" si="5"/>
        <v>#VALUE!</v>
      </c>
      <c r="G20" s="1367" t="e">
        <f t="shared" si="6"/>
        <v>#VALUE!</v>
      </c>
      <c r="H20" s="1367" t="e">
        <f t="shared" si="7"/>
        <v>#VALUE!</v>
      </c>
      <c r="I20" s="1367" t="e">
        <f t="shared" si="8"/>
        <v>#VALUE!</v>
      </c>
      <c r="J20" s="1367" t="e">
        <f t="shared" si="9"/>
        <v>#VALUE!</v>
      </c>
      <c r="K20" s="1367" t="e">
        <f t="shared" si="10"/>
        <v>#VALUE!</v>
      </c>
      <c r="L20" s="1367" t="e">
        <f t="shared" si="11"/>
        <v>#VALUE!</v>
      </c>
      <c r="M20" s="1367" t="e">
        <f t="shared" si="12"/>
        <v>#VALUE!</v>
      </c>
      <c r="N20" s="13" t="e">
        <f t="shared" si="13"/>
        <v>#VALUE!</v>
      </c>
      <c r="O20" s="13" t="e">
        <f t="shared" si="14"/>
        <v>#VALUE!</v>
      </c>
      <c r="P20" s="13" t="e">
        <f t="shared" si="14"/>
        <v>#VALUE!</v>
      </c>
      <c r="Q20" s="13" t="e">
        <f t="shared" si="14"/>
        <v>#VALUE!</v>
      </c>
      <c r="R20" s="13" t="e">
        <f t="shared" si="14"/>
        <v>#VALUE!</v>
      </c>
      <c r="S20" s="13" t="e">
        <f t="shared" si="14"/>
        <v>#VALUE!</v>
      </c>
      <c r="U20" s="13" t="str">
        <f t="shared" si="1"/>
        <v/>
      </c>
      <c r="V20" s="13" t="str">
        <f t="shared" si="2"/>
        <v/>
      </c>
      <c r="W20" s="13" t="e">
        <f t="shared" si="15"/>
        <v>#VALUE!</v>
      </c>
    </row>
    <row r="21" spans="1:23" x14ac:dyDescent="0.25">
      <c r="A21" s="1366">
        <v>0.17</v>
      </c>
      <c r="B21" s="13">
        <f t="shared" si="3"/>
        <v>0</v>
      </c>
      <c r="C21" s="1367">
        <f t="shared" si="0"/>
        <v>0</v>
      </c>
      <c r="D21" s="1434" t="e">
        <f>B21*'Рейтинг МКД'!$D$11+'кривые-экспресс'!C21+IF('Рейтинг МКД'!$D$15="нет",7,10)</f>
        <v>#VALUE!</v>
      </c>
      <c r="E21" s="1434" t="e">
        <f t="shared" si="4"/>
        <v>#VALUE!</v>
      </c>
      <c r="F21" s="1367" t="e">
        <f t="shared" si="5"/>
        <v>#VALUE!</v>
      </c>
      <c r="G21" s="1367" t="e">
        <f t="shared" si="6"/>
        <v>#VALUE!</v>
      </c>
      <c r="H21" s="1367" t="e">
        <f t="shared" si="7"/>
        <v>#VALUE!</v>
      </c>
      <c r="I21" s="1367" t="e">
        <f t="shared" si="8"/>
        <v>#VALUE!</v>
      </c>
      <c r="J21" s="1367" t="e">
        <f t="shared" si="9"/>
        <v>#VALUE!</v>
      </c>
      <c r="K21" s="1367" t="e">
        <f t="shared" si="10"/>
        <v>#VALUE!</v>
      </c>
      <c r="L21" s="1367" t="e">
        <f t="shared" si="11"/>
        <v>#VALUE!</v>
      </c>
      <c r="M21" s="1367" t="e">
        <f t="shared" si="12"/>
        <v>#VALUE!</v>
      </c>
      <c r="N21" s="13" t="e">
        <f t="shared" si="13"/>
        <v>#VALUE!</v>
      </c>
      <c r="O21" s="13" t="e">
        <f t="shared" si="14"/>
        <v>#VALUE!</v>
      </c>
      <c r="P21" s="13" t="e">
        <f t="shared" si="14"/>
        <v>#VALUE!</v>
      </c>
      <c r="Q21" s="13" t="e">
        <f t="shared" si="14"/>
        <v>#VALUE!</v>
      </c>
      <c r="R21" s="13" t="e">
        <f t="shared" si="14"/>
        <v>#VALUE!</v>
      </c>
      <c r="S21" s="13" t="e">
        <f t="shared" si="14"/>
        <v>#VALUE!</v>
      </c>
      <c r="U21" s="13" t="str">
        <f t="shared" si="1"/>
        <v/>
      </c>
      <c r="V21" s="13" t="str">
        <f t="shared" si="2"/>
        <v/>
      </c>
      <c r="W21" s="13" t="e">
        <f t="shared" si="15"/>
        <v>#VALUE!</v>
      </c>
    </row>
    <row r="22" spans="1:23" x14ac:dyDescent="0.25">
      <c r="A22" s="1366">
        <v>0.18</v>
      </c>
      <c r="B22" s="13">
        <f t="shared" si="3"/>
        <v>0</v>
      </c>
      <c r="C22" s="1367">
        <f t="shared" si="0"/>
        <v>0</v>
      </c>
      <c r="D22" s="1434" t="e">
        <f>B22*'Рейтинг МКД'!$D$11+'кривые-экспресс'!C22+IF('Рейтинг МКД'!$D$15="нет",7,10)</f>
        <v>#VALUE!</v>
      </c>
      <c r="E22" s="1434" t="e">
        <f t="shared" si="4"/>
        <v>#VALUE!</v>
      </c>
      <c r="F22" s="1367" t="e">
        <f t="shared" si="5"/>
        <v>#VALUE!</v>
      </c>
      <c r="G22" s="1367" t="e">
        <f t="shared" si="6"/>
        <v>#VALUE!</v>
      </c>
      <c r="H22" s="1367" t="e">
        <f t="shared" si="7"/>
        <v>#VALUE!</v>
      </c>
      <c r="I22" s="1367" t="e">
        <f t="shared" si="8"/>
        <v>#VALUE!</v>
      </c>
      <c r="J22" s="1367" t="e">
        <f t="shared" si="9"/>
        <v>#VALUE!</v>
      </c>
      <c r="K22" s="1367" t="e">
        <f t="shared" si="10"/>
        <v>#VALUE!</v>
      </c>
      <c r="L22" s="1367" t="e">
        <f t="shared" si="11"/>
        <v>#VALUE!</v>
      </c>
      <c r="M22" s="1367" t="e">
        <f t="shared" si="12"/>
        <v>#VALUE!</v>
      </c>
      <c r="N22" s="13" t="e">
        <f t="shared" si="13"/>
        <v>#VALUE!</v>
      </c>
      <c r="O22" s="13" t="e">
        <f>O21</f>
        <v>#VALUE!</v>
      </c>
      <c r="P22" s="13" t="e">
        <f>P21</f>
        <v>#VALUE!</v>
      </c>
      <c r="Q22" s="13" t="e">
        <f>Q21</f>
        <v>#VALUE!</v>
      </c>
      <c r="R22" s="13" t="e">
        <f>R21</f>
        <v>#VALUE!</v>
      </c>
      <c r="S22" s="13" t="e">
        <f>S21</f>
        <v>#VALUE!</v>
      </c>
      <c r="U22" s="13" t="str">
        <f t="shared" si="1"/>
        <v/>
      </c>
      <c r="V22" s="13" t="str">
        <f t="shared" si="2"/>
        <v/>
      </c>
      <c r="W22" s="13" t="e">
        <f t="shared" si="15"/>
        <v>#VALUE!</v>
      </c>
    </row>
    <row r="23" spans="1:23" x14ac:dyDescent="0.25">
      <c r="A23" s="1366">
        <v>0.19</v>
      </c>
      <c r="B23" s="13">
        <f t="shared" si="3"/>
        <v>0</v>
      </c>
      <c r="C23" s="1367">
        <f t="shared" si="0"/>
        <v>0</v>
      </c>
      <c r="D23" s="1434" t="e">
        <f>B23*'Рейтинг МКД'!$D$11+'кривые-экспресс'!C23+IF('Рейтинг МКД'!$D$15="нет",7,10)</f>
        <v>#VALUE!</v>
      </c>
      <c r="E23" s="1434" t="e">
        <f t="shared" si="4"/>
        <v>#VALUE!</v>
      </c>
      <c r="F23" s="1367" t="e">
        <f t="shared" si="5"/>
        <v>#VALUE!</v>
      </c>
      <c r="G23" s="1367" t="e">
        <f t="shared" si="6"/>
        <v>#VALUE!</v>
      </c>
      <c r="H23" s="1367" t="e">
        <f t="shared" si="7"/>
        <v>#VALUE!</v>
      </c>
      <c r="I23" s="1367" t="e">
        <f t="shared" si="8"/>
        <v>#VALUE!</v>
      </c>
      <c r="J23" s="1367" t="e">
        <f t="shared" si="9"/>
        <v>#VALUE!</v>
      </c>
      <c r="K23" s="1367" t="e">
        <f t="shared" si="10"/>
        <v>#VALUE!</v>
      </c>
      <c r="L23" s="1367" t="e">
        <f t="shared" si="11"/>
        <v>#VALUE!</v>
      </c>
      <c r="M23" s="1367" t="e">
        <f t="shared" si="12"/>
        <v>#VALUE!</v>
      </c>
      <c r="N23" s="13" t="e">
        <f t="shared" ref="N23:S38" si="16">N22</f>
        <v>#VALUE!</v>
      </c>
      <c r="O23" s="13" t="e">
        <f t="shared" si="16"/>
        <v>#VALUE!</v>
      </c>
      <c r="P23" s="13" t="e">
        <f t="shared" si="16"/>
        <v>#VALUE!</v>
      </c>
      <c r="Q23" s="13" t="e">
        <f t="shared" si="16"/>
        <v>#VALUE!</v>
      </c>
      <c r="R23" s="13" t="e">
        <f t="shared" si="16"/>
        <v>#VALUE!</v>
      </c>
      <c r="S23" s="13" t="e">
        <f t="shared" si="16"/>
        <v>#VALUE!</v>
      </c>
      <c r="U23" s="13" t="str">
        <f t="shared" si="1"/>
        <v/>
      </c>
      <c r="V23" s="13" t="str">
        <f t="shared" si="2"/>
        <v/>
      </c>
      <c r="W23" s="13" t="e">
        <f t="shared" si="15"/>
        <v>#VALUE!</v>
      </c>
    </row>
    <row r="24" spans="1:23" x14ac:dyDescent="0.25">
      <c r="A24" s="1366">
        <v>0.2</v>
      </c>
      <c r="B24" s="13">
        <f t="shared" si="3"/>
        <v>0</v>
      </c>
      <c r="C24" s="1367">
        <f t="shared" si="0"/>
        <v>0</v>
      </c>
      <c r="D24" s="1434" t="e">
        <f>B24*'Рейтинг МКД'!$D$11+'кривые-экспресс'!C24+IF('Рейтинг МКД'!$D$15="нет",7,10)</f>
        <v>#VALUE!</v>
      </c>
      <c r="E24" s="1434" t="e">
        <f t="shared" si="4"/>
        <v>#VALUE!</v>
      </c>
      <c r="F24" s="1367" t="e">
        <f t="shared" si="5"/>
        <v>#VALUE!</v>
      </c>
      <c r="G24" s="1367" t="e">
        <f t="shared" si="6"/>
        <v>#VALUE!</v>
      </c>
      <c r="H24" s="1367" t="e">
        <f t="shared" si="7"/>
        <v>#VALUE!</v>
      </c>
      <c r="I24" s="1367" t="e">
        <f t="shared" si="8"/>
        <v>#VALUE!</v>
      </c>
      <c r="J24" s="1367" t="e">
        <f t="shared" si="9"/>
        <v>#VALUE!</v>
      </c>
      <c r="K24" s="1367" t="e">
        <f t="shared" si="10"/>
        <v>#VALUE!</v>
      </c>
      <c r="L24" s="1367" t="e">
        <f t="shared" si="11"/>
        <v>#VALUE!</v>
      </c>
      <c r="M24" s="1367" t="e">
        <f t="shared" si="12"/>
        <v>#VALUE!</v>
      </c>
      <c r="N24" s="13" t="e">
        <f t="shared" si="16"/>
        <v>#VALUE!</v>
      </c>
      <c r="O24" s="13" t="e">
        <f t="shared" si="16"/>
        <v>#VALUE!</v>
      </c>
      <c r="P24" s="13" t="e">
        <f t="shared" si="16"/>
        <v>#VALUE!</v>
      </c>
      <c r="Q24" s="13" t="e">
        <f t="shared" si="16"/>
        <v>#VALUE!</v>
      </c>
      <c r="R24" s="13" t="e">
        <f t="shared" si="16"/>
        <v>#VALUE!</v>
      </c>
      <c r="S24" s="13" t="e">
        <f t="shared" si="16"/>
        <v>#VALUE!</v>
      </c>
      <c r="U24" s="13" t="str">
        <f t="shared" si="1"/>
        <v/>
      </c>
      <c r="V24" s="13" t="str">
        <f t="shared" si="2"/>
        <v/>
      </c>
      <c r="W24" s="13" t="e">
        <f t="shared" si="15"/>
        <v>#VALUE!</v>
      </c>
    </row>
    <row r="25" spans="1:23" x14ac:dyDescent="0.25">
      <c r="A25" s="1366">
        <v>0.21</v>
      </c>
      <c r="B25" s="13">
        <f t="shared" si="3"/>
        <v>0</v>
      </c>
      <c r="C25" s="1367">
        <f t="shared" si="0"/>
        <v>0</v>
      </c>
      <c r="D25" s="1434" t="e">
        <f>B25*'Рейтинг МКД'!$D$11+'кривые-экспресс'!C25+IF('Рейтинг МКД'!$D$15="нет",7,10)</f>
        <v>#VALUE!</v>
      </c>
      <c r="E25" s="1434" t="e">
        <f t="shared" si="4"/>
        <v>#VALUE!</v>
      </c>
      <c r="F25" s="1367" t="e">
        <f t="shared" si="5"/>
        <v>#VALUE!</v>
      </c>
      <c r="G25" s="1367" t="e">
        <f t="shared" si="6"/>
        <v>#VALUE!</v>
      </c>
      <c r="H25" s="1367" t="e">
        <f t="shared" si="7"/>
        <v>#VALUE!</v>
      </c>
      <c r="I25" s="1367" t="e">
        <f t="shared" si="8"/>
        <v>#VALUE!</v>
      </c>
      <c r="J25" s="1367" t="e">
        <f t="shared" si="9"/>
        <v>#VALUE!</v>
      </c>
      <c r="K25" s="1367" t="e">
        <f t="shared" si="10"/>
        <v>#VALUE!</v>
      </c>
      <c r="L25" s="1367" t="e">
        <f t="shared" si="11"/>
        <v>#VALUE!</v>
      </c>
      <c r="M25" s="1367" t="e">
        <f t="shared" si="12"/>
        <v>#VALUE!</v>
      </c>
      <c r="N25" s="13" t="e">
        <f t="shared" si="16"/>
        <v>#VALUE!</v>
      </c>
      <c r="O25" s="13" t="e">
        <f t="shared" si="16"/>
        <v>#VALUE!</v>
      </c>
      <c r="P25" s="13" t="e">
        <f t="shared" si="16"/>
        <v>#VALUE!</v>
      </c>
      <c r="Q25" s="13" t="e">
        <f t="shared" si="16"/>
        <v>#VALUE!</v>
      </c>
      <c r="R25" s="13" t="e">
        <f t="shared" si="16"/>
        <v>#VALUE!</v>
      </c>
      <c r="S25" s="13" t="e">
        <f t="shared" si="16"/>
        <v>#VALUE!</v>
      </c>
      <c r="U25" s="13" t="str">
        <f t="shared" si="1"/>
        <v/>
      </c>
      <c r="V25" s="13" t="str">
        <f t="shared" si="2"/>
        <v/>
      </c>
      <c r="W25" s="13" t="e">
        <f t="shared" si="15"/>
        <v>#VALUE!</v>
      </c>
    </row>
    <row r="26" spans="1:23" x14ac:dyDescent="0.25">
      <c r="A26" s="1366">
        <v>0.22</v>
      </c>
      <c r="B26" s="13">
        <f t="shared" si="3"/>
        <v>0</v>
      </c>
      <c r="C26" s="1367">
        <f t="shared" si="0"/>
        <v>0</v>
      </c>
      <c r="D26" s="1434" t="e">
        <f>B26*'Рейтинг МКД'!$D$11+'кривые-экспресс'!C26+IF('Рейтинг МКД'!$D$15="нет",7,10)</f>
        <v>#VALUE!</v>
      </c>
      <c r="E26" s="1434" t="e">
        <f t="shared" si="4"/>
        <v>#VALUE!</v>
      </c>
      <c r="F26" s="1367" t="e">
        <f t="shared" si="5"/>
        <v>#VALUE!</v>
      </c>
      <c r="G26" s="1367" t="e">
        <f t="shared" si="6"/>
        <v>#VALUE!</v>
      </c>
      <c r="H26" s="1367" t="e">
        <f t="shared" si="7"/>
        <v>#VALUE!</v>
      </c>
      <c r="I26" s="1367" t="e">
        <f t="shared" si="8"/>
        <v>#VALUE!</v>
      </c>
      <c r="J26" s="1367" t="e">
        <f t="shared" si="9"/>
        <v>#VALUE!</v>
      </c>
      <c r="K26" s="1367" t="e">
        <f t="shared" si="10"/>
        <v>#VALUE!</v>
      </c>
      <c r="L26" s="1367" t="e">
        <f t="shared" si="11"/>
        <v>#VALUE!</v>
      </c>
      <c r="M26" s="1367" t="e">
        <f t="shared" si="12"/>
        <v>#VALUE!</v>
      </c>
      <c r="N26" s="13" t="e">
        <f t="shared" si="16"/>
        <v>#VALUE!</v>
      </c>
      <c r="O26" s="13" t="e">
        <f t="shared" si="16"/>
        <v>#VALUE!</v>
      </c>
      <c r="P26" s="13" t="e">
        <f t="shared" si="16"/>
        <v>#VALUE!</v>
      </c>
      <c r="Q26" s="13" t="e">
        <f t="shared" si="16"/>
        <v>#VALUE!</v>
      </c>
      <c r="R26" s="13" t="e">
        <f t="shared" si="16"/>
        <v>#VALUE!</v>
      </c>
      <c r="S26" s="13" t="e">
        <f t="shared" si="16"/>
        <v>#VALUE!</v>
      </c>
      <c r="U26" s="13" t="str">
        <f t="shared" si="1"/>
        <v/>
      </c>
      <c r="V26" s="13" t="str">
        <f t="shared" si="2"/>
        <v/>
      </c>
      <c r="W26" s="13" t="e">
        <f t="shared" si="15"/>
        <v>#VALUE!</v>
      </c>
    </row>
    <row r="27" spans="1:23" x14ac:dyDescent="0.25">
      <c r="A27" s="1366">
        <v>0.23</v>
      </c>
      <c r="B27" s="13">
        <f t="shared" si="3"/>
        <v>0</v>
      </c>
      <c r="C27" s="1367">
        <f t="shared" si="0"/>
        <v>0</v>
      </c>
      <c r="D27" s="1434" t="e">
        <f>B27*'Рейтинг МКД'!$D$11+'кривые-экспресс'!C27+IF('Рейтинг МКД'!$D$15="нет",7,10)</f>
        <v>#VALUE!</v>
      </c>
      <c r="E27" s="1434" t="e">
        <f t="shared" si="4"/>
        <v>#VALUE!</v>
      </c>
      <c r="F27" s="1367" t="e">
        <f t="shared" si="5"/>
        <v>#VALUE!</v>
      </c>
      <c r="G27" s="1367" t="e">
        <f t="shared" si="6"/>
        <v>#VALUE!</v>
      </c>
      <c r="H27" s="1367" t="e">
        <f t="shared" si="7"/>
        <v>#VALUE!</v>
      </c>
      <c r="I27" s="1367" t="e">
        <f t="shared" si="8"/>
        <v>#VALUE!</v>
      </c>
      <c r="J27" s="1367" t="e">
        <f t="shared" si="9"/>
        <v>#VALUE!</v>
      </c>
      <c r="K27" s="1367" t="e">
        <f t="shared" si="10"/>
        <v>#VALUE!</v>
      </c>
      <c r="L27" s="1367" t="e">
        <f t="shared" si="11"/>
        <v>#VALUE!</v>
      </c>
      <c r="M27" s="1367" t="e">
        <f t="shared" si="12"/>
        <v>#VALUE!</v>
      </c>
      <c r="N27" s="13" t="e">
        <f t="shared" si="16"/>
        <v>#VALUE!</v>
      </c>
      <c r="O27" s="13" t="e">
        <f t="shared" si="16"/>
        <v>#VALUE!</v>
      </c>
      <c r="P27" s="13" t="e">
        <f t="shared" si="16"/>
        <v>#VALUE!</v>
      </c>
      <c r="Q27" s="13" t="e">
        <f t="shared" si="16"/>
        <v>#VALUE!</v>
      </c>
      <c r="R27" s="13" t="e">
        <f t="shared" si="16"/>
        <v>#VALUE!</v>
      </c>
      <c r="S27" s="13" t="e">
        <f t="shared" si="16"/>
        <v>#VALUE!</v>
      </c>
      <c r="U27" s="13" t="str">
        <f t="shared" si="1"/>
        <v/>
      </c>
      <c r="V27" s="13" t="str">
        <f t="shared" si="2"/>
        <v/>
      </c>
      <c r="W27" s="13" t="e">
        <f t="shared" si="15"/>
        <v>#VALUE!</v>
      </c>
    </row>
    <row r="28" spans="1:23" x14ac:dyDescent="0.25">
      <c r="A28" s="1366">
        <v>0.24</v>
      </c>
      <c r="B28" s="13">
        <f t="shared" si="3"/>
        <v>0</v>
      </c>
      <c r="C28" s="1367">
        <f t="shared" si="0"/>
        <v>0</v>
      </c>
      <c r="D28" s="1434" t="e">
        <f>B28*'Рейтинг МКД'!$D$11+'кривые-экспресс'!C28+IF('Рейтинг МКД'!$D$15="нет",7,10)</f>
        <v>#VALUE!</v>
      </c>
      <c r="E28" s="1434" t="e">
        <f t="shared" si="4"/>
        <v>#VALUE!</v>
      </c>
      <c r="F28" s="1367" t="e">
        <f t="shared" si="5"/>
        <v>#VALUE!</v>
      </c>
      <c r="G28" s="1367" t="e">
        <f t="shared" si="6"/>
        <v>#VALUE!</v>
      </c>
      <c r="H28" s="1367" t="e">
        <f t="shared" si="7"/>
        <v>#VALUE!</v>
      </c>
      <c r="I28" s="1367" t="e">
        <f t="shared" si="8"/>
        <v>#VALUE!</v>
      </c>
      <c r="J28" s="1367" t="e">
        <f t="shared" si="9"/>
        <v>#VALUE!</v>
      </c>
      <c r="K28" s="1367" t="e">
        <f t="shared" si="10"/>
        <v>#VALUE!</v>
      </c>
      <c r="L28" s="1367" t="e">
        <f t="shared" si="11"/>
        <v>#VALUE!</v>
      </c>
      <c r="M28" s="1367" t="e">
        <f t="shared" si="12"/>
        <v>#VALUE!</v>
      </c>
      <c r="N28" s="13" t="e">
        <f t="shared" si="16"/>
        <v>#VALUE!</v>
      </c>
      <c r="O28" s="13" t="e">
        <f t="shared" si="16"/>
        <v>#VALUE!</v>
      </c>
      <c r="P28" s="13" t="e">
        <f t="shared" si="16"/>
        <v>#VALUE!</v>
      </c>
      <c r="Q28" s="13" t="e">
        <f t="shared" si="16"/>
        <v>#VALUE!</v>
      </c>
      <c r="R28" s="13" t="e">
        <f t="shared" si="16"/>
        <v>#VALUE!</v>
      </c>
      <c r="S28" s="13" t="e">
        <f t="shared" si="16"/>
        <v>#VALUE!</v>
      </c>
      <c r="U28" s="13" t="str">
        <f t="shared" si="1"/>
        <v/>
      </c>
      <c r="V28" s="13" t="str">
        <f t="shared" si="2"/>
        <v/>
      </c>
      <c r="W28" s="13" t="e">
        <f t="shared" si="15"/>
        <v>#VALUE!</v>
      </c>
    </row>
    <row r="29" spans="1:23" x14ac:dyDescent="0.25">
      <c r="A29" s="1366">
        <v>0.25</v>
      </c>
      <c r="B29" s="13">
        <f t="shared" si="3"/>
        <v>0</v>
      </c>
      <c r="C29" s="1367">
        <f t="shared" si="0"/>
        <v>0</v>
      </c>
      <c r="D29" s="1434" t="e">
        <f>B29*'Рейтинг МКД'!$D$11+'кривые-экспресс'!C29+IF('Рейтинг МКД'!$D$15="нет",7,10)</f>
        <v>#VALUE!</v>
      </c>
      <c r="E29" s="1434" t="e">
        <f t="shared" si="4"/>
        <v>#VALUE!</v>
      </c>
      <c r="F29" s="1367" t="e">
        <f t="shared" si="5"/>
        <v>#VALUE!</v>
      </c>
      <c r="G29" s="1367" t="e">
        <f t="shared" si="6"/>
        <v>#VALUE!</v>
      </c>
      <c r="H29" s="1367" t="e">
        <f t="shared" si="7"/>
        <v>#VALUE!</v>
      </c>
      <c r="I29" s="1367" t="e">
        <f t="shared" si="8"/>
        <v>#VALUE!</v>
      </c>
      <c r="J29" s="1367" t="e">
        <f t="shared" si="9"/>
        <v>#VALUE!</v>
      </c>
      <c r="K29" s="1367" t="e">
        <f t="shared" si="10"/>
        <v>#VALUE!</v>
      </c>
      <c r="L29" s="1367" t="e">
        <f t="shared" si="11"/>
        <v>#VALUE!</v>
      </c>
      <c r="M29" s="1367" t="e">
        <f t="shared" si="12"/>
        <v>#VALUE!</v>
      </c>
      <c r="N29" s="13" t="e">
        <f t="shared" si="16"/>
        <v>#VALUE!</v>
      </c>
      <c r="O29" s="13" t="e">
        <f t="shared" si="16"/>
        <v>#VALUE!</v>
      </c>
      <c r="P29" s="13" t="e">
        <f t="shared" si="16"/>
        <v>#VALUE!</v>
      </c>
      <c r="Q29" s="13" t="e">
        <f t="shared" si="16"/>
        <v>#VALUE!</v>
      </c>
      <c r="R29" s="13" t="e">
        <f t="shared" si="16"/>
        <v>#VALUE!</v>
      </c>
      <c r="S29" s="13" t="e">
        <f t="shared" si="16"/>
        <v>#VALUE!</v>
      </c>
      <c r="U29" s="13" t="str">
        <f t="shared" si="1"/>
        <v/>
      </c>
      <c r="V29" s="13" t="str">
        <f t="shared" si="2"/>
        <v/>
      </c>
      <c r="W29" s="13" t="e">
        <f t="shared" si="15"/>
        <v>#VALUE!</v>
      </c>
    </row>
    <row r="30" spans="1:23" x14ac:dyDescent="0.25">
      <c r="A30" s="1366">
        <v>0.26</v>
      </c>
      <c r="B30" s="13">
        <f t="shared" si="3"/>
        <v>0</v>
      </c>
      <c r="C30" s="1367">
        <f t="shared" si="0"/>
        <v>0</v>
      </c>
      <c r="D30" s="1434" t="e">
        <f>B30*'Рейтинг МКД'!$D$11+'кривые-экспресс'!C30+IF('Рейтинг МКД'!$D$15="нет",7,10)</f>
        <v>#VALUE!</v>
      </c>
      <c r="E30" s="1434" t="e">
        <f t="shared" si="4"/>
        <v>#VALUE!</v>
      </c>
      <c r="F30" s="1367" t="e">
        <f t="shared" si="5"/>
        <v>#VALUE!</v>
      </c>
      <c r="G30" s="1367" t="e">
        <f t="shared" si="6"/>
        <v>#VALUE!</v>
      </c>
      <c r="H30" s="1367" t="e">
        <f t="shared" si="7"/>
        <v>#VALUE!</v>
      </c>
      <c r="I30" s="1367" t="e">
        <f t="shared" si="8"/>
        <v>#VALUE!</v>
      </c>
      <c r="J30" s="1367" t="e">
        <f t="shared" si="9"/>
        <v>#VALUE!</v>
      </c>
      <c r="K30" s="1367" t="e">
        <f t="shared" si="10"/>
        <v>#VALUE!</v>
      </c>
      <c r="L30" s="1367" t="e">
        <f t="shared" si="11"/>
        <v>#VALUE!</v>
      </c>
      <c r="M30" s="1367" t="e">
        <f t="shared" si="12"/>
        <v>#VALUE!</v>
      </c>
      <c r="N30" s="13" t="e">
        <f t="shared" si="16"/>
        <v>#VALUE!</v>
      </c>
      <c r="O30" s="13" t="e">
        <f t="shared" si="16"/>
        <v>#VALUE!</v>
      </c>
      <c r="P30" s="13" t="e">
        <f t="shared" si="16"/>
        <v>#VALUE!</v>
      </c>
      <c r="Q30" s="13" t="e">
        <f t="shared" si="16"/>
        <v>#VALUE!</v>
      </c>
      <c r="R30" s="13" t="e">
        <f t="shared" si="16"/>
        <v>#VALUE!</v>
      </c>
      <c r="S30" s="13" t="e">
        <f t="shared" si="16"/>
        <v>#VALUE!</v>
      </c>
      <c r="U30" s="13" t="str">
        <f t="shared" si="1"/>
        <v/>
      </c>
      <c r="V30" s="13" t="str">
        <f t="shared" si="2"/>
        <v/>
      </c>
      <c r="W30" s="13" t="e">
        <f t="shared" si="15"/>
        <v>#VALUE!</v>
      </c>
    </row>
    <row r="31" spans="1:23" x14ac:dyDescent="0.25">
      <c r="A31" s="1366">
        <v>0.27</v>
      </c>
      <c r="B31" s="13">
        <f t="shared" si="3"/>
        <v>0</v>
      </c>
      <c r="C31" s="1367">
        <f t="shared" si="0"/>
        <v>0</v>
      </c>
      <c r="D31" s="1434" t="e">
        <f>B31*'Рейтинг МКД'!$D$11+'кривые-экспресс'!C31+IF('Рейтинг МКД'!$D$15="нет",7,10)</f>
        <v>#VALUE!</v>
      </c>
      <c r="E31" s="1434" t="e">
        <f t="shared" si="4"/>
        <v>#VALUE!</v>
      </c>
      <c r="F31" s="1367" t="e">
        <f t="shared" si="5"/>
        <v>#VALUE!</v>
      </c>
      <c r="G31" s="1367" t="e">
        <f t="shared" si="6"/>
        <v>#VALUE!</v>
      </c>
      <c r="H31" s="1367" t="e">
        <f t="shared" si="7"/>
        <v>#VALUE!</v>
      </c>
      <c r="I31" s="1367" t="e">
        <f t="shared" si="8"/>
        <v>#VALUE!</v>
      </c>
      <c r="J31" s="1367" t="e">
        <f t="shared" si="9"/>
        <v>#VALUE!</v>
      </c>
      <c r="K31" s="1367" t="e">
        <f t="shared" si="10"/>
        <v>#VALUE!</v>
      </c>
      <c r="L31" s="1367" t="e">
        <f t="shared" si="11"/>
        <v>#VALUE!</v>
      </c>
      <c r="M31" s="1367" t="e">
        <f t="shared" si="12"/>
        <v>#VALUE!</v>
      </c>
      <c r="N31" s="13" t="e">
        <f t="shared" si="16"/>
        <v>#VALUE!</v>
      </c>
      <c r="O31" s="13" t="e">
        <f t="shared" si="16"/>
        <v>#VALUE!</v>
      </c>
      <c r="P31" s="13" t="e">
        <f t="shared" si="16"/>
        <v>#VALUE!</v>
      </c>
      <c r="Q31" s="13" t="e">
        <f t="shared" si="16"/>
        <v>#VALUE!</v>
      </c>
      <c r="R31" s="13" t="e">
        <f t="shared" si="16"/>
        <v>#VALUE!</v>
      </c>
      <c r="S31" s="13" t="e">
        <f t="shared" si="16"/>
        <v>#VALUE!</v>
      </c>
      <c r="U31" s="13" t="str">
        <f t="shared" si="1"/>
        <v/>
      </c>
      <c r="V31" s="13" t="str">
        <f t="shared" si="2"/>
        <v/>
      </c>
      <c r="W31" s="13" t="e">
        <f t="shared" si="15"/>
        <v>#VALUE!</v>
      </c>
    </row>
    <row r="32" spans="1:23" x14ac:dyDescent="0.25">
      <c r="A32" s="1366">
        <v>0.28000000000000003</v>
      </c>
      <c r="B32" s="13">
        <f t="shared" si="3"/>
        <v>0</v>
      </c>
      <c r="C32" s="1367">
        <f t="shared" si="0"/>
        <v>0</v>
      </c>
      <c r="D32" s="1434" t="e">
        <f>B32*'Рейтинг МКД'!$D$11+'кривые-экспресс'!C32+IF('Рейтинг МКД'!$D$15="нет",7,10)</f>
        <v>#VALUE!</v>
      </c>
      <c r="E32" s="1434" t="e">
        <f t="shared" si="4"/>
        <v>#VALUE!</v>
      </c>
      <c r="F32" s="1367" t="e">
        <f t="shared" si="5"/>
        <v>#VALUE!</v>
      </c>
      <c r="G32" s="1367" t="e">
        <f t="shared" si="6"/>
        <v>#VALUE!</v>
      </c>
      <c r="H32" s="1367" t="e">
        <f t="shared" si="7"/>
        <v>#VALUE!</v>
      </c>
      <c r="I32" s="1367" t="e">
        <f t="shared" si="8"/>
        <v>#VALUE!</v>
      </c>
      <c r="J32" s="1367" t="e">
        <f t="shared" si="9"/>
        <v>#VALUE!</v>
      </c>
      <c r="K32" s="1367" t="e">
        <f t="shared" si="10"/>
        <v>#VALUE!</v>
      </c>
      <c r="L32" s="1367" t="e">
        <f t="shared" si="11"/>
        <v>#VALUE!</v>
      </c>
      <c r="M32" s="1367" t="e">
        <f t="shared" si="12"/>
        <v>#VALUE!</v>
      </c>
      <c r="N32" s="13" t="e">
        <f t="shared" si="16"/>
        <v>#VALUE!</v>
      </c>
      <c r="O32" s="13" t="e">
        <f t="shared" si="16"/>
        <v>#VALUE!</v>
      </c>
      <c r="P32" s="13" t="e">
        <f t="shared" si="16"/>
        <v>#VALUE!</v>
      </c>
      <c r="Q32" s="13" t="e">
        <f t="shared" si="16"/>
        <v>#VALUE!</v>
      </c>
      <c r="R32" s="13" t="e">
        <f t="shared" si="16"/>
        <v>#VALUE!</v>
      </c>
      <c r="S32" s="13" t="e">
        <f t="shared" si="16"/>
        <v>#VALUE!</v>
      </c>
      <c r="U32" s="13" t="str">
        <f t="shared" si="1"/>
        <v/>
      </c>
      <c r="V32" s="13" t="str">
        <f t="shared" si="2"/>
        <v/>
      </c>
      <c r="W32" s="13" t="e">
        <f t="shared" si="15"/>
        <v>#VALUE!</v>
      </c>
    </row>
    <row r="33" spans="1:23" x14ac:dyDescent="0.25">
      <c r="A33" s="1366">
        <v>0.28999999999999998</v>
      </c>
      <c r="B33" s="13">
        <f t="shared" si="3"/>
        <v>0</v>
      </c>
      <c r="C33" s="1367">
        <f t="shared" si="0"/>
        <v>0</v>
      </c>
      <c r="D33" s="1434" t="e">
        <f>B33*'Рейтинг МКД'!$D$11+'кривые-экспресс'!C33+IF('Рейтинг МКД'!$D$15="нет",7,10)</f>
        <v>#VALUE!</v>
      </c>
      <c r="E33" s="1434" t="e">
        <f t="shared" si="4"/>
        <v>#VALUE!</v>
      </c>
      <c r="F33" s="1367" t="e">
        <f t="shared" si="5"/>
        <v>#VALUE!</v>
      </c>
      <c r="G33" s="1367" t="e">
        <f t="shared" si="6"/>
        <v>#VALUE!</v>
      </c>
      <c r="H33" s="1367" t="e">
        <f t="shared" si="7"/>
        <v>#VALUE!</v>
      </c>
      <c r="I33" s="1367" t="e">
        <f t="shared" si="8"/>
        <v>#VALUE!</v>
      </c>
      <c r="J33" s="1367" t="e">
        <f t="shared" si="9"/>
        <v>#VALUE!</v>
      </c>
      <c r="K33" s="1367" t="e">
        <f t="shared" si="10"/>
        <v>#VALUE!</v>
      </c>
      <c r="L33" s="1367" t="e">
        <f t="shared" si="11"/>
        <v>#VALUE!</v>
      </c>
      <c r="M33" s="1367" t="e">
        <f t="shared" si="12"/>
        <v>#VALUE!</v>
      </c>
      <c r="N33" s="13" t="e">
        <f t="shared" si="16"/>
        <v>#VALUE!</v>
      </c>
      <c r="O33" s="13" t="e">
        <f t="shared" si="16"/>
        <v>#VALUE!</v>
      </c>
      <c r="P33" s="13" t="e">
        <f t="shared" si="16"/>
        <v>#VALUE!</v>
      </c>
      <c r="Q33" s="13" t="e">
        <f t="shared" si="16"/>
        <v>#VALUE!</v>
      </c>
      <c r="R33" s="13" t="e">
        <f t="shared" si="16"/>
        <v>#VALUE!</v>
      </c>
      <c r="S33" s="13" t="e">
        <f t="shared" si="16"/>
        <v>#VALUE!</v>
      </c>
      <c r="U33" s="13" t="str">
        <f t="shared" si="1"/>
        <v/>
      </c>
      <c r="V33" s="13" t="str">
        <f t="shared" si="2"/>
        <v/>
      </c>
      <c r="W33" s="13" t="e">
        <f t="shared" si="15"/>
        <v>#VALUE!</v>
      </c>
    </row>
    <row r="34" spans="1:23" x14ac:dyDescent="0.25">
      <c r="A34" s="1366">
        <v>0.3</v>
      </c>
      <c r="B34" s="13">
        <f t="shared" si="3"/>
        <v>0</v>
      </c>
      <c r="C34" s="1367">
        <f t="shared" si="0"/>
        <v>0</v>
      </c>
      <c r="D34" s="1434" t="e">
        <f>B34*'Рейтинг МКД'!$D$11+'кривые-экспресс'!C34+IF('Рейтинг МКД'!$D$15="нет",7,10)</f>
        <v>#VALUE!</v>
      </c>
      <c r="E34" s="1434" t="e">
        <f t="shared" si="4"/>
        <v>#VALUE!</v>
      </c>
      <c r="F34" s="1367" t="e">
        <f t="shared" si="5"/>
        <v>#VALUE!</v>
      </c>
      <c r="G34" s="1367" t="e">
        <f t="shared" si="6"/>
        <v>#VALUE!</v>
      </c>
      <c r="H34" s="1367" t="e">
        <f t="shared" si="7"/>
        <v>#VALUE!</v>
      </c>
      <c r="I34" s="1367" t="e">
        <f t="shared" si="8"/>
        <v>#VALUE!</v>
      </c>
      <c r="J34" s="1367" t="e">
        <f t="shared" si="9"/>
        <v>#VALUE!</v>
      </c>
      <c r="K34" s="1367" t="e">
        <f t="shared" si="10"/>
        <v>#VALUE!</v>
      </c>
      <c r="L34" s="1367" t="e">
        <f t="shared" si="11"/>
        <v>#VALUE!</v>
      </c>
      <c r="M34" s="1367" t="e">
        <f t="shared" si="12"/>
        <v>#VALUE!</v>
      </c>
      <c r="N34" s="13" t="e">
        <f t="shared" si="16"/>
        <v>#VALUE!</v>
      </c>
      <c r="O34" s="13" t="e">
        <f t="shared" si="16"/>
        <v>#VALUE!</v>
      </c>
      <c r="P34" s="13" t="e">
        <f t="shared" si="16"/>
        <v>#VALUE!</v>
      </c>
      <c r="Q34" s="13" t="e">
        <f t="shared" si="16"/>
        <v>#VALUE!</v>
      </c>
      <c r="R34" s="13" t="e">
        <f t="shared" si="16"/>
        <v>#VALUE!</v>
      </c>
      <c r="S34" s="13" t="e">
        <f t="shared" si="16"/>
        <v>#VALUE!</v>
      </c>
      <c r="U34" s="13" t="str">
        <f t="shared" si="1"/>
        <v/>
      </c>
      <c r="V34" s="13" t="str">
        <f t="shared" si="2"/>
        <v/>
      </c>
      <c r="W34" s="13" t="e">
        <f t="shared" si="15"/>
        <v>#VALUE!</v>
      </c>
    </row>
    <row r="35" spans="1:23" x14ac:dyDescent="0.25">
      <c r="A35" s="1366">
        <v>0.31</v>
      </c>
      <c r="B35" s="13">
        <f t="shared" si="3"/>
        <v>0</v>
      </c>
      <c r="C35" s="1367">
        <f t="shared" si="0"/>
        <v>0</v>
      </c>
      <c r="D35" s="1434" t="e">
        <f>B35*'Рейтинг МКД'!$D$11+'кривые-экспресс'!C35+IF('Рейтинг МКД'!$D$15="нет",7,10)</f>
        <v>#VALUE!</v>
      </c>
      <c r="E35" s="1434" t="e">
        <f t="shared" si="4"/>
        <v>#VALUE!</v>
      </c>
      <c r="F35" s="1367" t="e">
        <f t="shared" si="5"/>
        <v>#VALUE!</v>
      </c>
      <c r="G35" s="1367" t="e">
        <f t="shared" si="6"/>
        <v>#VALUE!</v>
      </c>
      <c r="H35" s="1367" t="e">
        <f t="shared" si="7"/>
        <v>#VALUE!</v>
      </c>
      <c r="I35" s="1367" t="e">
        <f t="shared" si="8"/>
        <v>#VALUE!</v>
      </c>
      <c r="J35" s="1367" t="e">
        <f t="shared" si="9"/>
        <v>#VALUE!</v>
      </c>
      <c r="K35" s="1367" t="e">
        <f t="shared" si="10"/>
        <v>#VALUE!</v>
      </c>
      <c r="L35" s="1367" t="e">
        <f t="shared" si="11"/>
        <v>#VALUE!</v>
      </c>
      <c r="M35" s="1367" t="e">
        <f t="shared" si="12"/>
        <v>#VALUE!</v>
      </c>
      <c r="N35" s="13" t="e">
        <f t="shared" si="16"/>
        <v>#VALUE!</v>
      </c>
      <c r="O35" s="13" t="e">
        <f t="shared" si="16"/>
        <v>#VALUE!</v>
      </c>
      <c r="P35" s="13" t="e">
        <f t="shared" si="16"/>
        <v>#VALUE!</v>
      </c>
      <c r="Q35" s="13" t="e">
        <f t="shared" si="16"/>
        <v>#VALUE!</v>
      </c>
      <c r="R35" s="13" t="e">
        <f t="shared" si="16"/>
        <v>#VALUE!</v>
      </c>
      <c r="S35" s="13" t="e">
        <f t="shared" si="16"/>
        <v>#VALUE!</v>
      </c>
      <c r="U35" s="13" t="str">
        <f t="shared" si="1"/>
        <v/>
      </c>
      <c r="V35" s="13" t="str">
        <f t="shared" si="2"/>
        <v/>
      </c>
      <c r="W35" s="13" t="e">
        <f t="shared" si="15"/>
        <v>#VALUE!</v>
      </c>
    </row>
    <row r="36" spans="1:23" x14ac:dyDescent="0.25">
      <c r="A36" s="1366">
        <v>0.32</v>
      </c>
      <c r="B36" s="13">
        <f t="shared" si="3"/>
        <v>0</v>
      </c>
      <c r="C36" s="1367">
        <f t="shared" si="0"/>
        <v>0</v>
      </c>
      <c r="D36" s="1434" t="e">
        <f>B36*'Рейтинг МКД'!$D$11+'кривые-экспресс'!C36+IF('Рейтинг МКД'!$D$15="нет",7,10)</f>
        <v>#VALUE!</v>
      </c>
      <c r="E36" s="1434" t="e">
        <f t="shared" si="4"/>
        <v>#VALUE!</v>
      </c>
      <c r="F36" s="1367" t="e">
        <f t="shared" si="5"/>
        <v>#VALUE!</v>
      </c>
      <c r="G36" s="1367" t="e">
        <f t="shared" si="6"/>
        <v>#VALUE!</v>
      </c>
      <c r="H36" s="1367" t="e">
        <f t="shared" si="7"/>
        <v>#VALUE!</v>
      </c>
      <c r="I36" s="1367" t="e">
        <f t="shared" si="8"/>
        <v>#VALUE!</v>
      </c>
      <c r="J36" s="1367" t="e">
        <f t="shared" si="9"/>
        <v>#VALUE!</v>
      </c>
      <c r="K36" s="1367" t="e">
        <f t="shared" si="10"/>
        <v>#VALUE!</v>
      </c>
      <c r="L36" s="1367" t="e">
        <f t="shared" si="11"/>
        <v>#VALUE!</v>
      </c>
      <c r="M36" s="1367" t="e">
        <f t="shared" si="12"/>
        <v>#VALUE!</v>
      </c>
      <c r="N36" s="13" t="e">
        <f t="shared" si="16"/>
        <v>#VALUE!</v>
      </c>
      <c r="O36" s="13" t="e">
        <f t="shared" si="16"/>
        <v>#VALUE!</v>
      </c>
      <c r="P36" s="13" t="e">
        <f t="shared" si="16"/>
        <v>#VALUE!</v>
      </c>
      <c r="Q36" s="13" t="e">
        <f t="shared" si="16"/>
        <v>#VALUE!</v>
      </c>
      <c r="R36" s="13" t="e">
        <f t="shared" si="16"/>
        <v>#VALUE!</v>
      </c>
      <c r="S36" s="13" t="e">
        <f t="shared" si="16"/>
        <v>#VALUE!</v>
      </c>
      <c r="U36" s="13" t="str">
        <f t="shared" si="1"/>
        <v/>
      </c>
      <c r="V36" s="13" t="str">
        <f t="shared" si="2"/>
        <v/>
      </c>
      <c r="W36" s="13" t="e">
        <f t="shared" si="15"/>
        <v>#VALUE!</v>
      </c>
    </row>
    <row r="37" spans="1:23" x14ac:dyDescent="0.25">
      <c r="A37" s="1366">
        <v>0.33</v>
      </c>
      <c r="B37" s="13">
        <f t="shared" si="3"/>
        <v>0</v>
      </c>
      <c r="C37" s="1367">
        <f t="shared" ref="C37:C68" si="17">$B$106*B245+$C$106*C245+$D$106*D245+$E$106*E245+$F$106*F245+$G$106*G245+$H$106*H245+$I$106*I245+$J$106*J245+$K$106*K245+$L$106*L245+$M$106*M245</f>
        <v>0</v>
      </c>
      <c r="D37" s="1434" t="e">
        <f>B37*'Рейтинг МКД'!$D$11+'кривые-экспресс'!C37+IF('Рейтинг МКД'!$D$15="нет",7,10)</f>
        <v>#VALUE!</v>
      </c>
      <c r="E37" s="1434" t="e">
        <f t="shared" si="4"/>
        <v>#VALUE!</v>
      </c>
      <c r="F37" s="1367" t="e">
        <f t="shared" si="5"/>
        <v>#VALUE!</v>
      </c>
      <c r="G37" s="1367" t="e">
        <f t="shared" si="6"/>
        <v>#VALUE!</v>
      </c>
      <c r="H37" s="1367" t="e">
        <f t="shared" si="7"/>
        <v>#VALUE!</v>
      </c>
      <c r="I37" s="1367" t="e">
        <f t="shared" si="8"/>
        <v>#VALUE!</v>
      </c>
      <c r="J37" s="1367" t="e">
        <f t="shared" si="9"/>
        <v>#VALUE!</v>
      </c>
      <c r="K37" s="1367" t="e">
        <f t="shared" si="10"/>
        <v>#VALUE!</v>
      </c>
      <c r="L37" s="1367" t="e">
        <f t="shared" si="11"/>
        <v>#VALUE!</v>
      </c>
      <c r="M37" s="1367" t="e">
        <f t="shared" si="12"/>
        <v>#VALUE!</v>
      </c>
      <c r="N37" s="13" t="e">
        <f t="shared" si="16"/>
        <v>#VALUE!</v>
      </c>
      <c r="O37" s="13" t="e">
        <f t="shared" si="16"/>
        <v>#VALUE!</v>
      </c>
      <c r="P37" s="13" t="e">
        <f t="shared" si="16"/>
        <v>#VALUE!</v>
      </c>
      <c r="Q37" s="13" t="e">
        <f t="shared" si="16"/>
        <v>#VALUE!</v>
      </c>
      <c r="R37" s="13" t="e">
        <f t="shared" si="16"/>
        <v>#VALUE!</v>
      </c>
      <c r="S37" s="13" t="e">
        <f t="shared" si="16"/>
        <v>#VALUE!</v>
      </c>
      <c r="U37" s="13" t="str">
        <f t="shared" ref="U37:U68" si="18">IF(AND($U$3&gt;=B37,$U$3&lt;B38),$U$3,"")</f>
        <v/>
      </c>
      <c r="V37" s="13" t="str">
        <f t="shared" ref="V37:V68" si="19">IF(AND($V$3&gt;=C37,$V$3&lt;C38),$V$3,"")</f>
        <v/>
      </c>
      <c r="W37" s="13" t="e">
        <f t="shared" si="15"/>
        <v>#VALUE!</v>
      </c>
    </row>
    <row r="38" spans="1:23" x14ac:dyDescent="0.25">
      <c r="A38" s="1366">
        <v>0.34</v>
      </c>
      <c r="B38" s="13">
        <f t="shared" si="3"/>
        <v>0</v>
      </c>
      <c r="C38" s="1367">
        <f t="shared" si="17"/>
        <v>0</v>
      </c>
      <c r="D38" s="1434" t="e">
        <f>B38*'Рейтинг МКД'!$D$11+'кривые-экспресс'!C38+IF('Рейтинг МКД'!$D$15="нет",7,10)</f>
        <v>#VALUE!</v>
      </c>
      <c r="E38" s="1434" t="e">
        <f t="shared" si="4"/>
        <v>#VALUE!</v>
      </c>
      <c r="F38" s="1367" t="e">
        <f t="shared" si="5"/>
        <v>#VALUE!</v>
      </c>
      <c r="G38" s="1367" t="e">
        <f t="shared" si="6"/>
        <v>#VALUE!</v>
      </c>
      <c r="H38" s="1367" t="e">
        <f t="shared" si="7"/>
        <v>#VALUE!</v>
      </c>
      <c r="I38" s="1367" t="e">
        <f t="shared" si="8"/>
        <v>#VALUE!</v>
      </c>
      <c r="J38" s="1367" t="e">
        <f t="shared" si="9"/>
        <v>#VALUE!</v>
      </c>
      <c r="K38" s="1367" t="e">
        <f t="shared" si="10"/>
        <v>#VALUE!</v>
      </c>
      <c r="L38" s="1367" t="e">
        <f t="shared" si="11"/>
        <v>#VALUE!</v>
      </c>
      <c r="M38" s="1367" t="e">
        <f t="shared" si="12"/>
        <v>#VALUE!</v>
      </c>
      <c r="N38" s="13" t="e">
        <f t="shared" si="16"/>
        <v>#VALUE!</v>
      </c>
      <c r="O38" s="13" t="e">
        <f t="shared" si="16"/>
        <v>#VALUE!</v>
      </c>
      <c r="P38" s="13" t="e">
        <f t="shared" si="16"/>
        <v>#VALUE!</v>
      </c>
      <c r="Q38" s="13" t="e">
        <f t="shared" si="16"/>
        <v>#VALUE!</v>
      </c>
      <c r="R38" s="13" t="e">
        <f t="shared" si="16"/>
        <v>#VALUE!</v>
      </c>
      <c r="S38" s="13" t="e">
        <f t="shared" si="16"/>
        <v>#VALUE!</v>
      </c>
      <c r="U38" s="13" t="str">
        <f t="shared" si="18"/>
        <v/>
      </c>
      <c r="V38" s="13" t="str">
        <f t="shared" si="19"/>
        <v/>
      </c>
      <c r="W38" s="13" t="e">
        <f t="shared" si="15"/>
        <v>#VALUE!</v>
      </c>
    </row>
    <row r="39" spans="1:23" x14ac:dyDescent="0.25">
      <c r="A39" s="1366">
        <v>0.35</v>
      </c>
      <c r="B39" s="13">
        <f t="shared" si="3"/>
        <v>0</v>
      </c>
      <c r="C39" s="1367">
        <f t="shared" si="17"/>
        <v>0</v>
      </c>
      <c r="D39" s="1434" t="e">
        <f>B39*'Рейтинг МКД'!$D$11+'кривые-экспресс'!C39+IF('Рейтинг МКД'!$D$15="нет",7,10)</f>
        <v>#VALUE!</v>
      </c>
      <c r="E39" s="1434" t="e">
        <f t="shared" si="4"/>
        <v>#VALUE!</v>
      </c>
      <c r="F39" s="1367" t="e">
        <f t="shared" si="5"/>
        <v>#VALUE!</v>
      </c>
      <c r="G39" s="1367" t="e">
        <f t="shared" si="6"/>
        <v>#VALUE!</v>
      </c>
      <c r="H39" s="1367" t="e">
        <f t="shared" si="7"/>
        <v>#VALUE!</v>
      </c>
      <c r="I39" s="1367" t="e">
        <f t="shared" si="8"/>
        <v>#VALUE!</v>
      </c>
      <c r="J39" s="1367" t="e">
        <f t="shared" si="9"/>
        <v>#VALUE!</v>
      </c>
      <c r="K39" s="1367" t="e">
        <f t="shared" si="10"/>
        <v>#VALUE!</v>
      </c>
      <c r="L39" s="1367" t="e">
        <f t="shared" si="11"/>
        <v>#VALUE!</v>
      </c>
      <c r="M39" s="1367" t="e">
        <f t="shared" si="12"/>
        <v>#VALUE!</v>
      </c>
      <c r="N39" s="13" t="e">
        <f t="shared" ref="N39:S54" si="20">N38</f>
        <v>#VALUE!</v>
      </c>
      <c r="O39" s="13" t="e">
        <f t="shared" si="20"/>
        <v>#VALUE!</v>
      </c>
      <c r="P39" s="13" t="e">
        <f t="shared" si="20"/>
        <v>#VALUE!</v>
      </c>
      <c r="Q39" s="13" t="e">
        <f t="shared" si="20"/>
        <v>#VALUE!</v>
      </c>
      <c r="R39" s="13" t="e">
        <f t="shared" si="20"/>
        <v>#VALUE!</v>
      </c>
      <c r="S39" s="13" t="e">
        <f t="shared" si="20"/>
        <v>#VALUE!</v>
      </c>
      <c r="U39" s="13" t="str">
        <f t="shared" si="18"/>
        <v/>
      </c>
      <c r="V39" s="13" t="str">
        <f t="shared" si="19"/>
        <v/>
      </c>
      <c r="W39" s="13" t="e">
        <f t="shared" si="15"/>
        <v>#VALUE!</v>
      </c>
    </row>
    <row r="40" spans="1:23" x14ac:dyDescent="0.25">
      <c r="A40" s="1366">
        <v>0.36</v>
      </c>
      <c r="B40" s="13">
        <f t="shared" si="3"/>
        <v>0</v>
      </c>
      <c r="C40" s="1367">
        <f t="shared" si="17"/>
        <v>0</v>
      </c>
      <c r="D40" s="1434" t="e">
        <f>B40*'Рейтинг МКД'!$D$11+'кривые-экспресс'!C40+IF('Рейтинг МКД'!$D$15="нет",7,10)</f>
        <v>#VALUE!</v>
      </c>
      <c r="E40" s="1434" t="e">
        <f t="shared" si="4"/>
        <v>#VALUE!</v>
      </c>
      <c r="F40" s="1367" t="e">
        <f t="shared" si="5"/>
        <v>#VALUE!</v>
      </c>
      <c r="G40" s="1367" t="e">
        <f t="shared" si="6"/>
        <v>#VALUE!</v>
      </c>
      <c r="H40" s="1367" t="e">
        <f t="shared" si="7"/>
        <v>#VALUE!</v>
      </c>
      <c r="I40" s="1367" t="e">
        <f t="shared" si="8"/>
        <v>#VALUE!</v>
      </c>
      <c r="J40" s="1367" t="e">
        <f t="shared" si="9"/>
        <v>#VALUE!</v>
      </c>
      <c r="K40" s="1367" t="e">
        <f t="shared" si="10"/>
        <v>#VALUE!</v>
      </c>
      <c r="L40" s="1367" t="e">
        <f t="shared" si="11"/>
        <v>#VALUE!</v>
      </c>
      <c r="M40" s="1367" t="e">
        <f t="shared" si="12"/>
        <v>#VALUE!</v>
      </c>
      <c r="N40" s="13" t="e">
        <f t="shared" si="20"/>
        <v>#VALUE!</v>
      </c>
      <c r="O40" s="13" t="e">
        <f t="shared" si="20"/>
        <v>#VALUE!</v>
      </c>
      <c r="P40" s="13" t="e">
        <f t="shared" si="20"/>
        <v>#VALUE!</v>
      </c>
      <c r="Q40" s="13" t="e">
        <f t="shared" si="20"/>
        <v>#VALUE!</v>
      </c>
      <c r="R40" s="13" t="e">
        <f t="shared" si="20"/>
        <v>#VALUE!</v>
      </c>
      <c r="S40" s="13" t="e">
        <f t="shared" si="20"/>
        <v>#VALUE!</v>
      </c>
      <c r="U40" s="13" t="str">
        <f t="shared" si="18"/>
        <v/>
      </c>
      <c r="V40" s="13" t="str">
        <f t="shared" si="19"/>
        <v/>
      </c>
      <c r="W40" s="13" t="e">
        <f t="shared" si="15"/>
        <v>#VALUE!</v>
      </c>
    </row>
    <row r="41" spans="1:23" x14ac:dyDescent="0.25">
      <c r="A41" s="1366">
        <v>0.37</v>
      </c>
      <c r="B41" s="13">
        <f t="shared" si="3"/>
        <v>0</v>
      </c>
      <c r="C41" s="1367">
        <f t="shared" si="17"/>
        <v>0</v>
      </c>
      <c r="D41" s="1434" t="e">
        <f>B41*'Рейтинг МКД'!$D$11+'кривые-экспресс'!C41+IF('Рейтинг МКД'!$D$15="нет",7,10)</f>
        <v>#VALUE!</v>
      </c>
      <c r="E41" s="1434" t="e">
        <f t="shared" si="4"/>
        <v>#VALUE!</v>
      </c>
      <c r="F41" s="1367" t="e">
        <f t="shared" si="5"/>
        <v>#VALUE!</v>
      </c>
      <c r="G41" s="1367" t="e">
        <f t="shared" si="6"/>
        <v>#VALUE!</v>
      </c>
      <c r="H41" s="1367" t="e">
        <f t="shared" si="7"/>
        <v>#VALUE!</v>
      </c>
      <c r="I41" s="1367" t="e">
        <f t="shared" si="8"/>
        <v>#VALUE!</v>
      </c>
      <c r="J41" s="1367" t="e">
        <f t="shared" si="9"/>
        <v>#VALUE!</v>
      </c>
      <c r="K41" s="1367" t="e">
        <f t="shared" si="10"/>
        <v>#VALUE!</v>
      </c>
      <c r="L41" s="1367" t="e">
        <f t="shared" si="11"/>
        <v>#VALUE!</v>
      </c>
      <c r="M41" s="1367" t="e">
        <f t="shared" si="12"/>
        <v>#VALUE!</v>
      </c>
      <c r="N41" s="13" t="e">
        <f t="shared" si="20"/>
        <v>#VALUE!</v>
      </c>
      <c r="O41" s="13" t="e">
        <f t="shared" si="20"/>
        <v>#VALUE!</v>
      </c>
      <c r="P41" s="13" t="e">
        <f t="shared" si="20"/>
        <v>#VALUE!</v>
      </c>
      <c r="Q41" s="13" t="e">
        <f t="shared" si="20"/>
        <v>#VALUE!</v>
      </c>
      <c r="R41" s="13" t="e">
        <f t="shared" si="20"/>
        <v>#VALUE!</v>
      </c>
      <c r="S41" s="13" t="e">
        <f t="shared" si="20"/>
        <v>#VALUE!</v>
      </c>
      <c r="U41" s="13" t="str">
        <f t="shared" si="18"/>
        <v/>
      </c>
      <c r="V41" s="13" t="str">
        <f t="shared" si="19"/>
        <v/>
      </c>
      <c r="W41" s="13" t="e">
        <f t="shared" si="15"/>
        <v>#VALUE!</v>
      </c>
    </row>
    <row r="42" spans="1:23" x14ac:dyDescent="0.25">
      <c r="A42" s="1366">
        <v>0.38</v>
      </c>
      <c r="B42" s="13">
        <f t="shared" si="3"/>
        <v>0</v>
      </c>
      <c r="C42" s="1367">
        <f t="shared" si="17"/>
        <v>0</v>
      </c>
      <c r="D42" s="1434" t="e">
        <f>B42*'Рейтинг МКД'!$D$11+'кривые-экспресс'!C42+IF('Рейтинг МКД'!$D$15="нет",7,10)</f>
        <v>#VALUE!</v>
      </c>
      <c r="E42" s="1434" t="e">
        <f t="shared" si="4"/>
        <v>#VALUE!</v>
      </c>
      <c r="F42" s="1367" t="e">
        <f t="shared" si="5"/>
        <v>#VALUE!</v>
      </c>
      <c r="G42" s="1367" t="e">
        <f t="shared" si="6"/>
        <v>#VALUE!</v>
      </c>
      <c r="H42" s="1367" t="e">
        <f t="shared" si="7"/>
        <v>#VALUE!</v>
      </c>
      <c r="I42" s="1367" t="e">
        <f t="shared" si="8"/>
        <v>#VALUE!</v>
      </c>
      <c r="J42" s="1367" t="e">
        <f t="shared" si="9"/>
        <v>#VALUE!</v>
      </c>
      <c r="K42" s="1367" t="e">
        <f t="shared" si="10"/>
        <v>#VALUE!</v>
      </c>
      <c r="L42" s="1367" t="e">
        <f t="shared" si="11"/>
        <v>#VALUE!</v>
      </c>
      <c r="M42" s="1367" t="e">
        <f t="shared" si="12"/>
        <v>#VALUE!</v>
      </c>
      <c r="N42" s="13" t="e">
        <f t="shared" si="20"/>
        <v>#VALUE!</v>
      </c>
      <c r="O42" s="13" t="e">
        <f t="shared" si="20"/>
        <v>#VALUE!</v>
      </c>
      <c r="P42" s="13" t="e">
        <f t="shared" si="20"/>
        <v>#VALUE!</v>
      </c>
      <c r="Q42" s="13" t="e">
        <f t="shared" si="20"/>
        <v>#VALUE!</v>
      </c>
      <c r="R42" s="13" t="e">
        <f t="shared" si="20"/>
        <v>#VALUE!</v>
      </c>
      <c r="S42" s="13" t="e">
        <f t="shared" si="20"/>
        <v>#VALUE!</v>
      </c>
      <c r="U42" s="13" t="str">
        <f t="shared" si="18"/>
        <v/>
      </c>
      <c r="V42" s="13" t="str">
        <f t="shared" si="19"/>
        <v/>
      </c>
      <c r="W42" s="13" t="e">
        <f t="shared" si="15"/>
        <v>#VALUE!</v>
      </c>
    </row>
    <row r="43" spans="1:23" x14ac:dyDescent="0.25">
      <c r="A43" s="1366">
        <v>0.39</v>
      </c>
      <c r="B43" s="13">
        <f t="shared" si="3"/>
        <v>0</v>
      </c>
      <c r="C43" s="1367">
        <f t="shared" si="17"/>
        <v>0</v>
      </c>
      <c r="D43" s="1434" t="e">
        <f>B43*'Рейтинг МКД'!$D$11+'кривые-экспресс'!C43+IF('Рейтинг МКД'!$D$15="нет",7,10)</f>
        <v>#VALUE!</v>
      </c>
      <c r="E43" s="1434" t="e">
        <f t="shared" si="4"/>
        <v>#VALUE!</v>
      </c>
      <c r="F43" s="1367" t="e">
        <f t="shared" si="5"/>
        <v>#VALUE!</v>
      </c>
      <c r="G43" s="1367" t="e">
        <f t="shared" si="6"/>
        <v>#VALUE!</v>
      </c>
      <c r="H43" s="1367" t="e">
        <f t="shared" si="7"/>
        <v>#VALUE!</v>
      </c>
      <c r="I43" s="1367" t="e">
        <f t="shared" si="8"/>
        <v>#VALUE!</v>
      </c>
      <c r="J43" s="1367" t="e">
        <f t="shared" si="9"/>
        <v>#VALUE!</v>
      </c>
      <c r="K43" s="1367" t="e">
        <f t="shared" si="10"/>
        <v>#VALUE!</v>
      </c>
      <c r="L43" s="1367" t="e">
        <f t="shared" si="11"/>
        <v>#VALUE!</v>
      </c>
      <c r="M43" s="1367" t="e">
        <f t="shared" si="12"/>
        <v>#VALUE!</v>
      </c>
      <c r="N43" s="13" t="e">
        <f t="shared" si="20"/>
        <v>#VALUE!</v>
      </c>
      <c r="O43" s="13" t="e">
        <f t="shared" si="20"/>
        <v>#VALUE!</v>
      </c>
      <c r="P43" s="13" t="e">
        <f t="shared" si="20"/>
        <v>#VALUE!</v>
      </c>
      <c r="Q43" s="13" t="e">
        <f t="shared" si="20"/>
        <v>#VALUE!</v>
      </c>
      <c r="R43" s="13" t="e">
        <f t="shared" si="20"/>
        <v>#VALUE!</v>
      </c>
      <c r="S43" s="13" t="e">
        <f t="shared" si="20"/>
        <v>#VALUE!</v>
      </c>
      <c r="U43" s="13" t="str">
        <f t="shared" si="18"/>
        <v/>
      </c>
      <c r="V43" s="13" t="str">
        <f t="shared" si="19"/>
        <v/>
      </c>
      <c r="W43" s="13" t="e">
        <f t="shared" si="15"/>
        <v>#VALUE!</v>
      </c>
    </row>
    <row r="44" spans="1:23" x14ac:dyDescent="0.25">
      <c r="A44" s="1366">
        <v>0.4</v>
      </c>
      <c r="B44" s="13">
        <f t="shared" si="3"/>
        <v>0</v>
      </c>
      <c r="C44" s="1367">
        <f t="shared" si="17"/>
        <v>0</v>
      </c>
      <c r="D44" s="1434" t="e">
        <f>B44*'Рейтинг МКД'!$D$11+'кривые-экспресс'!C44+IF('Рейтинг МКД'!$D$15="нет",7,10)</f>
        <v>#VALUE!</v>
      </c>
      <c r="E44" s="1434" t="e">
        <f t="shared" si="4"/>
        <v>#VALUE!</v>
      </c>
      <c r="F44" s="1367" t="e">
        <f t="shared" si="5"/>
        <v>#VALUE!</v>
      </c>
      <c r="G44" s="1367" t="e">
        <f t="shared" si="6"/>
        <v>#VALUE!</v>
      </c>
      <c r="H44" s="1367" t="e">
        <f t="shared" si="7"/>
        <v>#VALUE!</v>
      </c>
      <c r="I44" s="1367" t="e">
        <f t="shared" si="8"/>
        <v>#VALUE!</v>
      </c>
      <c r="J44" s="1367" t="e">
        <f t="shared" si="9"/>
        <v>#VALUE!</v>
      </c>
      <c r="K44" s="1367" t="e">
        <f t="shared" si="10"/>
        <v>#VALUE!</v>
      </c>
      <c r="L44" s="1367" t="e">
        <f t="shared" si="11"/>
        <v>#VALUE!</v>
      </c>
      <c r="M44" s="1367" t="e">
        <f t="shared" si="12"/>
        <v>#VALUE!</v>
      </c>
      <c r="N44" s="13" t="e">
        <f t="shared" si="20"/>
        <v>#VALUE!</v>
      </c>
      <c r="O44" s="13" t="e">
        <f t="shared" si="20"/>
        <v>#VALUE!</v>
      </c>
      <c r="P44" s="13" t="e">
        <f t="shared" si="20"/>
        <v>#VALUE!</v>
      </c>
      <c r="Q44" s="13" t="e">
        <f t="shared" si="20"/>
        <v>#VALUE!</v>
      </c>
      <c r="R44" s="13" t="e">
        <f t="shared" si="20"/>
        <v>#VALUE!</v>
      </c>
      <c r="S44" s="13" t="e">
        <f t="shared" si="20"/>
        <v>#VALUE!</v>
      </c>
      <c r="U44" s="13" t="str">
        <f t="shared" si="18"/>
        <v/>
      </c>
      <c r="V44" s="13" t="str">
        <f t="shared" si="19"/>
        <v/>
      </c>
      <c r="W44" s="13" t="e">
        <f t="shared" si="15"/>
        <v>#VALUE!</v>
      </c>
    </row>
    <row r="45" spans="1:23" x14ac:dyDescent="0.25">
      <c r="A45" s="1366">
        <v>0.41</v>
      </c>
      <c r="B45" s="13">
        <f t="shared" si="3"/>
        <v>0</v>
      </c>
      <c r="C45" s="1367">
        <f t="shared" si="17"/>
        <v>0</v>
      </c>
      <c r="D45" s="1434" t="e">
        <f>B45*'Рейтинг МКД'!$D$11+'кривые-экспресс'!C45+IF('Рейтинг МКД'!$D$15="нет",7,10)</f>
        <v>#VALUE!</v>
      </c>
      <c r="E45" s="1434" t="e">
        <f t="shared" si="4"/>
        <v>#VALUE!</v>
      </c>
      <c r="F45" s="1367" t="e">
        <f t="shared" si="5"/>
        <v>#VALUE!</v>
      </c>
      <c r="G45" s="1367" t="e">
        <f t="shared" si="6"/>
        <v>#VALUE!</v>
      </c>
      <c r="H45" s="1367" t="e">
        <f t="shared" si="7"/>
        <v>#VALUE!</v>
      </c>
      <c r="I45" s="1367" t="e">
        <f t="shared" si="8"/>
        <v>#VALUE!</v>
      </c>
      <c r="J45" s="1367" t="e">
        <f t="shared" si="9"/>
        <v>#VALUE!</v>
      </c>
      <c r="K45" s="1367" t="e">
        <f t="shared" si="10"/>
        <v>#VALUE!</v>
      </c>
      <c r="L45" s="1367" t="e">
        <f t="shared" si="11"/>
        <v>#VALUE!</v>
      </c>
      <c r="M45" s="1367" t="e">
        <f t="shared" si="12"/>
        <v>#VALUE!</v>
      </c>
      <c r="N45" s="13" t="e">
        <f t="shared" si="20"/>
        <v>#VALUE!</v>
      </c>
      <c r="O45" s="13" t="e">
        <f t="shared" si="20"/>
        <v>#VALUE!</v>
      </c>
      <c r="P45" s="13" t="e">
        <f t="shared" si="20"/>
        <v>#VALUE!</v>
      </c>
      <c r="Q45" s="13" t="e">
        <f t="shared" si="20"/>
        <v>#VALUE!</v>
      </c>
      <c r="R45" s="13" t="e">
        <f t="shared" si="20"/>
        <v>#VALUE!</v>
      </c>
      <c r="S45" s="13" t="e">
        <f t="shared" si="20"/>
        <v>#VALUE!</v>
      </c>
      <c r="U45" s="13" t="str">
        <f t="shared" si="18"/>
        <v/>
      </c>
      <c r="V45" s="13" t="str">
        <f t="shared" si="19"/>
        <v/>
      </c>
      <c r="W45" s="13" t="e">
        <f t="shared" si="15"/>
        <v>#VALUE!</v>
      </c>
    </row>
    <row r="46" spans="1:23" x14ac:dyDescent="0.25">
      <c r="A46" s="1366">
        <v>0.42</v>
      </c>
      <c r="B46" s="13">
        <f t="shared" si="3"/>
        <v>0</v>
      </c>
      <c r="C46" s="1367">
        <f t="shared" si="17"/>
        <v>0</v>
      </c>
      <c r="D46" s="1434" t="e">
        <f>B46*'Рейтинг МКД'!$D$11+'кривые-экспресс'!C46+IF('Рейтинг МКД'!$D$15="нет",7,10)</f>
        <v>#VALUE!</v>
      </c>
      <c r="E46" s="1434" t="e">
        <f t="shared" si="4"/>
        <v>#VALUE!</v>
      </c>
      <c r="F46" s="1367" t="e">
        <f t="shared" si="5"/>
        <v>#VALUE!</v>
      </c>
      <c r="G46" s="1367" t="e">
        <f t="shared" si="6"/>
        <v>#VALUE!</v>
      </c>
      <c r="H46" s="1367" t="e">
        <f t="shared" si="7"/>
        <v>#VALUE!</v>
      </c>
      <c r="I46" s="1367" t="e">
        <f t="shared" si="8"/>
        <v>#VALUE!</v>
      </c>
      <c r="J46" s="1367" t="e">
        <f t="shared" si="9"/>
        <v>#VALUE!</v>
      </c>
      <c r="K46" s="1367" t="e">
        <f t="shared" si="10"/>
        <v>#VALUE!</v>
      </c>
      <c r="L46" s="1367" t="e">
        <f t="shared" si="11"/>
        <v>#VALUE!</v>
      </c>
      <c r="M46" s="1367" t="e">
        <f t="shared" si="12"/>
        <v>#VALUE!</v>
      </c>
      <c r="N46" s="13" t="e">
        <f t="shared" si="20"/>
        <v>#VALUE!</v>
      </c>
      <c r="O46" s="13" t="e">
        <f t="shared" si="20"/>
        <v>#VALUE!</v>
      </c>
      <c r="P46" s="13" t="e">
        <f t="shared" si="20"/>
        <v>#VALUE!</v>
      </c>
      <c r="Q46" s="13" t="e">
        <f t="shared" si="20"/>
        <v>#VALUE!</v>
      </c>
      <c r="R46" s="13" t="e">
        <f t="shared" si="20"/>
        <v>#VALUE!</v>
      </c>
      <c r="S46" s="13" t="e">
        <f t="shared" si="20"/>
        <v>#VALUE!</v>
      </c>
      <c r="U46" s="13" t="str">
        <f t="shared" si="18"/>
        <v/>
      </c>
      <c r="V46" s="13" t="str">
        <f t="shared" si="19"/>
        <v/>
      </c>
      <c r="W46" s="13" t="e">
        <f t="shared" si="15"/>
        <v>#VALUE!</v>
      </c>
    </row>
    <row r="47" spans="1:23" x14ac:dyDescent="0.25">
      <c r="A47" s="1366">
        <v>0.43</v>
      </c>
      <c r="B47" s="13">
        <f t="shared" si="3"/>
        <v>0</v>
      </c>
      <c r="C47" s="1367">
        <f t="shared" si="17"/>
        <v>0</v>
      </c>
      <c r="D47" s="1434" t="e">
        <f>B47*'Рейтинг МКД'!$D$11+'кривые-экспресс'!C47+IF('Рейтинг МКД'!$D$15="нет",7,10)</f>
        <v>#VALUE!</v>
      </c>
      <c r="E47" s="1434" t="e">
        <f t="shared" si="4"/>
        <v>#VALUE!</v>
      </c>
      <c r="F47" s="1367" t="e">
        <f t="shared" si="5"/>
        <v>#VALUE!</v>
      </c>
      <c r="G47" s="1367" t="e">
        <f t="shared" si="6"/>
        <v>#VALUE!</v>
      </c>
      <c r="H47" s="1367" t="e">
        <f t="shared" si="7"/>
        <v>#VALUE!</v>
      </c>
      <c r="I47" s="1367" t="e">
        <f t="shared" si="8"/>
        <v>#VALUE!</v>
      </c>
      <c r="J47" s="1367" t="e">
        <f t="shared" si="9"/>
        <v>#VALUE!</v>
      </c>
      <c r="K47" s="1367" t="e">
        <f t="shared" si="10"/>
        <v>#VALUE!</v>
      </c>
      <c r="L47" s="1367" t="e">
        <f t="shared" si="11"/>
        <v>#VALUE!</v>
      </c>
      <c r="M47" s="1367" t="e">
        <f t="shared" si="12"/>
        <v>#VALUE!</v>
      </c>
      <c r="N47" s="13" t="e">
        <f t="shared" si="20"/>
        <v>#VALUE!</v>
      </c>
      <c r="O47" s="13" t="e">
        <f t="shared" si="20"/>
        <v>#VALUE!</v>
      </c>
      <c r="P47" s="13" t="e">
        <f t="shared" si="20"/>
        <v>#VALUE!</v>
      </c>
      <c r="Q47" s="13" t="e">
        <f t="shared" si="20"/>
        <v>#VALUE!</v>
      </c>
      <c r="R47" s="13" t="e">
        <f t="shared" si="20"/>
        <v>#VALUE!</v>
      </c>
      <c r="S47" s="13" t="e">
        <f t="shared" si="20"/>
        <v>#VALUE!</v>
      </c>
      <c r="U47" s="13" t="str">
        <f t="shared" si="18"/>
        <v/>
      </c>
      <c r="V47" s="13" t="str">
        <f t="shared" si="19"/>
        <v/>
      </c>
      <c r="W47" s="13" t="e">
        <f t="shared" si="15"/>
        <v>#VALUE!</v>
      </c>
    </row>
    <row r="48" spans="1:23" x14ac:dyDescent="0.25">
      <c r="A48" s="1366">
        <v>0.44</v>
      </c>
      <c r="B48" s="13">
        <f t="shared" si="3"/>
        <v>0</v>
      </c>
      <c r="C48" s="1367">
        <f t="shared" si="17"/>
        <v>0</v>
      </c>
      <c r="D48" s="1434" t="e">
        <f>B48*'Рейтинг МКД'!$D$11+'кривые-экспресс'!C48+IF('Рейтинг МКД'!$D$15="нет",7,10)</f>
        <v>#VALUE!</v>
      </c>
      <c r="E48" s="1434" t="e">
        <f t="shared" si="4"/>
        <v>#VALUE!</v>
      </c>
      <c r="F48" s="1367" t="e">
        <f t="shared" si="5"/>
        <v>#VALUE!</v>
      </c>
      <c r="G48" s="1367" t="e">
        <f t="shared" si="6"/>
        <v>#VALUE!</v>
      </c>
      <c r="H48" s="1367" t="e">
        <f t="shared" si="7"/>
        <v>#VALUE!</v>
      </c>
      <c r="I48" s="1367" t="e">
        <f t="shared" si="8"/>
        <v>#VALUE!</v>
      </c>
      <c r="J48" s="1367" t="e">
        <f t="shared" si="9"/>
        <v>#VALUE!</v>
      </c>
      <c r="K48" s="1367" t="e">
        <f t="shared" si="10"/>
        <v>#VALUE!</v>
      </c>
      <c r="L48" s="1367" t="e">
        <f t="shared" si="11"/>
        <v>#VALUE!</v>
      </c>
      <c r="M48" s="1367" t="e">
        <f t="shared" si="12"/>
        <v>#VALUE!</v>
      </c>
      <c r="N48" s="13" t="e">
        <f t="shared" si="20"/>
        <v>#VALUE!</v>
      </c>
      <c r="O48" s="13" t="e">
        <f t="shared" si="20"/>
        <v>#VALUE!</v>
      </c>
      <c r="P48" s="13" t="e">
        <f t="shared" si="20"/>
        <v>#VALUE!</v>
      </c>
      <c r="Q48" s="13" t="e">
        <f t="shared" si="20"/>
        <v>#VALUE!</v>
      </c>
      <c r="R48" s="13" t="e">
        <f t="shared" si="20"/>
        <v>#VALUE!</v>
      </c>
      <c r="S48" s="13" t="e">
        <f t="shared" si="20"/>
        <v>#VALUE!</v>
      </c>
      <c r="U48" s="13" t="str">
        <f t="shared" si="18"/>
        <v/>
      </c>
      <c r="V48" s="13" t="str">
        <f t="shared" si="19"/>
        <v/>
      </c>
      <c r="W48" s="13" t="e">
        <f t="shared" si="15"/>
        <v>#VALUE!</v>
      </c>
    </row>
    <row r="49" spans="1:23" x14ac:dyDescent="0.25">
      <c r="A49" s="1366">
        <v>0.45</v>
      </c>
      <c r="B49" s="13">
        <f t="shared" si="3"/>
        <v>0</v>
      </c>
      <c r="C49" s="1367">
        <f t="shared" si="17"/>
        <v>0</v>
      </c>
      <c r="D49" s="1434" t="e">
        <f>B49*'Рейтинг МКД'!$D$11+'кривые-экспресс'!C49+IF('Рейтинг МКД'!$D$15="нет",7,10)</f>
        <v>#VALUE!</v>
      </c>
      <c r="E49" s="1434" t="e">
        <f t="shared" si="4"/>
        <v>#VALUE!</v>
      </c>
      <c r="F49" s="1367" t="e">
        <f t="shared" si="5"/>
        <v>#VALUE!</v>
      </c>
      <c r="G49" s="1367" t="e">
        <f t="shared" si="6"/>
        <v>#VALUE!</v>
      </c>
      <c r="H49" s="1367" t="e">
        <f t="shared" si="7"/>
        <v>#VALUE!</v>
      </c>
      <c r="I49" s="1367" t="e">
        <f t="shared" si="8"/>
        <v>#VALUE!</v>
      </c>
      <c r="J49" s="1367" t="e">
        <f t="shared" si="9"/>
        <v>#VALUE!</v>
      </c>
      <c r="K49" s="1367" t="e">
        <f t="shared" si="10"/>
        <v>#VALUE!</v>
      </c>
      <c r="L49" s="1367" t="e">
        <f t="shared" si="11"/>
        <v>#VALUE!</v>
      </c>
      <c r="M49" s="1367" t="e">
        <f t="shared" si="12"/>
        <v>#VALUE!</v>
      </c>
      <c r="N49" s="13" t="e">
        <f t="shared" si="20"/>
        <v>#VALUE!</v>
      </c>
      <c r="O49" s="13" t="e">
        <f t="shared" si="20"/>
        <v>#VALUE!</v>
      </c>
      <c r="P49" s="13" t="e">
        <f t="shared" si="20"/>
        <v>#VALUE!</v>
      </c>
      <c r="Q49" s="13" t="e">
        <f t="shared" si="20"/>
        <v>#VALUE!</v>
      </c>
      <c r="R49" s="13" t="e">
        <f t="shared" si="20"/>
        <v>#VALUE!</v>
      </c>
      <c r="S49" s="13" t="e">
        <f t="shared" si="20"/>
        <v>#VALUE!</v>
      </c>
      <c r="U49" s="13" t="str">
        <f t="shared" si="18"/>
        <v/>
      </c>
      <c r="V49" s="13" t="str">
        <f t="shared" si="19"/>
        <v/>
      </c>
      <c r="W49" s="13" t="e">
        <f t="shared" si="15"/>
        <v>#VALUE!</v>
      </c>
    </row>
    <row r="50" spans="1:23" x14ac:dyDescent="0.25">
      <c r="A50" s="1366">
        <v>0.46</v>
      </c>
      <c r="B50" s="13">
        <f t="shared" si="3"/>
        <v>0</v>
      </c>
      <c r="C50" s="1367">
        <f t="shared" si="17"/>
        <v>0</v>
      </c>
      <c r="D50" s="1434" t="e">
        <f>B50*'Рейтинг МКД'!$D$11+'кривые-экспресс'!C50+IF('Рейтинг МКД'!$D$15="нет",7,10)</f>
        <v>#VALUE!</v>
      </c>
      <c r="E50" s="1434" t="e">
        <f t="shared" si="4"/>
        <v>#VALUE!</v>
      </c>
      <c r="F50" s="1367" t="e">
        <f t="shared" si="5"/>
        <v>#VALUE!</v>
      </c>
      <c r="G50" s="1367" t="e">
        <f t="shared" si="6"/>
        <v>#VALUE!</v>
      </c>
      <c r="H50" s="1367" t="e">
        <f t="shared" si="7"/>
        <v>#VALUE!</v>
      </c>
      <c r="I50" s="1367" t="e">
        <f t="shared" si="8"/>
        <v>#VALUE!</v>
      </c>
      <c r="J50" s="1367" t="e">
        <f t="shared" si="9"/>
        <v>#VALUE!</v>
      </c>
      <c r="K50" s="1367" t="e">
        <f t="shared" si="10"/>
        <v>#VALUE!</v>
      </c>
      <c r="L50" s="1367" t="e">
        <f t="shared" si="11"/>
        <v>#VALUE!</v>
      </c>
      <c r="M50" s="1367" t="e">
        <f t="shared" si="12"/>
        <v>#VALUE!</v>
      </c>
      <c r="N50" s="13" t="e">
        <f t="shared" si="20"/>
        <v>#VALUE!</v>
      </c>
      <c r="O50" s="13" t="e">
        <f t="shared" si="20"/>
        <v>#VALUE!</v>
      </c>
      <c r="P50" s="13" t="e">
        <f t="shared" si="20"/>
        <v>#VALUE!</v>
      </c>
      <c r="Q50" s="13" t="e">
        <f t="shared" si="20"/>
        <v>#VALUE!</v>
      </c>
      <c r="R50" s="13" t="e">
        <f t="shared" si="20"/>
        <v>#VALUE!</v>
      </c>
      <c r="S50" s="13" t="e">
        <f t="shared" si="20"/>
        <v>#VALUE!</v>
      </c>
      <c r="U50" s="13" t="str">
        <f t="shared" si="18"/>
        <v/>
      </c>
      <c r="V50" s="13" t="str">
        <f t="shared" si="19"/>
        <v/>
      </c>
      <c r="W50" s="13" t="e">
        <f t="shared" si="15"/>
        <v>#VALUE!</v>
      </c>
    </row>
    <row r="51" spans="1:23" x14ac:dyDescent="0.25">
      <c r="A51" s="1366">
        <v>0.47</v>
      </c>
      <c r="B51" s="13">
        <f t="shared" si="3"/>
        <v>0</v>
      </c>
      <c r="C51" s="1367">
        <f t="shared" si="17"/>
        <v>0</v>
      </c>
      <c r="D51" s="1434" t="e">
        <f>B51*'Рейтинг МКД'!$D$11+'кривые-экспресс'!C51+IF('Рейтинг МКД'!$D$15="нет",7,10)</f>
        <v>#VALUE!</v>
      </c>
      <c r="E51" s="1434" t="e">
        <f t="shared" si="4"/>
        <v>#VALUE!</v>
      </c>
      <c r="F51" s="1367" t="e">
        <f t="shared" si="5"/>
        <v>#VALUE!</v>
      </c>
      <c r="G51" s="1367" t="e">
        <f t="shared" si="6"/>
        <v>#VALUE!</v>
      </c>
      <c r="H51" s="1367" t="e">
        <f t="shared" si="7"/>
        <v>#VALUE!</v>
      </c>
      <c r="I51" s="1367" t="e">
        <f t="shared" si="8"/>
        <v>#VALUE!</v>
      </c>
      <c r="J51" s="1367" t="e">
        <f t="shared" si="9"/>
        <v>#VALUE!</v>
      </c>
      <c r="K51" s="1367" t="e">
        <f t="shared" si="10"/>
        <v>#VALUE!</v>
      </c>
      <c r="L51" s="1367" t="e">
        <f t="shared" si="11"/>
        <v>#VALUE!</v>
      </c>
      <c r="M51" s="1367" t="e">
        <f t="shared" si="12"/>
        <v>#VALUE!</v>
      </c>
      <c r="N51" s="13" t="e">
        <f t="shared" si="20"/>
        <v>#VALUE!</v>
      </c>
      <c r="O51" s="13" t="e">
        <f t="shared" si="20"/>
        <v>#VALUE!</v>
      </c>
      <c r="P51" s="13" t="e">
        <f t="shared" si="20"/>
        <v>#VALUE!</v>
      </c>
      <c r="Q51" s="13" t="e">
        <f t="shared" si="20"/>
        <v>#VALUE!</v>
      </c>
      <c r="R51" s="13" t="e">
        <f t="shared" si="20"/>
        <v>#VALUE!</v>
      </c>
      <c r="S51" s="13" t="e">
        <f t="shared" si="20"/>
        <v>#VALUE!</v>
      </c>
      <c r="U51" s="13" t="str">
        <f t="shared" si="18"/>
        <v/>
      </c>
      <c r="V51" s="13" t="str">
        <f t="shared" si="19"/>
        <v/>
      </c>
      <c r="W51" s="13" t="e">
        <f t="shared" si="15"/>
        <v>#VALUE!</v>
      </c>
    </row>
    <row r="52" spans="1:23" x14ac:dyDescent="0.25">
      <c r="A52" s="1366">
        <v>0.48</v>
      </c>
      <c r="B52" s="13">
        <f t="shared" si="3"/>
        <v>0</v>
      </c>
      <c r="C52" s="1367">
        <f t="shared" si="17"/>
        <v>0</v>
      </c>
      <c r="D52" s="1434" t="e">
        <f>B52*'Рейтинг МКД'!$D$11+'кривые-экспресс'!C52+IF('Рейтинг МКД'!$D$15="нет",7,10)</f>
        <v>#VALUE!</v>
      </c>
      <c r="E52" s="1434" t="e">
        <f t="shared" si="4"/>
        <v>#VALUE!</v>
      </c>
      <c r="F52" s="1367" t="e">
        <f t="shared" si="5"/>
        <v>#VALUE!</v>
      </c>
      <c r="G52" s="1367" t="e">
        <f t="shared" si="6"/>
        <v>#VALUE!</v>
      </c>
      <c r="H52" s="1367" t="e">
        <f t="shared" si="7"/>
        <v>#VALUE!</v>
      </c>
      <c r="I52" s="1367" t="e">
        <f t="shared" si="8"/>
        <v>#VALUE!</v>
      </c>
      <c r="J52" s="1367" t="e">
        <f t="shared" si="9"/>
        <v>#VALUE!</v>
      </c>
      <c r="K52" s="1367" t="e">
        <f t="shared" si="10"/>
        <v>#VALUE!</v>
      </c>
      <c r="L52" s="1367" t="e">
        <f t="shared" si="11"/>
        <v>#VALUE!</v>
      </c>
      <c r="M52" s="1367" t="e">
        <f t="shared" si="12"/>
        <v>#VALUE!</v>
      </c>
      <c r="N52" s="13" t="e">
        <f t="shared" si="20"/>
        <v>#VALUE!</v>
      </c>
      <c r="O52" s="13" t="e">
        <f t="shared" si="20"/>
        <v>#VALUE!</v>
      </c>
      <c r="P52" s="13" t="e">
        <f t="shared" si="20"/>
        <v>#VALUE!</v>
      </c>
      <c r="Q52" s="13" t="e">
        <f t="shared" si="20"/>
        <v>#VALUE!</v>
      </c>
      <c r="R52" s="13" t="e">
        <f t="shared" si="20"/>
        <v>#VALUE!</v>
      </c>
      <c r="S52" s="13" t="e">
        <f t="shared" si="20"/>
        <v>#VALUE!</v>
      </c>
      <c r="U52" s="13" t="str">
        <f t="shared" si="18"/>
        <v/>
      </c>
      <c r="V52" s="13" t="str">
        <f t="shared" si="19"/>
        <v/>
      </c>
      <c r="W52" s="13" t="e">
        <f t="shared" si="15"/>
        <v>#VALUE!</v>
      </c>
    </row>
    <row r="53" spans="1:23" x14ac:dyDescent="0.25">
      <c r="A53" s="1366">
        <v>0.49</v>
      </c>
      <c r="B53" s="13">
        <f t="shared" si="3"/>
        <v>0</v>
      </c>
      <c r="C53" s="1367">
        <f t="shared" si="17"/>
        <v>0</v>
      </c>
      <c r="D53" s="1434" t="e">
        <f>B53*'Рейтинг МКД'!$D$11+'кривые-экспресс'!C53+IF('Рейтинг МКД'!$D$15="нет",7,10)</f>
        <v>#VALUE!</v>
      </c>
      <c r="E53" s="1434" t="e">
        <f t="shared" si="4"/>
        <v>#VALUE!</v>
      </c>
      <c r="F53" s="1367" t="e">
        <f t="shared" si="5"/>
        <v>#VALUE!</v>
      </c>
      <c r="G53" s="1367" t="e">
        <f t="shared" si="6"/>
        <v>#VALUE!</v>
      </c>
      <c r="H53" s="1367" t="e">
        <f t="shared" si="7"/>
        <v>#VALUE!</v>
      </c>
      <c r="I53" s="1367" t="e">
        <f t="shared" si="8"/>
        <v>#VALUE!</v>
      </c>
      <c r="J53" s="1367" t="e">
        <f t="shared" si="9"/>
        <v>#VALUE!</v>
      </c>
      <c r="K53" s="1367" t="e">
        <f t="shared" si="10"/>
        <v>#VALUE!</v>
      </c>
      <c r="L53" s="1367" t="e">
        <f t="shared" si="11"/>
        <v>#VALUE!</v>
      </c>
      <c r="M53" s="1367" t="e">
        <f t="shared" si="12"/>
        <v>#VALUE!</v>
      </c>
      <c r="N53" s="13" t="e">
        <f t="shared" si="20"/>
        <v>#VALUE!</v>
      </c>
      <c r="O53" s="13" t="e">
        <f t="shared" si="20"/>
        <v>#VALUE!</v>
      </c>
      <c r="P53" s="13" t="e">
        <f t="shared" si="20"/>
        <v>#VALUE!</v>
      </c>
      <c r="Q53" s="13" t="e">
        <f t="shared" si="20"/>
        <v>#VALUE!</v>
      </c>
      <c r="R53" s="13" t="e">
        <f t="shared" si="20"/>
        <v>#VALUE!</v>
      </c>
      <c r="S53" s="13" t="e">
        <f t="shared" si="20"/>
        <v>#VALUE!</v>
      </c>
      <c r="U53" s="13" t="str">
        <f t="shared" si="18"/>
        <v/>
      </c>
      <c r="V53" s="13" t="str">
        <f t="shared" si="19"/>
        <v/>
      </c>
      <c r="W53" s="13" t="e">
        <f t="shared" si="15"/>
        <v>#VALUE!</v>
      </c>
    </row>
    <row r="54" spans="1:23" x14ac:dyDescent="0.25">
      <c r="A54" s="1366">
        <v>0.5</v>
      </c>
      <c r="B54" s="13">
        <f t="shared" si="3"/>
        <v>0</v>
      </c>
      <c r="C54" s="1367">
        <f t="shared" si="17"/>
        <v>0</v>
      </c>
      <c r="D54" s="1434" t="e">
        <f>B54*'Рейтинг МКД'!$D$11+'кривые-экспресс'!C54+IF('Рейтинг МКД'!$D$15="нет",7,10)</f>
        <v>#VALUE!</v>
      </c>
      <c r="E54" s="1434" t="e">
        <f t="shared" si="4"/>
        <v>#VALUE!</v>
      </c>
      <c r="F54" s="1367" t="e">
        <f t="shared" si="5"/>
        <v>#VALUE!</v>
      </c>
      <c r="G54" s="1367" t="e">
        <f t="shared" si="6"/>
        <v>#VALUE!</v>
      </c>
      <c r="H54" s="1367" t="e">
        <f t="shared" si="7"/>
        <v>#VALUE!</v>
      </c>
      <c r="I54" s="1367" t="e">
        <f t="shared" si="8"/>
        <v>#VALUE!</v>
      </c>
      <c r="J54" s="1367" t="e">
        <f t="shared" si="9"/>
        <v>#VALUE!</v>
      </c>
      <c r="K54" s="1367" t="e">
        <f t="shared" si="10"/>
        <v>#VALUE!</v>
      </c>
      <c r="L54" s="1367" t="e">
        <f t="shared" si="11"/>
        <v>#VALUE!</v>
      </c>
      <c r="M54" s="1367" t="e">
        <f t="shared" si="12"/>
        <v>#VALUE!</v>
      </c>
      <c r="N54" s="13" t="e">
        <f t="shared" si="20"/>
        <v>#VALUE!</v>
      </c>
      <c r="O54" s="13" t="e">
        <f t="shared" si="20"/>
        <v>#VALUE!</v>
      </c>
      <c r="P54" s="13" t="e">
        <f t="shared" si="20"/>
        <v>#VALUE!</v>
      </c>
      <c r="Q54" s="13" t="e">
        <f t="shared" si="20"/>
        <v>#VALUE!</v>
      </c>
      <c r="R54" s="13" t="e">
        <f t="shared" si="20"/>
        <v>#VALUE!</v>
      </c>
      <c r="S54" s="13" t="e">
        <f t="shared" si="20"/>
        <v>#VALUE!</v>
      </c>
      <c r="U54" s="13" t="str">
        <f t="shared" si="18"/>
        <v/>
      </c>
      <c r="V54" s="13" t="str">
        <f t="shared" si="19"/>
        <v/>
      </c>
      <c r="W54" s="13" t="e">
        <f t="shared" si="15"/>
        <v>#VALUE!</v>
      </c>
    </row>
    <row r="55" spans="1:23" x14ac:dyDescent="0.25">
      <c r="A55" s="1366">
        <v>0.51</v>
      </c>
      <c r="B55" s="13">
        <f t="shared" si="3"/>
        <v>0</v>
      </c>
      <c r="C55" s="1367">
        <f t="shared" si="17"/>
        <v>0</v>
      </c>
      <c r="D55" s="1434" t="e">
        <f>B55*'Рейтинг МКД'!$D$11+'кривые-экспресс'!C55+IF('Рейтинг МКД'!$D$15="нет",7,10)</f>
        <v>#VALUE!</v>
      </c>
      <c r="E55" s="1434" t="e">
        <f t="shared" si="4"/>
        <v>#VALUE!</v>
      </c>
      <c r="F55" s="1367" t="e">
        <f t="shared" si="5"/>
        <v>#VALUE!</v>
      </c>
      <c r="G55" s="1367" t="e">
        <f t="shared" si="6"/>
        <v>#VALUE!</v>
      </c>
      <c r="H55" s="1367" t="e">
        <f t="shared" si="7"/>
        <v>#VALUE!</v>
      </c>
      <c r="I55" s="1367" t="e">
        <f t="shared" si="8"/>
        <v>#VALUE!</v>
      </c>
      <c r="J55" s="1367" t="e">
        <f t="shared" si="9"/>
        <v>#VALUE!</v>
      </c>
      <c r="K55" s="1367" t="e">
        <f t="shared" si="10"/>
        <v>#VALUE!</v>
      </c>
      <c r="L55" s="1367" t="e">
        <f t="shared" si="11"/>
        <v>#VALUE!</v>
      </c>
      <c r="M55" s="1367" t="e">
        <f t="shared" si="12"/>
        <v>#VALUE!</v>
      </c>
      <c r="N55" s="13" t="e">
        <f t="shared" ref="N55:S70" si="21">N54</f>
        <v>#VALUE!</v>
      </c>
      <c r="O55" s="13" t="e">
        <f t="shared" si="21"/>
        <v>#VALUE!</v>
      </c>
      <c r="P55" s="13" t="e">
        <f t="shared" si="21"/>
        <v>#VALUE!</v>
      </c>
      <c r="Q55" s="13" t="e">
        <f t="shared" si="21"/>
        <v>#VALUE!</v>
      </c>
      <c r="R55" s="13" t="e">
        <f t="shared" si="21"/>
        <v>#VALUE!</v>
      </c>
      <c r="S55" s="13" t="e">
        <f t="shared" si="21"/>
        <v>#VALUE!</v>
      </c>
      <c r="U55" s="13" t="str">
        <f t="shared" si="18"/>
        <v/>
      </c>
      <c r="V55" s="13" t="str">
        <f t="shared" si="19"/>
        <v/>
      </c>
      <c r="W55" s="13" t="e">
        <f t="shared" si="15"/>
        <v>#VALUE!</v>
      </c>
    </row>
    <row r="56" spans="1:23" x14ac:dyDescent="0.25">
      <c r="A56" s="1366">
        <v>0.52</v>
      </c>
      <c r="B56" s="13">
        <f t="shared" si="3"/>
        <v>0</v>
      </c>
      <c r="C56" s="1367">
        <f t="shared" si="17"/>
        <v>0</v>
      </c>
      <c r="D56" s="1434" t="e">
        <f>B56*'Рейтинг МКД'!$D$11+'кривые-экспресс'!C56+IF('Рейтинг МКД'!$D$15="нет",7,10)</f>
        <v>#VALUE!</v>
      </c>
      <c r="E56" s="1434" t="e">
        <f t="shared" si="4"/>
        <v>#VALUE!</v>
      </c>
      <c r="F56" s="1367" t="e">
        <f t="shared" si="5"/>
        <v>#VALUE!</v>
      </c>
      <c r="G56" s="1367" t="e">
        <f t="shared" si="6"/>
        <v>#VALUE!</v>
      </c>
      <c r="H56" s="1367" t="e">
        <f t="shared" si="7"/>
        <v>#VALUE!</v>
      </c>
      <c r="I56" s="1367" t="e">
        <f t="shared" si="8"/>
        <v>#VALUE!</v>
      </c>
      <c r="J56" s="1367" t="e">
        <f t="shared" si="9"/>
        <v>#VALUE!</v>
      </c>
      <c r="K56" s="1367" t="e">
        <f t="shared" si="10"/>
        <v>#VALUE!</v>
      </c>
      <c r="L56" s="1367" t="e">
        <f t="shared" si="11"/>
        <v>#VALUE!</v>
      </c>
      <c r="M56" s="1367" t="e">
        <f t="shared" si="12"/>
        <v>#VALUE!</v>
      </c>
      <c r="N56" s="13" t="e">
        <f t="shared" si="21"/>
        <v>#VALUE!</v>
      </c>
      <c r="O56" s="13" t="e">
        <f t="shared" si="21"/>
        <v>#VALUE!</v>
      </c>
      <c r="P56" s="13" t="e">
        <f t="shared" si="21"/>
        <v>#VALUE!</v>
      </c>
      <c r="Q56" s="13" t="e">
        <f t="shared" si="21"/>
        <v>#VALUE!</v>
      </c>
      <c r="R56" s="13" t="e">
        <f t="shared" si="21"/>
        <v>#VALUE!</v>
      </c>
      <c r="S56" s="13" t="e">
        <f t="shared" si="21"/>
        <v>#VALUE!</v>
      </c>
      <c r="U56" s="13" t="str">
        <f t="shared" si="18"/>
        <v/>
      </c>
      <c r="V56" s="13" t="str">
        <f t="shared" si="19"/>
        <v/>
      </c>
      <c r="W56" s="13" t="e">
        <f t="shared" si="15"/>
        <v>#VALUE!</v>
      </c>
    </row>
    <row r="57" spans="1:23" x14ac:dyDescent="0.25">
      <c r="A57" s="1366">
        <v>0.53</v>
      </c>
      <c r="B57" s="13">
        <f t="shared" si="3"/>
        <v>0</v>
      </c>
      <c r="C57" s="1367">
        <f t="shared" si="17"/>
        <v>0</v>
      </c>
      <c r="D57" s="1434" t="e">
        <f>B57*'Рейтинг МКД'!$D$11+'кривые-экспресс'!C57+IF('Рейтинг МКД'!$D$15="нет",7,10)</f>
        <v>#VALUE!</v>
      </c>
      <c r="E57" s="1434" t="e">
        <f t="shared" si="4"/>
        <v>#VALUE!</v>
      </c>
      <c r="F57" s="1367" t="e">
        <f t="shared" si="5"/>
        <v>#VALUE!</v>
      </c>
      <c r="G57" s="1367" t="e">
        <f t="shared" si="6"/>
        <v>#VALUE!</v>
      </c>
      <c r="H57" s="1367" t="e">
        <f t="shared" si="7"/>
        <v>#VALUE!</v>
      </c>
      <c r="I57" s="1367" t="e">
        <f t="shared" si="8"/>
        <v>#VALUE!</v>
      </c>
      <c r="J57" s="1367" t="e">
        <f t="shared" si="9"/>
        <v>#VALUE!</v>
      </c>
      <c r="K57" s="1367" t="e">
        <f t="shared" si="10"/>
        <v>#VALUE!</v>
      </c>
      <c r="L57" s="1367" t="e">
        <f t="shared" si="11"/>
        <v>#VALUE!</v>
      </c>
      <c r="M57" s="1367" t="e">
        <f t="shared" si="12"/>
        <v>#VALUE!</v>
      </c>
      <c r="N57" s="13" t="e">
        <f t="shared" si="21"/>
        <v>#VALUE!</v>
      </c>
      <c r="O57" s="13" t="e">
        <f t="shared" si="21"/>
        <v>#VALUE!</v>
      </c>
      <c r="P57" s="13" t="e">
        <f t="shared" si="21"/>
        <v>#VALUE!</v>
      </c>
      <c r="Q57" s="13" t="e">
        <f t="shared" si="21"/>
        <v>#VALUE!</v>
      </c>
      <c r="R57" s="13" t="e">
        <f t="shared" si="21"/>
        <v>#VALUE!</v>
      </c>
      <c r="S57" s="13" t="e">
        <f t="shared" si="21"/>
        <v>#VALUE!</v>
      </c>
      <c r="U57" s="13" t="str">
        <f t="shared" si="18"/>
        <v/>
      </c>
      <c r="V57" s="13" t="str">
        <f t="shared" si="19"/>
        <v/>
      </c>
      <c r="W57" s="13" t="e">
        <f t="shared" si="15"/>
        <v>#VALUE!</v>
      </c>
    </row>
    <row r="58" spans="1:23" x14ac:dyDescent="0.25">
      <c r="A58" s="1366">
        <v>0.54</v>
      </c>
      <c r="B58" s="13">
        <f t="shared" si="3"/>
        <v>0</v>
      </c>
      <c r="C58" s="1367">
        <f t="shared" si="17"/>
        <v>0</v>
      </c>
      <c r="D58" s="1434" t="e">
        <f>B58*'Рейтинг МКД'!$D$11+'кривые-экспресс'!C58+IF('Рейтинг МКД'!$D$15="нет",7,10)</f>
        <v>#VALUE!</v>
      </c>
      <c r="E58" s="1434" t="e">
        <f t="shared" si="4"/>
        <v>#VALUE!</v>
      </c>
      <c r="F58" s="1367" t="e">
        <f t="shared" si="5"/>
        <v>#VALUE!</v>
      </c>
      <c r="G58" s="1367" t="e">
        <f t="shared" si="6"/>
        <v>#VALUE!</v>
      </c>
      <c r="H58" s="1367" t="e">
        <f t="shared" si="7"/>
        <v>#VALUE!</v>
      </c>
      <c r="I58" s="1367" t="e">
        <f t="shared" si="8"/>
        <v>#VALUE!</v>
      </c>
      <c r="J58" s="1367" t="e">
        <f t="shared" si="9"/>
        <v>#VALUE!</v>
      </c>
      <c r="K58" s="1367" t="e">
        <f t="shared" si="10"/>
        <v>#VALUE!</v>
      </c>
      <c r="L58" s="1367" t="e">
        <f t="shared" si="11"/>
        <v>#VALUE!</v>
      </c>
      <c r="M58" s="1367" t="e">
        <f t="shared" si="12"/>
        <v>#VALUE!</v>
      </c>
      <c r="N58" s="13" t="e">
        <f t="shared" si="21"/>
        <v>#VALUE!</v>
      </c>
      <c r="O58" s="13" t="e">
        <f t="shared" si="21"/>
        <v>#VALUE!</v>
      </c>
      <c r="P58" s="13" t="e">
        <f t="shared" si="21"/>
        <v>#VALUE!</v>
      </c>
      <c r="Q58" s="13" t="e">
        <f t="shared" si="21"/>
        <v>#VALUE!</v>
      </c>
      <c r="R58" s="13" t="e">
        <f t="shared" si="21"/>
        <v>#VALUE!</v>
      </c>
      <c r="S58" s="13" t="e">
        <f t="shared" si="21"/>
        <v>#VALUE!</v>
      </c>
      <c r="U58" s="13" t="str">
        <f t="shared" si="18"/>
        <v/>
      </c>
      <c r="V58" s="13" t="str">
        <f t="shared" si="19"/>
        <v/>
      </c>
      <c r="W58" s="13" t="e">
        <f t="shared" si="15"/>
        <v>#VALUE!</v>
      </c>
    </row>
    <row r="59" spans="1:23" x14ac:dyDescent="0.25">
      <c r="A59" s="1366">
        <v>0.55000000000000004</v>
      </c>
      <c r="B59" s="13">
        <f t="shared" si="3"/>
        <v>0</v>
      </c>
      <c r="C59" s="1367">
        <f t="shared" si="17"/>
        <v>0</v>
      </c>
      <c r="D59" s="1434" t="e">
        <f>B59*'Рейтинг МКД'!$D$11+'кривые-экспресс'!C59+IF('Рейтинг МКД'!$D$15="нет",7,10)</f>
        <v>#VALUE!</v>
      </c>
      <c r="E59" s="1434" t="e">
        <f t="shared" si="4"/>
        <v>#VALUE!</v>
      </c>
      <c r="F59" s="1367" t="e">
        <f t="shared" si="5"/>
        <v>#VALUE!</v>
      </c>
      <c r="G59" s="1367" t="e">
        <f t="shared" si="6"/>
        <v>#VALUE!</v>
      </c>
      <c r="H59" s="1367" t="e">
        <f t="shared" si="7"/>
        <v>#VALUE!</v>
      </c>
      <c r="I59" s="1367" t="e">
        <f t="shared" si="8"/>
        <v>#VALUE!</v>
      </c>
      <c r="J59" s="1367" t="e">
        <f t="shared" si="9"/>
        <v>#VALUE!</v>
      </c>
      <c r="K59" s="1367" t="e">
        <f t="shared" si="10"/>
        <v>#VALUE!</v>
      </c>
      <c r="L59" s="1367" t="e">
        <f t="shared" si="11"/>
        <v>#VALUE!</v>
      </c>
      <c r="M59" s="1367" t="e">
        <f t="shared" si="12"/>
        <v>#VALUE!</v>
      </c>
      <c r="N59" s="13" t="e">
        <f t="shared" si="21"/>
        <v>#VALUE!</v>
      </c>
      <c r="O59" s="13" t="e">
        <f t="shared" si="21"/>
        <v>#VALUE!</v>
      </c>
      <c r="P59" s="13" t="e">
        <f t="shared" si="21"/>
        <v>#VALUE!</v>
      </c>
      <c r="Q59" s="13" t="e">
        <f t="shared" si="21"/>
        <v>#VALUE!</v>
      </c>
      <c r="R59" s="13" t="e">
        <f t="shared" si="21"/>
        <v>#VALUE!</v>
      </c>
      <c r="S59" s="13" t="e">
        <f t="shared" si="21"/>
        <v>#VALUE!</v>
      </c>
      <c r="U59" s="13" t="str">
        <f t="shared" si="18"/>
        <v/>
      </c>
      <c r="V59" s="13" t="str">
        <f t="shared" si="19"/>
        <v/>
      </c>
      <c r="W59" s="13" t="e">
        <f t="shared" si="15"/>
        <v>#VALUE!</v>
      </c>
    </row>
    <row r="60" spans="1:23" x14ac:dyDescent="0.25">
      <c r="A60" s="1366">
        <v>0.56000000000000005</v>
      </c>
      <c r="B60" s="13">
        <f t="shared" si="3"/>
        <v>0</v>
      </c>
      <c r="C60" s="1367">
        <f t="shared" si="17"/>
        <v>0</v>
      </c>
      <c r="D60" s="1434" t="e">
        <f>B60*'Рейтинг МКД'!$D$11+'кривые-экспресс'!C60+IF('Рейтинг МКД'!$D$15="нет",7,10)</f>
        <v>#VALUE!</v>
      </c>
      <c r="E60" s="1434" t="e">
        <f t="shared" si="4"/>
        <v>#VALUE!</v>
      </c>
      <c r="F60" s="1367" t="e">
        <f t="shared" si="5"/>
        <v>#VALUE!</v>
      </c>
      <c r="G60" s="1367" t="e">
        <f t="shared" si="6"/>
        <v>#VALUE!</v>
      </c>
      <c r="H60" s="1367" t="e">
        <f t="shared" si="7"/>
        <v>#VALUE!</v>
      </c>
      <c r="I60" s="1367" t="e">
        <f t="shared" si="8"/>
        <v>#VALUE!</v>
      </c>
      <c r="J60" s="1367" t="e">
        <f t="shared" si="9"/>
        <v>#VALUE!</v>
      </c>
      <c r="K60" s="1367" t="e">
        <f t="shared" si="10"/>
        <v>#VALUE!</v>
      </c>
      <c r="L60" s="1367" t="e">
        <f t="shared" si="11"/>
        <v>#VALUE!</v>
      </c>
      <c r="M60" s="1367" t="e">
        <f t="shared" si="12"/>
        <v>#VALUE!</v>
      </c>
      <c r="N60" s="13" t="e">
        <f t="shared" si="21"/>
        <v>#VALUE!</v>
      </c>
      <c r="O60" s="13" t="e">
        <f t="shared" si="21"/>
        <v>#VALUE!</v>
      </c>
      <c r="P60" s="13" t="e">
        <f t="shared" si="21"/>
        <v>#VALUE!</v>
      </c>
      <c r="Q60" s="13" t="e">
        <f t="shared" si="21"/>
        <v>#VALUE!</v>
      </c>
      <c r="R60" s="13" t="e">
        <f t="shared" si="21"/>
        <v>#VALUE!</v>
      </c>
      <c r="S60" s="13" t="e">
        <f t="shared" si="21"/>
        <v>#VALUE!</v>
      </c>
      <c r="U60" s="13" t="str">
        <f t="shared" si="18"/>
        <v/>
      </c>
      <c r="V60" s="13" t="str">
        <f t="shared" si="19"/>
        <v/>
      </c>
      <c r="W60" s="13" t="e">
        <f t="shared" si="15"/>
        <v>#VALUE!</v>
      </c>
    </row>
    <row r="61" spans="1:23" x14ac:dyDescent="0.25">
      <c r="A61" s="1366">
        <v>0.56999999999999995</v>
      </c>
      <c r="B61" s="13">
        <f t="shared" si="3"/>
        <v>0</v>
      </c>
      <c r="C61" s="1367">
        <f t="shared" si="17"/>
        <v>0</v>
      </c>
      <c r="D61" s="1434" t="e">
        <f>B61*'Рейтинг МКД'!$D$11+'кривые-экспресс'!C61+IF('Рейтинг МКД'!$D$15="нет",7,10)</f>
        <v>#VALUE!</v>
      </c>
      <c r="E61" s="1434" t="e">
        <f t="shared" si="4"/>
        <v>#VALUE!</v>
      </c>
      <c r="F61" s="1367" t="e">
        <f t="shared" si="5"/>
        <v>#VALUE!</v>
      </c>
      <c r="G61" s="1367" t="e">
        <f t="shared" si="6"/>
        <v>#VALUE!</v>
      </c>
      <c r="H61" s="1367" t="e">
        <f t="shared" si="7"/>
        <v>#VALUE!</v>
      </c>
      <c r="I61" s="1367" t="e">
        <f t="shared" si="8"/>
        <v>#VALUE!</v>
      </c>
      <c r="J61" s="1367" t="e">
        <f t="shared" si="9"/>
        <v>#VALUE!</v>
      </c>
      <c r="K61" s="1367" t="e">
        <f t="shared" si="10"/>
        <v>#VALUE!</v>
      </c>
      <c r="L61" s="1367" t="e">
        <f t="shared" si="11"/>
        <v>#VALUE!</v>
      </c>
      <c r="M61" s="1367" t="e">
        <f t="shared" si="12"/>
        <v>#VALUE!</v>
      </c>
      <c r="N61" s="13" t="e">
        <f t="shared" si="21"/>
        <v>#VALUE!</v>
      </c>
      <c r="O61" s="13" t="e">
        <f t="shared" si="21"/>
        <v>#VALUE!</v>
      </c>
      <c r="P61" s="13" t="e">
        <f t="shared" si="21"/>
        <v>#VALUE!</v>
      </c>
      <c r="Q61" s="13" t="e">
        <f t="shared" si="21"/>
        <v>#VALUE!</v>
      </c>
      <c r="R61" s="13" t="e">
        <f t="shared" si="21"/>
        <v>#VALUE!</v>
      </c>
      <c r="S61" s="13" t="e">
        <f t="shared" si="21"/>
        <v>#VALUE!</v>
      </c>
      <c r="U61" s="13" t="str">
        <f t="shared" si="18"/>
        <v/>
      </c>
      <c r="V61" s="13" t="str">
        <f t="shared" si="19"/>
        <v/>
      </c>
      <c r="W61" s="13" t="e">
        <f t="shared" si="15"/>
        <v>#VALUE!</v>
      </c>
    </row>
    <row r="62" spans="1:23" x14ac:dyDescent="0.25">
      <c r="A62" s="1366">
        <v>0.57999999999999996</v>
      </c>
      <c r="B62" s="13">
        <f t="shared" si="3"/>
        <v>0</v>
      </c>
      <c r="C62" s="1367">
        <f t="shared" si="17"/>
        <v>0</v>
      </c>
      <c r="D62" s="1434" t="e">
        <f>B62*'Рейтинг МКД'!$D$11+'кривые-экспресс'!C62+IF('Рейтинг МКД'!$D$15="нет",7,10)</f>
        <v>#VALUE!</v>
      </c>
      <c r="E62" s="1434" t="e">
        <f t="shared" si="4"/>
        <v>#VALUE!</v>
      </c>
      <c r="F62" s="1367" t="e">
        <f t="shared" si="5"/>
        <v>#VALUE!</v>
      </c>
      <c r="G62" s="1367" t="e">
        <f t="shared" si="6"/>
        <v>#VALUE!</v>
      </c>
      <c r="H62" s="1367" t="e">
        <f t="shared" si="7"/>
        <v>#VALUE!</v>
      </c>
      <c r="I62" s="1367" t="e">
        <f t="shared" si="8"/>
        <v>#VALUE!</v>
      </c>
      <c r="J62" s="1367" t="e">
        <f t="shared" si="9"/>
        <v>#VALUE!</v>
      </c>
      <c r="K62" s="1367" t="e">
        <f t="shared" si="10"/>
        <v>#VALUE!</v>
      </c>
      <c r="L62" s="1367" t="e">
        <f t="shared" si="11"/>
        <v>#VALUE!</v>
      </c>
      <c r="M62" s="1367" t="e">
        <f t="shared" si="12"/>
        <v>#VALUE!</v>
      </c>
      <c r="N62" s="13" t="e">
        <f t="shared" si="21"/>
        <v>#VALUE!</v>
      </c>
      <c r="O62" s="13" t="e">
        <f t="shared" si="21"/>
        <v>#VALUE!</v>
      </c>
      <c r="P62" s="13" t="e">
        <f t="shared" si="21"/>
        <v>#VALUE!</v>
      </c>
      <c r="Q62" s="13" t="e">
        <f t="shared" si="21"/>
        <v>#VALUE!</v>
      </c>
      <c r="R62" s="13" t="e">
        <f t="shared" si="21"/>
        <v>#VALUE!</v>
      </c>
      <c r="S62" s="13" t="e">
        <f t="shared" si="21"/>
        <v>#VALUE!</v>
      </c>
      <c r="U62" s="13" t="str">
        <f t="shared" si="18"/>
        <v/>
      </c>
      <c r="V62" s="13" t="str">
        <f t="shared" si="19"/>
        <v/>
      </c>
      <c r="W62" s="13" t="e">
        <f t="shared" si="15"/>
        <v>#VALUE!</v>
      </c>
    </row>
    <row r="63" spans="1:23" x14ac:dyDescent="0.25">
      <c r="A63" s="1366">
        <v>0.59</v>
      </c>
      <c r="B63" s="13">
        <f t="shared" si="3"/>
        <v>0</v>
      </c>
      <c r="C63" s="1367">
        <f t="shared" si="17"/>
        <v>0</v>
      </c>
      <c r="D63" s="1434" t="e">
        <f>B63*'Рейтинг МКД'!$D$11+'кривые-экспресс'!C63+IF('Рейтинг МКД'!$D$15="нет",7,10)</f>
        <v>#VALUE!</v>
      </c>
      <c r="E63" s="1434" t="e">
        <f t="shared" si="4"/>
        <v>#VALUE!</v>
      </c>
      <c r="F63" s="1367" t="e">
        <f t="shared" si="5"/>
        <v>#VALUE!</v>
      </c>
      <c r="G63" s="1367" t="e">
        <f t="shared" si="6"/>
        <v>#VALUE!</v>
      </c>
      <c r="H63" s="1367" t="e">
        <f t="shared" si="7"/>
        <v>#VALUE!</v>
      </c>
      <c r="I63" s="1367" t="e">
        <f t="shared" si="8"/>
        <v>#VALUE!</v>
      </c>
      <c r="J63" s="1367" t="e">
        <f t="shared" si="9"/>
        <v>#VALUE!</v>
      </c>
      <c r="K63" s="1367" t="e">
        <f t="shared" si="10"/>
        <v>#VALUE!</v>
      </c>
      <c r="L63" s="1367" t="e">
        <f t="shared" si="11"/>
        <v>#VALUE!</v>
      </c>
      <c r="M63" s="1367" t="e">
        <f t="shared" si="12"/>
        <v>#VALUE!</v>
      </c>
      <c r="N63" s="13" t="e">
        <f t="shared" si="21"/>
        <v>#VALUE!</v>
      </c>
      <c r="O63" s="13" t="e">
        <f t="shared" si="21"/>
        <v>#VALUE!</v>
      </c>
      <c r="P63" s="13" t="e">
        <f t="shared" si="21"/>
        <v>#VALUE!</v>
      </c>
      <c r="Q63" s="13" t="e">
        <f t="shared" si="21"/>
        <v>#VALUE!</v>
      </c>
      <c r="R63" s="13" t="e">
        <f t="shared" si="21"/>
        <v>#VALUE!</v>
      </c>
      <c r="S63" s="13" t="e">
        <f t="shared" si="21"/>
        <v>#VALUE!</v>
      </c>
      <c r="U63" s="13" t="str">
        <f t="shared" si="18"/>
        <v/>
      </c>
      <c r="V63" s="13" t="str">
        <f t="shared" si="19"/>
        <v/>
      </c>
      <c r="W63" s="13" t="e">
        <f t="shared" si="15"/>
        <v>#VALUE!</v>
      </c>
    </row>
    <row r="64" spans="1:23" x14ac:dyDescent="0.25">
      <c r="A64" s="1366">
        <v>0.6</v>
      </c>
      <c r="B64" s="13">
        <f t="shared" si="3"/>
        <v>0</v>
      </c>
      <c r="C64" s="1367">
        <f t="shared" si="17"/>
        <v>0</v>
      </c>
      <c r="D64" s="1434" t="e">
        <f>B64*'Рейтинг МКД'!$D$11+'кривые-экспресс'!C64+IF('Рейтинг МКД'!$D$15="нет",7,10)</f>
        <v>#VALUE!</v>
      </c>
      <c r="E64" s="1434" t="e">
        <f t="shared" si="4"/>
        <v>#VALUE!</v>
      </c>
      <c r="F64" s="1367" t="e">
        <f t="shared" si="5"/>
        <v>#VALUE!</v>
      </c>
      <c r="G64" s="1367" t="e">
        <f t="shared" si="6"/>
        <v>#VALUE!</v>
      </c>
      <c r="H64" s="1367" t="e">
        <f t="shared" si="7"/>
        <v>#VALUE!</v>
      </c>
      <c r="I64" s="1367" t="e">
        <f t="shared" si="8"/>
        <v>#VALUE!</v>
      </c>
      <c r="J64" s="1367" t="e">
        <f t="shared" si="9"/>
        <v>#VALUE!</v>
      </c>
      <c r="K64" s="1367" t="e">
        <f t="shared" si="10"/>
        <v>#VALUE!</v>
      </c>
      <c r="L64" s="1367" t="e">
        <f t="shared" si="11"/>
        <v>#VALUE!</v>
      </c>
      <c r="M64" s="1367" t="e">
        <f t="shared" si="12"/>
        <v>#VALUE!</v>
      </c>
      <c r="N64" s="13" t="e">
        <f t="shared" si="21"/>
        <v>#VALUE!</v>
      </c>
      <c r="O64" s="13" t="e">
        <f t="shared" si="21"/>
        <v>#VALUE!</v>
      </c>
      <c r="P64" s="13" t="e">
        <f t="shared" si="21"/>
        <v>#VALUE!</v>
      </c>
      <c r="Q64" s="13" t="e">
        <f t="shared" si="21"/>
        <v>#VALUE!</v>
      </c>
      <c r="R64" s="13" t="e">
        <f t="shared" si="21"/>
        <v>#VALUE!</v>
      </c>
      <c r="S64" s="13" t="e">
        <f t="shared" si="21"/>
        <v>#VALUE!</v>
      </c>
      <c r="U64" s="13" t="str">
        <f t="shared" si="18"/>
        <v/>
      </c>
      <c r="V64" s="13" t="str">
        <f t="shared" si="19"/>
        <v/>
      </c>
      <c r="W64" s="13" t="e">
        <f t="shared" si="15"/>
        <v>#VALUE!</v>
      </c>
    </row>
    <row r="65" spans="1:23" x14ac:dyDescent="0.25">
      <c r="A65" s="1366">
        <v>0.61</v>
      </c>
      <c r="B65" s="13">
        <f t="shared" si="3"/>
        <v>0</v>
      </c>
      <c r="C65" s="1367">
        <f t="shared" si="17"/>
        <v>0</v>
      </c>
      <c r="D65" s="1434" t="e">
        <f>B65*'Рейтинг МКД'!$D$11+'кривые-экспресс'!C65+IF('Рейтинг МКД'!$D$15="нет",7,10)</f>
        <v>#VALUE!</v>
      </c>
      <c r="E65" s="1434" t="e">
        <f t="shared" si="4"/>
        <v>#VALUE!</v>
      </c>
      <c r="F65" s="1367" t="e">
        <f t="shared" si="5"/>
        <v>#VALUE!</v>
      </c>
      <c r="G65" s="1367" t="e">
        <f t="shared" si="6"/>
        <v>#VALUE!</v>
      </c>
      <c r="H65" s="1367" t="e">
        <f t="shared" si="7"/>
        <v>#VALUE!</v>
      </c>
      <c r="I65" s="1367" t="e">
        <f t="shared" si="8"/>
        <v>#VALUE!</v>
      </c>
      <c r="J65" s="1367" t="e">
        <f t="shared" si="9"/>
        <v>#VALUE!</v>
      </c>
      <c r="K65" s="1367" t="e">
        <f t="shared" si="10"/>
        <v>#VALUE!</v>
      </c>
      <c r="L65" s="1367" t="e">
        <f t="shared" si="11"/>
        <v>#VALUE!</v>
      </c>
      <c r="M65" s="1367" t="e">
        <f t="shared" si="12"/>
        <v>#VALUE!</v>
      </c>
      <c r="N65" s="13" t="e">
        <f t="shared" si="21"/>
        <v>#VALUE!</v>
      </c>
      <c r="O65" s="13" t="e">
        <f t="shared" si="21"/>
        <v>#VALUE!</v>
      </c>
      <c r="P65" s="13" t="e">
        <f t="shared" si="21"/>
        <v>#VALUE!</v>
      </c>
      <c r="Q65" s="13" t="e">
        <f t="shared" si="21"/>
        <v>#VALUE!</v>
      </c>
      <c r="R65" s="13" t="e">
        <f t="shared" si="21"/>
        <v>#VALUE!</v>
      </c>
      <c r="S65" s="13" t="e">
        <f t="shared" si="21"/>
        <v>#VALUE!</v>
      </c>
      <c r="U65" s="13" t="str">
        <f t="shared" si="18"/>
        <v/>
      </c>
      <c r="V65" s="13" t="str">
        <f t="shared" si="19"/>
        <v/>
      </c>
      <c r="W65" s="13" t="e">
        <f t="shared" si="15"/>
        <v>#VALUE!</v>
      </c>
    </row>
    <row r="66" spans="1:23" x14ac:dyDescent="0.25">
      <c r="A66" s="1366">
        <v>0.62</v>
      </c>
      <c r="B66" s="13">
        <f t="shared" si="3"/>
        <v>0</v>
      </c>
      <c r="C66" s="1367">
        <f t="shared" si="17"/>
        <v>0</v>
      </c>
      <c r="D66" s="1434" t="e">
        <f>B66*'Рейтинг МКД'!$D$11+'кривые-экспресс'!C66+IF('Рейтинг МКД'!$D$15="нет",7,10)</f>
        <v>#VALUE!</v>
      </c>
      <c r="E66" s="1434" t="e">
        <f t="shared" si="4"/>
        <v>#VALUE!</v>
      </c>
      <c r="F66" s="1367" t="e">
        <f t="shared" si="5"/>
        <v>#VALUE!</v>
      </c>
      <c r="G66" s="1367" t="e">
        <f t="shared" si="6"/>
        <v>#VALUE!</v>
      </c>
      <c r="H66" s="1367" t="e">
        <f t="shared" si="7"/>
        <v>#VALUE!</v>
      </c>
      <c r="I66" s="1367" t="e">
        <f t="shared" si="8"/>
        <v>#VALUE!</v>
      </c>
      <c r="J66" s="1367" t="e">
        <f t="shared" si="9"/>
        <v>#VALUE!</v>
      </c>
      <c r="K66" s="1367" t="e">
        <f t="shared" si="10"/>
        <v>#VALUE!</v>
      </c>
      <c r="L66" s="1367" t="e">
        <f t="shared" si="11"/>
        <v>#VALUE!</v>
      </c>
      <c r="M66" s="1367" t="e">
        <f t="shared" si="12"/>
        <v>#VALUE!</v>
      </c>
      <c r="N66" s="13" t="e">
        <f t="shared" si="21"/>
        <v>#VALUE!</v>
      </c>
      <c r="O66" s="13" t="e">
        <f t="shared" si="21"/>
        <v>#VALUE!</v>
      </c>
      <c r="P66" s="13" t="e">
        <f t="shared" si="21"/>
        <v>#VALUE!</v>
      </c>
      <c r="Q66" s="13" t="e">
        <f t="shared" si="21"/>
        <v>#VALUE!</v>
      </c>
      <c r="R66" s="13" t="e">
        <f t="shared" si="21"/>
        <v>#VALUE!</v>
      </c>
      <c r="S66" s="13" t="e">
        <f t="shared" si="21"/>
        <v>#VALUE!</v>
      </c>
      <c r="U66" s="13" t="str">
        <f t="shared" si="18"/>
        <v/>
      </c>
      <c r="V66" s="13" t="str">
        <f t="shared" si="19"/>
        <v/>
      </c>
      <c r="W66" s="13" t="e">
        <f t="shared" si="15"/>
        <v>#VALUE!</v>
      </c>
    </row>
    <row r="67" spans="1:23" x14ac:dyDescent="0.25">
      <c r="A67" s="1366">
        <v>0.63</v>
      </c>
      <c r="B67" s="13">
        <f t="shared" si="3"/>
        <v>0</v>
      </c>
      <c r="C67" s="1367">
        <f t="shared" si="17"/>
        <v>0</v>
      </c>
      <c r="D67" s="1434" t="e">
        <f>B67*'Рейтинг МКД'!$D$11+'кривые-экспресс'!C67+IF('Рейтинг МКД'!$D$15="нет",7,10)</f>
        <v>#VALUE!</v>
      </c>
      <c r="E67" s="1434" t="e">
        <f t="shared" si="4"/>
        <v>#VALUE!</v>
      </c>
      <c r="F67" s="1367" t="e">
        <f t="shared" si="5"/>
        <v>#VALUE!</v>
      </c>
      <c r="G67" s="1367" t="e">
        <f t="shared" si="6"/>
        <v>#VALUE!</v>
      </c>
      <c r="H67" s="1367" t="e">
        <f t="shared" si="7"/>
        <v>#VALUE!</v>
      </c>
      <c r="I67" s="1367" t="e">
        <f t="shared" si="8"/>
        <v>#VALUE!</v>
      </c>
      <c r="J67" s="1367" t="e">
        <f t="shared" si="9"/>
        <v>#VALUE!</v>
      </c>
      <c r="K67" s="1367" t="e">
        <f t="shared" si="10"/>
        <v>#VALUE!</v>
      </c>
      <c r="L67" s="1367" t="e">
        <f t="shared" si="11"/>
        <v>#VALUE!</v>
      </c>
      <c r="M67" s="1367" t="e">
        <f t="shared" si="12"/>
        <v>#VALUE!</v>
      </c>
      <c r="N67" s="13" t="e">
        <f t="shared" si="21"/>
        <v>#VALUE!</v>
      </c>
      <c r="O67" s="13" t="e">
        <f t="shared" si="21"/>
        <v>#VALUE!</v>
      </c>
      <c r="P67" s="13" t="e">
        <f t="shared" si="21"/>
        <v>#VALUE!</v>
      </c>
      <c r="Q67" s="13" t="e">
        <f t="shared" si="21"/>
        <v>#VALUE!</v>
      </c>
      <c r="R67" s="13" t="e">
        <f t="shared" si="21"/>
        <v>#VALUE!</v>
      </c>
      <c r="S67" s="13" t="e">
        <f t="shared" si="21"/>
        <v>#VALUE!</v>
      </c>
      <c r="U67" s="13" t="str">
        <f t="shared" si="18"/>
        <v/>
      </c>
      <c r="V67" s="13" t="str">
        <f t="shared" si="19"/>
        <v/>
      </c>
      <c r="W67" s="13" t="e">
        <f t="shared" si="15"/>
        <v>#VALUE!</v>
      </c>
    </row>
    <row r="68" spans="1:23" x14ac:dyDescent="0.25">
      <c r="A68" s="1366">
        <v>0.64</v>
      </c>
      <c r="B68" s="13">
        <f t="shared" si="3"/>
        <v>0</v>
      </c>
      <c r="C68" s="1367">
        <f t="shared" si="17"/>
        <v>0</v>
      </c>
      <c r="D68" s="1434" t="e">
        <f>B68*'Рейтинг МКД'!$D$11+'кривые-экспресс'!C68+IF('Рейтинг МКД'!$D$15="нет",7,10)</f>
        <v>#VALUE!</v>
      </c>
      <c r="E68" s="1434" t="e">
        <f t="shared" si="4"/>
        <v>#VALUE!</v>
      </c>
      <c r="F68" s="1367" t="e">
        <f t="shared" si="5"/>
        <v>#VALUE!</v>
      </c>
      <c r="G68" s="1367" t="e">
        <f t="shared" si="6"/>
        <v>#VALUE!</v>
      </c>
      <c r="H68" s="1367" t="e">
        <f t="shared" si="7"/>
        <v>#VALUE!</v>
      </c>
      <c r="I68" s="1367" t="e">
        <f t="shared" si="8"/>
        <v>#VALUE!</v>
      </c>
      <c r="J68" s="1367" t="e">
        <f t="shared" si="9"/>
        <v>#VALUE!</v>
      </c>
      <c r="K68" s="1367" t="e">
        <f t="shared" si="10"/>
        <v>#VALUE!</v>
      </c>
      <c r="L68" s="1367" t="e">
        <f t="shared" si="11"/>
        <v>#VALUE!</v>
      </c>
      <c r="M68" s="1367" t="e">
        <f t="shared" si="12"/>
        <v>#VALUE!</v>
      </c>
      <c r="N68" s="13" t="e">
        <f t="shared" si="21"/>
        <v>#VALUE!</v>
      </c>
      <c r="O68" s="13" t="e">
        <f t="shared" si="21"/>
        <v>#VALUE!</v>
      </c>
      <c r="P68" s="13" t="e">
        <f t="shared" si="21"/>
        <v>#VALUE!</v>
      </c>
      <c r="Q68" s="13" t="e">
        <f t="shared" si="21"/>
        <v>#VALUE!</v>
      </c>
      <c r="R68" s="13" t="e">
        <f t="shared" si="21"/>
        <v>#VALUE!</v>
      </c>
      <c r="S68" s="13" t="e">
        <f t="shared" si="21"/>
        <v>#VALUE!</v>
      </c>
      <c r="U68" s="13" t="str">
        <f t="shared" si="18"/>
        <v/>
      </c>
      <c r="V68" s="13" t="str">
        <f t="shared" si="19"/>
        <v/>
      </c>
      <c r="W68" s="13" t="e">
        <f t="shared" si="15"/>
        <v>#VALUE!</v>
      </c>
    </row>
    <row r="69" spans="1:23" x14ac:dyDescent="0.25">
      <c r="A69" s="1366">
        <v>0.65</v>
      </c>
      <c r="B69" s="13">
        <f t="shared" si="3"/>
        <v>0</v>
      </c>
      <c r="C69" s="1367">
        <f t="shared" ref="C69:C100" si="22">$B$106*B277+$C$106*C277+$D$106*D277+$E$106*E277+$F$106*F277+$G$106*G277+$H$106*H277+$I$106*I277+$J$106*J277+$K$106*K277+$L$106*L277+$M$106*M277</f>
        <v>0</v>
      </c>
      <c r="D69" s="1434" t="e">
        <f>B69*'Рейтинг МКД'!$D$11+'кривые-экспресс'!C69+IF('Рейтинг МКД'!$D$15="нет",7,10)</f>
        <v>#VALUE!</v>
      </c>
      <c r="E69" s="1434" t="e">
        <f t="shared" si="4"/>
        <v>#VALUE!</v>
      </c>
      <c r="F69" s="1367" t="e">
        <f t="shared" si="5"/>
        <v>#VALUE!</v>
      </c>
      <c r="G69" s="1367" t="e">
        <f t="shared" si="6"/>
        <v>#VALUE!</v>
      </c>
      <c r="H69" s="1367" t="e">
        <f t="shared" si="7"/>
        <v>#VALUE!</v>
      </c>
      <c r="I69" s="1367" t="e">
        <f t="shared" si="8"/>
        <v>#VALUE!</v>
      </c>
      <c r="J69" s="1367" t="e">
        <f t="shared" si="9"/>
        <v>#VALUE!</v>
      </c>
      <c r="K69" s="1367" t="e">
        <f t="shared" si="10"/>
        <v>#VALUE!</v>
      </c>
      <c r="L69" s="1367" t="e">
        <f t="shared" si="11"/>
        <v>#VALUE!</v>
      </c>
      <c r="M69" s="1367" t="e">
        <f t="shared" si="12"/>
        <v>#VALUE!</v>
      </c>
      <c r="N69" s="13" t="e">
        <f t="shared" si="21"/>
        <v>#VALUE!</v>
      </c>
      <c r="O69" s="13" t="e">
        <f t="shared" si="21"/>
        <v>#VALUE!</v>
      </c>
      <c r="P69" s="13" t="e">
        <f t="shared" si="21"/>
        <v>#VALUE!</v>
      </c>
      <c r="Q69" s="13" t="e">
        <f t="shared" si="21"/>
        <v>#VALUE!</v>
      </c>
      <c r="R69" s="13" t="e">
        <f t="shared" si="21"/>
        <v>#VALUE!</v>
      </c>
      <c r="S69" s="13" t="e">
        <f t="shared" si="21"/>
        <v>#VALUE!</v>
      </c>
      <c r="U69" s="13" t="str">
        <f t="shared" ref="U69:U103" si="23">IF(AND($U$3&gt;=B69,$U$3&lt;B70),$U$3,"")</f>
        <v/>
      </c>
      <c r="V69" s="13" t="str">
        <f t="shared" ref="V69:V103" si="24">IF(AND($V$3&gt;=C69,$V$3&lt;C70),$V$3,"")</f>
        <v/>
      </c>
      <c r="W69" s="13" t="e">
        <f t="shared" si="15"/>
        <v>#VALUE!</v>
      </c>
    </row>
    <row r="70" spans="1:23" x14ac:dyDescent="0.25">
      <c r="A70" s="1366">
        <v>0.66</v>
      </c>
      <c r="B70" s="13">
        <f t="shared" ref="B70:B104" si="25">$B$106*B173+$C$106*C173+$D$106*D173+$E$106*E173+$F$106*F173+$G$106*G173+$H$106*H173+$I$106*I173+$J$106*J173+$K$106*K173+$L$106*L173+$M$106*M173</f>
        <v>0</v>
      </c>
      <c r="C70" s="1367">
        <f t="shared" si="22"/>
        <v>0</v>
      </c>
      <c r="D70" s="1434" t="e">
        <f>B70*'Рейтинг МКД'!$D$11+'кривые-экспресс'!C70+IF('Рейтинг МКД'!$D$15="нет",7,10)</f>
        <v>#VALUE!</v>
      </c>
      <c r="E70" s="1434" t="e">
        <f t="shared" ref="E70:E104" si="26">IF(D70&lt;=$N$423,D70,"")</f>
        <v>#VALUE!</v>
      </c>
      <c r="F70" s="1367" t="e">
        <f t="shared" ref="F70:F104" si="27">IF(AND($D70&lt;=$N$424,$D70&gt;$N$423),$D70,"")</f>
        <v>#VALUE!</v>
      </c>
      <c r="G70" s="1367" t="e">
        <f t="shared" ref="G70:G104" si="28">IF(AND($D70&lt;=$N$425,$D70&gt;$N$424),$D70,"")</f>
        <v>#VALUE!</v>
      </c>
      <c r="H70" s="1367" t="e">
        <f t="shared" ref="H70:H104" si="29">IF(AND($D70&lt;=$N$426,$D70&gt;$N$425),$D70,"")</f>
        <v>#VALUE!</v>
      </c>
      <c r="I70" s="1367" t="e">
        <f t="shared" ref="I70:I104" si="30">IF(AND($D70&lt;=$N$427,$D70&gt;$N$426),$D70,"")</f>
        <v>#VALUE!</v>
      </c>
      <c r="J70" s="1367" t="e">
        <f t="shared" ref="J70:J104" si="31">IF(AND($D70&lt;=$N$428,$D70&gt;$N$427),$D70,"")</f>
        <v>#VALUE!</v>
      </c>
      <c r="K70" s="1367" t="e">
        <f t="shared" ref="K70:K104" si="32">IF(AND($D70&lt;=$N$429,$D70&gt;$N$428),$D70,"")</f>
        <v>#VALUE!</v>
      </c>
      <c r="L70" s="1367" t="e">
        <f t="shared" ref="L70:L104" si="33">IF(AND($D70&lt;=$N$430,$D70&gt;$N$429),$D70,"")</f>
        <v>#VALUE!</v>
      </c>
      <c r="M70" s="1367" t="e">
        <f t="shared" ref="M70:M104" si="34">IF(AND($D70&gt;$N$430),$D70,"")</f>
        <v>#VALUE!</v>
      </c>
      <c r="N70" s="13" t="e">
        <f t="shared" si="21"/>
        <v>#VALUE!</v>
      </c>
      <c r="O70" s="13" t="e">
        <f t="shared" si="21"/>
        <v>#VALUE!</v>
      </c>
      <c r="P70" s="13" t="e">
        <f t="shared" si="21"/>
        <v>#VALUE!</v>
      </c>
      <c r="Q70" s="13" t="e">
        <f t="shared" si="21"/>
        <v>#VALUE!</v>
      </c>
      <c r="R70" s="13" t="e">
        <f t="shared" si="21"/>
        <v>#VALUE!</v>
      </c>
      <c r="S70" s="13" t="e">
        <f t="shared" si="21"/>
        <v>#VALUE!</v>
      </c>
      <c r="U70" s="13" t="str">
        <f t="shared" si="23"/>
        <v/>
      </c>
      <c r="V70" s="13" t="str">
        <f t="shared" si="24"/>
        <v/>
      </c>
      <c r="W70" s="13" t="e">
        <f t="shared" si="15"/>
        <v>#VALUE!</v>
      </c>
    </row>
    <row r="71" spans="1:23" x14ac:dyDescent="0.25">
      <c r="A71" s="1366">
        <v>0.67</v>
      </c>
      <c r="B71" s="13">
        <f t="shared" si="25"/>
        <v>0</v>
      </c>
      <c r="C71" s="1367">
        <f t="shared" si="22"/>
        <v>0</v>
      </c>
      <c r="D71" s="1434" t="e">
        <f>B71*'Рейтинг МКД'!$D$11+'кривые-экспресс'!C71+IF('Рейтинг МКД'!$D$15="нет",7,10)</f>
        <v>#VALUE!</v>
      </c>
      <c r="E71" s="1434" t="e">
        <f t="shared" si="26"/>
        <v>#VALUE!</v>
      </c>
      <c r="F71" s="1367" t="e">
        <f t="shared" si="27"/>
        <v>#VALUE!</v>
      </c>
      <c r="G71" s="1367" t="e">
        <f t="shared" si="28"/>
        <v>#VALUE!</v>
      </c>
      <c r="H71" s="1367" t="e">
        <f t="shared" si="29"/>
        <v>#VALUE!</v>
      </c>
      <c r="I71" s="1367" t="e">
        <f t="shared" si="30"/>
        <v>#VALUE!</v>
      </c>
      <c r="J71" s="1367" t="e">
        <f t="shared" si="31"/>
        <v>#VALUE!</v>
      </c>
      <c r="K71" s="1367" t="e">
        <f t="shared" si="32"/>
        <v>#VALUE!</v>
      </c>
      <c r="L71" s="1367" t="e">
        <f t="shared" si="33"/>
        <v>#VALUE!</v>
      </c>
      <c r="M71" s="1367" t="e">
        <f t="shared" si="34"/>
        <v>#VALUE!</v>
      </c>
      <c r="N71" s="13" t="e">
        <f t="shared" ref="N71:S86" si="35">N70</f>
        <v>#VALUE!</v>
      </c>
      <c r="O71" s="13" t="e">
        <f t="shared" si="35"/>
        <v>#VALUE!</v>
      </c>
      <c r="P71" s="13" t="e">
        <f t="shared" si="35"/>
        <v>#VALUE!</v>
      </c>
      <c r="Q71" s="13" t="e">
        <f t="shared" si="35"/>
        <v>#VALUE!</v>
      </c>
      <c r="R71" s="13" t="e">
        <f t="shared" si="35"/>
        <v>#VALUE!</v>
      </c>
      <c r="S71" s="13" t="e">
        <f t="shared" si="35"/>
        <v>#VALUE!</v>
      </c>
      <c r="U71" s="13" t="str">
        <f t="shared" si="23"/>
        <v/>
      </c>
      <c r="V71" s="13" t="str">
        <f t="shared" si="24"/>
        <v/>
      </c>
      <c r="W71" s="13" t="e">
        <f t="shared" ref="W71:W103" si="36">IF(AND($W$3&gt;=SUM(E71:M71),$W$3&lt;SUM(E72:M72)),$W$3,"")</f>
        <v>#VALUE!</v>
      </c>
    </row>
    <row r="72" spans="1:23" x14ac:dyDescent="0.25">
      <c r="A72" s="1366">
        <v>0.68</v>
      </c>
      <c r="B72" s="13">
        <f t="shared" si="25"/>
        <v>0</v>
      </c>
      <c r="C72" s="1367">
        <f t="shared" si="22"/>
        <v>0</v>
      </c>
      <c r="D72" s="1434" t="e">
        <f>B72*'Рейтинг МКД'!$D$11+'кривые-экспресс'!C72+IF('Рейтинг МКД'!$D$15="нет",7,10)</f>
        <v>#VALUE!</v>
      </c>
      <c r="E72" s="1434" t="e">
        <f t="shared" si="26"/>
        <v>#VALUE!</v>
      </c>
      <c r="F72" s="1367" t="e">
        <f t="shared" si="27"/>
        <v>#VALUE!</v>
      </c>
      <c r="G72" s="1367" t="e">
        <f t="shared" si="28"/>
        <v>#VALUE!</v>
      </c>
      <c r="H72" s="1367" t="e">
        <f t="shared" si="29"/>
        <v>#VALUE!</v>
      </c>
      <c r="I72" s="1367" t="e">
        <f t="shared" si="30"/>
        <v>#VALUE!</v>
      </c>
      <c r="J72" s="1367" t="e">
        <f t="shared" si="31"/>
        <v>#VALUE!</v>
      </c>
      <c r="K72" s="1367" t="e">
        <f t="shared" si="32"/>
        <v>#VALUE!</v>
      </c>
      <c r="L72" s="1367" t="e">
        <f t="shared" si="33"/>
        <v>#VALUE!</v>
      </c>
      <c r="M72" s="1367" t="e">
        <f t="shared" si="34"/>
        <v>#VALUE!</v>
      </c>
      <c r="N72" s="13" t="e">
        <f t="shared" si="35"/>
        <v>#VALUE!</v>
      </c>
      <c r="O72" s="13" t="e">
        <f t="shared" si="35"/>
        <v>#VALUE!</v>
      </c>
      <c r="P72" s="13" t="e">
        <f t="shared" si="35"/>
        <v>#VALUE!</v>
      </c>
      <c r="Q72" s="13" t="e">
        <f t="shared" si="35"/>
        <v>#VALUE!</v>
      </c>
      <c r="R72" s="13" t="e">
        <f t="shared" si="35"/>
        <v>#VALUE!</v>
      </c>
      <c r="S72" s="13" t="e">
        <f t="shared" si="35"/>
        <v>#VALUE!</v>
      </c>
      <c r="U72" s="13" t="str">
        <f t="shared" si="23"/>
        <v/>
      </c>
      <c r="V72" s="13" t="str">
        <f t="shared" si="24"/>
        <v/>
      </c>
      <c r="W72" s="13" t="e">
        <f t="shared" si="36"/>
        <v>#VALUE!</v>
      </c>
    </row>
    <row r="73" spans="1:23" x14ac:dyDescent="0.25">
      <c r="A73" s="1366">
        <v>0.69</v>
      </c>
      <c r="B73" s="13">
        <f t="shared" si="25"/>
        <v>0</v>
      </c>
      <c r="C73" s="1367">
        <f t="shared" si="22"/>
        <v>0</v>
      </c>
      <c r="D73" s="1434" t="e">
        <f>B73*'Рейтинг МКД'!$D$11+'кривые-экспресс'!C73+IF('Рейтинг МКД'!$D$15="нет",7,10)</f>
        <v>#VALUE!</v>
      </c>
      <c r="E73" s="1434" t="e">
        <f t="shared" si="26"/>
        <v>#VALUE!</v>
      </c>
      <c r="F73" s="1367" t="e">
        <f t="shared" si="27"/>
        <v>#VALUE!</v>
      </c>
      <c r="G73" s="1367" t="e">
        <f t="shared" si="28"/>
        <v>#VALUE!</v>
      </c>
      <c r="H73" s="1367" t="e">
        <f t="shared" si="29"/>
        <v>#VALUE!</v>
      </c>
      <c r="I73" s="1367" t="e">
        <f t="shared" si="30"/>
        <v>#VALUE!</v>
      </c>
      <c r="J73" s="1367" t="e">
        <f t="shared" si="31"/>
        <v>#VALUE!</v>
      </c>
      <c r="K73" s="1367" t="e">
        <f t="shared" si="32"/>
        <v>#VALUE!</v>
      </c>
      <c r="L73" s="1367" t="e">
        <f t="shared" si="33"/>
        <v>#VALUE!</v>
      </c>
      <c r="M73" s="1367" t="e">
        <f t="shared" si="34"/>
        <v>#VALUE!</v>
      </c>
      <c r="N73" s="13" t="e">
        <f t="shared" si="35"/>
        <v>#VALUE!</v>
      </c>
      <c r="O73" s="13" t="e">
        <f t="shared" si="35"/>
        <v>#VALUE!</v>
      </c>
      <c r="P73" s="13" t="e">
        <f t="shared" si="35"/>
        <v>#VALUE!</v>
      </c>
      <c r="Q73" s="13" t="e">
        <f t="shared" si="35"/>
        <v>#VALUE!</v>
      </c>
      <c r="R73" s="13" t="e">
        <f t="shared" si="35"/>
        <v>#VALUE!</v>
      </c>
      <c r="S73" s="13" t="e">
        <f t="shared" si="35"/>
        <v>#VALUE!</v>
      </c>
      <c r="U73" s="13" t="str">
        <f t="shared" si="23"/>
        <v/>
      </c>
      <c r="V73" s="13" t="str">
        <f t="shared" si="24"/>
        <v/>
      </c>
      <c r="W73" s="13" t="e">
        <f t="shared" si="36"/>
        <v>#VALUE!</v>
      </c>
    </row>
    <row r="74" spans="1:23" x14ac:dyDescent="0.25">
      <c r="A74" s="1366">
        <v>0.7</v>
      </c>
      <c r="B74" s="13">
        <f t="shared" si="25"/>
        <v>0</v>
      </c>
      <c r="C74" s="1367">
        <f t="shared" si="22"/>
        <v>0</v>
      </c>
      <c r="D74" s="1434" t="e">
        <f>B74*'Рейтинг МКД'!$D$11+'кривые-экспресс'!C74+IF('Рейтинг МКД'!$D$15="нет",7,10)</f>
        <v>#VALUE!</v>
      </c>
      <c r="E74" s="1434" t="e">
        <f t="shared" si="26"/>
        <v>#VALUE!</v>
      </c>
      <c r="F74" s="1367" t="e">
        <f t="shared" si="27"/>
        <v>#VALUE!</v>
      </c>
      <c r="G74" s="1367" t="e">
        <f t="shared" si="28"/>
        <v>#VALUE!</v>
      </c>
      <c r="H74" s="1367" t="e">
        <f t="shared" si="29"/>
        <v>#VALUE!</v>
      </c>
      <c r="I74" s="1367" t="e">
        <f t="shared" si="30"/>
        <v>#VALUE!</v>
      </c>
      <c r="J74" s="1367" t="e">
        <f t="shared" si="31"/>
        <v>#VALUE!</v>
      </c>
      <c r="K74" s="1367" t="e">
        <f t="shared" si="32"/>
        <v>#VALUE!</v>
      </c>
      <c r="L74" s="1367" t="e">
        <f t="shared" si="33"/>
        <v>#VALUE!</v>
      </c>
      <c r="M74" s="1367" t="e">
        <f t="shared" si="34"/>
        <v>#VALUE!</v>
      </c>
      <c r="N74" s="13" t="e">
        <f t="shared" si="35"/>
        <v>#VALUE!</v>
      </c>
      <c r="O74" s="13" t="e">
        <f t="shared" si="35"/>
        <v>#VALUE!</v>
      </c>
      <c r="P74" s="13" t="e">
        <f t="shared" si="35"/>
        <v>#VALUE!</v>
      </c>
      <c r="Q74" s="13" t="e">
        <f t="shared" si="35"/>
        <v>#VALUE!</v>
      </c>
      <c r="R74" s="13" t="e">
        <f t="shared" si="35"/>
        <v>#VALUE!</v>
      </c>
      <c r="S74" s="13" t="e">
        <f t="shared" si="35"/>
        <v>#VALUE!</v>
      </c>
      <c r="U74" s="13" t="str">
        <f t="shared" si="23"/>
        <v/>
      </c>
      <c r="V74" s="13" t="str">
        <f t="shared" si="24"/>
        <v/>
      </c>
      <c r="W74" s="13" t="e">
        <f t="shared" si="36"/>
        <v>#VALUE!</v>
      </c>
    </row>
    <row r="75" spans="1:23" x14ac:dyDescent="0.25">
      <c r="A75" s="1366">
        <v>0.71</v>
      </c>
      <c r="B75" s="13">
        <f t="shared" si="25"/>
        <v>0</v>
      </c>
      <c r="C75" s="1367">
        <f t="shared" si="22"/>
        <v>0</v>
      </c>
      <c r="D75" s="1434" t="e">
        <f>B75*'Рейтинг МКД'!$D$11+'кривые-экспресс'!C75+IF('Рейтинг МКД'!$D$15="нет",7,10)</f>
        <v>#VALUE!</v>
      </c>
      <c r="E75" s="1434" t="e">
        <f t="shared" si="26"/>
        <v>#VALUE!</v>
      </c>
      <c r="F75" s="1367" t="e">
        <f t="shared" si="27"/>
        <v>#VALUE!</v>
      </c>
      <c r="G75" s="1367" t="e">
        <f t="shared" si="28"/>
        <v>#VALUE!</v>
      </c>
      <c r="H75" s="1367" t="e">
        <f t="shared" si="29"/>
        <v>#VALUE!</v>
      </c>
      <c r="I75" s="1367" t="e">
        <f t="shared" si="30"/>
        <v>#VALUE!</v>
      </c>
      <c r="J75" s="1367" t="e">
        <f t="shared" si="31"/>
        <v>#VALUE!</v>
      </c>
      <c r="K75" s="1367" t="e">
        <f t="shared" si="32"/>
        <v>#VALUE!</v>
      </c>
      <c r="L75" s="1367" t="e">
        <f t="shared" si="33"/>
        <v>#VALUE!</v>
      </c>
      <c r="M75" s="1367" t="e">
        <f t="shared" si="34"/>
        <v>#VALUE!</v>
      </c>
      <c r="N75" s="13" t="e">
        <f t="shared" si="35"/>
        <v>#VALUE!</v>
      </c>
      <c r="O75" s="13" t="e">
        <f t="shared" si="35"/>
        <v>#VALUE!</v>
      </c>
      <c r="P75" s="13" t="e">
        <f t="shared" si="35"/>
        <v>#VALUE!</v>
      </c>
      <c r="Q75" s="13" t="e">
        <f t="shared" si="35"/>
        <v>#VALUE!</v>
      </c>
      <c r="R75" s="13" t="e">
        <f t="shared" si="35"/>
        <v>#VALUE!</v>
      </c>
      <c r="S75" s="13" t="e">
        <f t="shared" si="35"/>
        <v>#VALUE!</v>
      </c>
      <c r="U75" s="13" t="str">
        <f t="shared" si="23"/>
        <v/>
      </c>
      <c r="V75" s="13" t="str">
        <f t="shared" si="24"/>
        <v/>
      </c>
      <c r="W75" s="13" t="e">
        <f t="shared" si="36"/>
        <v>#VALUE!</v>
      </c>
    </row>
    <row r="76" spans="1:23" x14ac:dyDescent="0.25">
      <c r="A76" s="1366">
        <v>0.72</v>
      </c>
      <c r="B76" s="13">
        <f t="shared" si="25"/>
        <v>0</v>
      </c>
      <c r="C76" s="1367">
        <f t="shared" si="22"/>
        <v>0</v>
      </c>
      <c r="D76" s="1434" t="e">
        <f>B76*'Рейтинг МКД'!$D$11+'кривые-экспресс'!C76+IF('Рейтинг МКД'!$D$15="нет",7,10)</f>
        <v>#VALUE!</v>
      </c>
      <c r="E76" s="1434" t="e">
        <f t="shared" si="26"/>
        <v>#VALUE!</v>
      </c>
      <c r="F76" s="1367" t="e">
        <f t="shared" si="27"/>
        <v>#VALUE!</v>
      </c>
      <c r="G76" s="1367" t="e">
        <f t="shared" si="28"/>
        <v>#VALUE!</v>
      </c>
      <c r="H76" s="1367" t="e">
        <f t="shared" si="29"/>
        <v>#VALUE!</v>
      </c>
      <c r="I76" s="1367" t="e">
        <f t="shared" si="30"/>
        <v>#VALUE!</v>
      </c>
      <c r="J76" s="1367" t="e">
        <f t="shared" si="31"/>
        <v>#VALUE!</v>
      </c>
      <c r="K76" s="1367" t="e">
        <f t="shared" si="32"/>
        <v>#VALUE!</v>
      </c>
      <c r="L76" s="1367" t="e">
        <f t="shared" si="33"/>
        <v>#VALUE!</v>
      </c>
      <c r="M76" s="1367" t="e">
        <f t="shared" si="34"/>
        <v>#VALUE!</v>
      </c>
      <c r="N76" s="13" t="e">
        <f t="shared" si="35"/>
        <v>#VALUE!</v>
      </c>
      <c r="O76" s="13" t="e">
        <f t="shared" si="35"/>
        <v>#VALUE!</v>
      </c>
      <c r="P76" s="13" t="e">
        <f t="shared" si="35"/>
        <v>#VALUE!</v>
      </c>
      <c r="Q76" s="13" t="e">
        <f t="shared" si="35"/>
        <v>#VALUE!</v>
      </c>
      <c r="R76" s="13" t="e">
        <f t="shared" si="35"/>
        <v>#VALUE!</v>
      </c>
      <c r="S76" s="13" t="e">
        <f t="shared" si="35"/>
        <v>#VALUE!</v>
      </c>
      <c r="U76" s="13" t="str">
        <f t="shared" si="23"/>
        <v/>
      </c>
      <c r="V76" s="13" t="str">
        <f t="shared" si="24"/>
        <v/>
      </c>
      <c r="W76" s="13" t="e">
        <f t="shared" si="36"/>
        <v>#VALUE!</v>
      </c>
    </row>
    <row r="77" spans="1:23" x14ac:dyDescent="0.25">
      <c r="A77" s="1366">
        <v>0.73</v>
      </c>
      <c r="B77" s="13">
        <f t="shared" si="25"/>
        <v>0</v>
      </c>
      <c r="C77" s="1367">
        <f t="shared" si="22"/>
        <v>0</v>
      </c>
      <c r="D77" s="1434" t="e">
        <f>B77*'Рейтинг МКД'!$D$11+'кривые-экспресс'!C77+IF('Рейтинг МКД'!$D$15="нет",7,10)</f>
        <v>#VALUE!</v>
      </c>
      <c r="E77" s="1434" t="e">
        <f t="shared" si="26"/>
        <v>#VALUE!</v>
      </c>
      <c r="F77" s="1367" t="e">
        <f t="shared" si="27"/>
        <v>#VALUE!</v>
      </c>
      <c r="G77" s="1367" t="e">
        <f t="shared" si="28"/>
        <v>#VALUE!</v>
      </c>
      <c r="H77" s="1367" t="e">
        <f t="shared" si="29"/>
        <v>#VALUE!</v>
      </c>
      <c r="I77" s="1367" t="e">
        <f t="shared" si="30"/>
        <v>#VALUE!</v>
      </c>
      <c r="J77" s="1367" t="e">
        <f t="shared" si="31"/>
        <v>#VALUE!</v>
      </c>
      <c r="K77" s="1367" t="e">
        <f t="shared" si="32"/>
        <v>#VALUE!</v>
      </c>
      <c r="L77" s="1367" t="e">
        <f t="shared" si="33"/>
        <v>#VALUE!</v>
      </c>
      <c r="M77" s="1367" t="e">
        <f t="shared" si="34"/>
        <v>#VALUE!</v>
      </c>
      <c r="N77" s="13" t="e">
        <f t="shared" si="35"/>
        <v>#VALUE!</v>
      </c>
      <c r="O77" s="13" t="e">
        <f t="shared" si="35"/>
        <v>#VALUE!</v>
      </c>
      <c r="P77" s="13" t="e">
        <f t="shared" si="35"/>
        <v>#VALUE!</v>
      </c>
      <c r="Q77" s="13" t="e">
        <f t="shared" si="35"/>
        <v>#VALUE!</v>
      </c>
      <c r="R77" s="13" t="e">
        <f t="shared" si="35"/>
        <v>#VALUE!</v>
      </c>
      <c r="S77" s="13" t="e">
        <f t="shared" si="35"/>
        <v>#VALUE!</v>
      </c>
      <c r="U77" s="13" t="str">
        <f t="shared" si="23"/>
        <v/>
      </c>
      <c r="V77" s="13" t="str">
        <f t="shared" si="24"/>
        <v/>
      </c>
      <c r="W77" s="13" t="e">
        <f t="shared" si="36"/>
        <v>#VALUE!</v>
      </c>
    </row>
    <row r="78" spans="1:23" x14ac:dyDescent="0.25">
      <c r="A78" s="1366">
        <v>0.74</v>
      </c>
      <c r="B78" s="13">
        <f t="shared" si="25"/>
        <v>0</v>
      </c>
      <c r="C78" s="1367">
        <f t="shared" si="22"/>
        <v>0</v>
      </c>
      <c r="D78" s="1434" t="e">
        <f>B78*'Рейтинг МКД'!$D$11+'кривые-экспресс'!C78+IF('Рейтинг МКД'!$D$15="нет",7,10)</f>
        <v>#VALUE!</v>
      </c>
      <c r="E78" s="1434" t="e">
        <f t="shared" si="26"/>
        <v>#VALUE!</v>
      </c>
      <c r="F78" s="1367" t="e">
        <f t="shared" si="27"/>
        <v>#VALUE!</v>
      </c>
      <c r="G78" s="1367" t="e">
        <f t="shared" si="28"/>
        <v>#VALUE!</v>
      </c>
      <c r="H78" s="1367" t="e">
        <f t="shared" si="29"/>
        <v>#VALUE!</v>
      </c>
      <c r="I78" s="1367" t="e">
        <f t="shared" si="30"/>
        <v>#VALUE!</v>
      </c>
      <c r="J78" s="1367" t="e">
        <f t="shared" si="31"/>
        <v>#VALUE!</v>
      </c>
      <c r="K78" s="1367" t="e">
        <f t="shared" si="32"/>
        <v>#VALUE!</v>
      </c>
      <c r="L78" s="1367" t="e">
        <f t="shared" si="33"/>
        <v>#VALUE!</v>
      </c>
      <c r="M78" s="1367" t="e">
        <f t="shared" si="34"/>
        <v>#VALUE!</v>
      </c>
      <c r="N78" s="13" t="e">
        <f t="shared" si="35"/>
        <v>#VALUE!</v>
      </c>
      <c r="O78" s="13" t="e">
        <f t="shared" si="35"/>
        <v>#VALUE!</v>
      </c>
      <c r="P78" s="13" t="e">
        <f t="shared" si="35"/>
        <v>#VALUE!</v>
      </c>
      <c r="Q78" s="13" t="e">
        <f t="shared" si="35"/>
        <v>#VALUE!</v>
      </c>
      <c r="R78" s="13" t="e">
        <f t="shared" si="35"/>
        <v>#VALUE!</v>
      </c>
      <c r="S78" s="13" t="e">
        <f t="shared" si="35"/>
        <v>#VALUE!</v>
      </c>
      <c r="U78" s="13" t="str">
        <f t="shared" si="23"/>
        <v/>
      </c>
      <c r="V78" s="13" t="str">
        <f t="shared" si="24"/>
        <v/>
      </c>
      <c r="W78" s="13" t="e">
        <f t="shared" si="36"/>
        <v>#VALUE!</v>
      </c>
    </row>
    <row r="79" spans="1:23" x14ac:dyDescent="0.25">
      <c r="A79" s="1366">
        <v>0.75</v>
      </c>
      <c r="B79" s="13">
        <f t="shared" si="25"/>
        <v>0</v>
      </c>
      <c r="C79" s="1367">
        <f t="shared" si="22"/>
        <v>0</v>
      </c>
      <c r="D79" s="1434" t="e">
        <f>B79*'Рейтинг МКД'!$D$11+'кривые-экспресс'!C79+IF('Рейтинг МКД'!$D$15="нет",7,10)</f>
        <v>#VALUE!</v>
      </c>
      <c r="E79" s="1434" t="e">
        <f t="shared" si="26"/>
        <v>#VALUE!</v>
      </c>
      <c r="F79" s="1367" t="e">
        <f t="shared" si="27"/>
        <v>#VALUE!</v>
      </c>
      <c r="G79" s="1367" t="e">
        <f t="shared" si="28"/>
        <v>#VALUE!</v>
      </c>
      <c r="H79" s="1367" t="e">
        <f t="shared" si="29"/>
        <v>#VALUE!</v>
      </c>
      <c r="I79" s="1367" t="e">
        <f t="shared" si="30"/>
        <v>#VALUE!</v>
      </c>
      <c r="J79" s="1367" t="e">
        <f t="shared" si="31"/>
        <v>#VALUE!</v>
      </c>
      <c r="K79" s="1367" t="e">
        <f t="shared" si="32"/>
        <v>#VALUE!</v>
      </c>
      <c r="L79" s="1367" t="e">
        <f t="shared" si="33"/>
        <v>#VALUE!</v>
      </c>
      <c r="M79" s="1367" t="e">
        <f t="shared" si="34"/>
        <v>#VALUE!</v>
      </c>
      <c r="N79" s="13" t="e">
        <f t="shared" si="35"/>
        <v>#VALUE!</v>
      </c>
      <c r="O79" s="13" t="e">
        <f t="shared" si="35"/>
        <v>#VALUE!</v>
      </c>
      <c r="P79" s="13" t="e">
        <f t="shared" si="35"/>
        <v>#VALUE!</v>
      </c>
      <c r="Q79" s="13" t="e">
        <f t="shared" si="35"/>
        <v>#VALUE!</v>
      </c>
      <c r="R79" s="13" t="e">
        <f t="shared" si="35"/>
        <v>#VALUE!</v>
      </c>
      <c r="S79" s="13" t="e">
        <f t="shared" si="35"/>
        <v>#VALUE!</v>
      </c>
      <c r="U79" s="13" t="str">
        <f t="shared" si="23"/>
        <v/>
      </c>
      <c r="V79" s="13" t="str">
        <f t="shared" si="24"/>
        <v/>
      </c>
      <c r="W79" s="13" t="e">
        <f t="shared" si="36"/>
        <v>#VALUE!</v>
      </c>
    </row>
    <row r="80" spans="1:23" x14ac:dyDescent="0.25">
      <c r="A80" s="1366">
        <v>0.76</v>
      </c>
      <c r="B80" s="13">
        <f t="shared" si="25"/>
        <v>0</v>
      </c>
      <c r="C80" s="1367">
        <f t="shared" si="22"/>
        <v>0</v>
      </c>
      <c r="D80" s="1434" t="e">
        <f>B80*'Рейтинг МКД'!$D$11+'кривые-экспресс'!C80+IF('Рейтинг МКД'!$D$15="нет",7,10)</f>
        <v>#VALUE!</v>
      </c>
      <c r="E80" s="1434" t="e">
        <f t="shared" si="26"/>
        <v>#VALUE!</v>
      </c>
      <c r="F80" s="1367" t="e">
        <f t="shared" si="27"/>
        <v>#VALUE!</v>
      </c>
      <c r="G80" s="1367" t="e">
        <f t="shared" si="28"/>
        <v>#VALUE!</v>
      </c>
      <c r="H80" s="1367" t="e">
        <f t="shared" si="29"/>
        <v>#VALUE!</v>
      </c>
      <c r="I80" s="1367" t="e">
        <f t="shared" si="30"/>
        <v>#VALUE!</v>
      </c>
      <c r="J80" s="1367" t="e">
        <f t="shared" si="31"/>
        <v>#VALUE!</v>
      </c>
      <c r="K80" s="1367" t="e">
        <f t="shared" si="32"/>
        <v>#VALUE!</v>
      </c>
      <c r="L80" s="1367" t="e">
        <f t="shared" si="33"/>
        <v>#VALUE!</v>
      </c>
      <c r="M80" s="1367" t="e">
        <f t="shared" si="34"/>
        <v>#VALUE!</v>
      </c>
      <c r="N80" s="13" t="e">
        <f t="shared" si="35"/>
        <v>#VALUE!</v>
      </c>
      <c r="O80" s="13" t="e">
        <f t="shared" si="35"/>
        <v>#VALUE!</v>
      </c>
      <c r="P80" s="13" t="e">
        <f t="shared" si="35"/>
        <v>#VALUE!</v>
      </c>
      <c r="Q80" s="13" t="e">
        <f t="shared" si="35"/>
        <v>#VALUE!</v>
      </c>
      <c r="R80" s="13" t="e">
        <f t="shared" si="35"/>
        <v>#VALUE!</v>
      </c>
      <c r="S80" s="13" t="e">
        <f t="shared" si="35"/>
        <v>#VALUE!</v>
      </c>
      <c r="U80" s="13" t="str">
        <f t="shared" si="23"/>
        <v/>
      </c>
      <c r="V80" s="13" t="str">
        <f t="shared" si="24"/>
        <v/>
      </c>
      <c r="W80" s="13" t="e">
        <f t="shared" si="36"/>
        <v>#VALUE!</v>
      </c>
    </row>
    <row r="81" spans="1:23" x14ac:dyDescent="0.25">
      <c r="A81" s="1366">
        <v>0.77</v>
      </c>
      <c r="B81" s="13">
        <f t="shared" si="25"/>
        <v>0</v>
      </c>
      <c r="C81" s="1367">
        <f t="shared" si="22"/>
        <v>0</v>
      </c>
      <c r="D81" s="1434" t="e">
        <f>B81*'Рейтинг МКД'!$D$11+'кривые-экспресс'!C81+IF('Рейтинг МКД'!$D$15="нет",7,10)</f>
        <v>#VALUE!</v>
      </c>
      <c r="E81" s="1434" t="e">
        <f t="shared" si="26"/>
        <v>#VALUE!</v>
      </c>
      <c r="F81" s="1367" t="e">
        <f t="shared" si="27"/>
        <v>#VALUE!</v>
      </c>
      <c r="G81" s="1367" t="e">
        <f t="shared" si="28"/>
        <v>#VALUE!</v>
      </c>
      <c r="H81" s="1367" t="e">
        <f t="shared" si="29"/>
        <v>#VALUE!</v>
      </c>
      <c r="I81" s="1367" t="e">
        <f t="shared" si="30"/>
        <v>#VALUE!</v>
      </c>
      <c r="J81" s="1367" t="e">
        <f t="shared" si="31"/>
        <v>#VALUE!</v>
      </c>
      <c r="K81" s="1367" t="e">
        <f t="shared" si="32"/>
        <v>#VALUE!</v>
      </c>
      <c r="L81" s="1367" t="e">
        <f t="shared" si="33"/>
        <v>#VALUE!</v>
      </c>
      <c r="M81" s="1367" t="e">
        <f t="shared" si="34"/>
        <v>#VALUE!</v>
      </c>
      <c r="N81" s="13" t="e">
        <f t="shared" si="35"/>
        <v>#VALUE!</v>
      </c>
      <c r="O81" s="13" t="e">
        <f t="shared" si="35"/>
        <v>#VALUE!</v>
      </c>
      <c r="P81" s="13" t="e">
        <f t="shared" si="35"/>
        <v>#VALUE!</v>
      </c>
      <c r="Q81" s="13" t="e">
        <f t="shared" si="35"/>
        <v>#VALUE!</v>
      </c>
      <c r="R81" s="13" t="e">
        <f t="shared" si="35"/>
        <v>#VALUE!</v>
      </c>
      <c r="S81" s="13" t="e">
        <f t="shared" si="35"/>
        <v>#VALUE!</v>
      </c>
      <c r="U81" s="13" t="str">
        <f t="shared" si="23"/>
        <v/>
      </c>
      <c r="V81" s="13" t="str">
        <f t="shared" si="24"/>
        <v/>
      </c>
      <c r="W81" s="13" t="e">
        <f t="shared" si="36"/>
        <v>#VALUE!</v>
      </c>
    </row>
    <row r="82" spans="1:23" x14ac:dyDescent="0.25">
      <c r="A82" s="1366">
        <v>0.78</v>
      </c>
      <c r="B82" s="13">
        <f t="shared" si="25"/>
        <v>0</v>
      </c>
      <c r="C82" s="1367">
        <f t="shared" si="22"/>
        <v>0</v>
      </c>
      <c r="D82" s="1434" t="e">
        <f>B82*'Рейтинг МКД'!$D$11+'кривые-экспресс'!C82+IF('Рейтинг МКД'!$D$15="нет",7,10)</f>
        <v>#VALUE!</v>
      </c>
      <c r="E82" s="1434" t="e">
        <f t="shared" si="26"/>
        <v>#VALUE!</v>
      </c>
      <c r="F82" s="1367" t="e">
        <f t="shared" si="27"/>
        <v>#VALUE!</v>
      </c>
      <c r="G82" s="1367" t="e">
        <f t="shared" si="28"/>
        <v>#VALUE!</v>
      </c>
      <c r="H82" s="1367" t="e">
        <f t="shared" si="29"/>
        <v>#VALUE!</v>
      </c>
      <c r="I82" s="1367" t="e">
        <f t="shared" si="30"/>
        <v>#VALUE!</v>
      </c>
      <c r="J82" s="1367" t="e">
        <f t="shared" si="31"/>
        <v>#VALUE!</v>
      </c>
      <c r="K82" s="1367" t="e">
        <f t="shared" si="32"/>
        <v>#VALUE!</v>
      </c>
      <c r="L82" s="1367" t="e">
        <f t="shared" si="33"/>
        <v>#VALUE!</v>
      </c>
      <c r="M82" s="1367" t="e">
        <f t="shared" si="34"/>
        <v>#VALUE!</v>
      </c>
      <c r="N82" s="13" t="e">
        <f t="shared" si="35"/>
        <v>#VALUE!</v>
      </c>
      <c r="O82" s="13" t="e">
        <f t="shared" si="35"/>
        <v>#VALUE!</v>
      </c>
      <c r="P82" s="13" t="e">
        <f t="shared" si="35"/>
        <v>#VALUE!</v>
      </c>
      <c r="Q82" s="13" t="e">
        <f t="shared" si="35"/>
        <v>#VALUE!</v>
      </c>
      <c r="R82" s="13" t="e">
        <f t="shared" si="35"/>
        <v>#VALUE!</v>
      </c>
      <c r="S82" s="13" t="e">
        <f t="shared" si="35"/>
        <v>#VALUE!</v>
      </c>
      <c r="U82" s="13" t="str">
        <f t="shared" si="23"/>
        <v/>
      </c>
      <c r="V82" s="13" t="str">
        <f t="shared" si="24"/>
        <v/>
      </c>
      <c r="W82" s="13" t="e">
        <f t="shared" si="36"/>
        <v>#VALUE!</v>
      </c>
    </row>
    <row r="83" spans="1:23" x14ac:dyDescent="0.25">
      <c r="A83" s="1366">
        <v>0.79</v>
      </c>
      <c r="B83" s="13">
        <f t="shared" si="25"/>
        <v>0</v>
      </c>
      <c r="C83" s="1367">
        <f t="shared" si="22"/>
        <v>0</v>
      </c>
      <c r="D83" s="1434" t="e">
        <f>B83*'Рейтинг МКД'!$D$11+'кривые-экспресс'!C83+IF('Рейтинг МКД'!$D$15="нет",7,10)</f>
        <v>#VALUE!</v>
      </c>
      <c r="E83" s="1434" t="e">
        <f t="shared" si="26"/>
        <v>#VALUE!</v>
      </c>
      <c r="F83" s="1367" t="e">
        <f t="shared" si="27"/>
        <v>#VALUE!</v>
      </c>
      <c r="G83" s="1367" t="e">
        <f t="shared" si="28"/>
        <v>#VALUE!</v>
      </c>
      <c r="H83" s="1367" t="e">
        <f t="shared" si="29"/>
        <v>#VALUE!</v>
      </c>
      <c r="I83" s="1367" t="e">
        <f t="shared" si="30"/>
        <v>#VALUE!</v>
      </c>
      <c r="J83" s="1367" t="e">
        <f t="shared" si="31"/>
        <v>#VALUE!</v>
      </c>
      <c r="K83" s="1367" t="e">
        <f t="shared" si="32"/>
        <v>#VALUE!</v>
      </c>
      <c r="L83" s="1367" t="e">
        <f t="shared" si="33"/>
        <v>#VALUE!</v>
      </c>
      <c r="M83" s="1367" t="e">
        <f t="shared" si="34"/>
        <v>#VALUE!</v>
      </c>
      <c r="N83" s="13" t="e">
        <f t="shared" si="35"/>
        <v>#VALUE!</v>
      </c>
      <c r="O83" s="13" t="e">
        <f t="shared" si="35"/>
        <v>#VALUE!</v>
      </c>
      <c r="P83" s="13" t="e">
        <f t="shared" si="35"/>
        <v>#VALUE!</v>
      </c>
      <c r="Q83" s="13" t="e">
        <f t="shared" si="35"/>
        <v>#VALUE!</v>
      </c>
      <c r="R83" s="13" t="e">
        <f t="shared" si="35"/>
        <v>#VALUE!</v>
      </c>
      <c r="S83" s="13" t="e">
        <f t="shared" si="35"/>
        <v>#VALUE!</v>
      </c>
      <c r="U83" s="13" t="str">
        <f t="shared" si="23"/>
        <v/>
      </c>
      <c r="V83" s="13" t="str">
        <f t="shared" si="24"/>
        <v/>
      </c>
      <c r="W83" s="13" t="e">
        <f t="shared" si="36"/>
        <v>#VALUE!</v>
      </c>
    </row>
    <row r="84" spans="1:23" x14ac:dyDescent="0.25">
      <c r="A84" s="1366">
        <v>0.8</v>
      </c>
      <c r="B84" s="13">
        <f t="shared" si="25"/>
        <v>0</v>
      </c>
      <c r="C84" s="1367">
        <f t="shared" si="22"/>
        <v>0</v>
      </c>
      <c r="D84" s="1434" t="e">
        <f>B84*'Рейтинг МКД'!$D$11+'кривые-экспресс'!C84+IF('Рейтинг МКД'!$D$15="нет",7,10)</f>
        <v>#VALUE!</v>
      </c>
      <c r="E84" s="1434" t="e">
        <f t="shared" si="26"/>
        <v>#VALUE!</v>
      </c>
      <c r="F84" s="1367" t="e">
        <f t="shared" si="27"/>
        <v>#VALUE!</v>
      </c>
      <c r="G84" s="1367" t="e">
        <f t="shared" si="28"/>
        <v>#VALUE!</v>
      </c>
      <c r="H84" s="1367" t="e">
        <f t="shared" si="29"/>
        <v>#VALUE!</v>
      </c>
      <c r="I84" s="1367" t="e">
        <f t="shared" si="30"/>
        <v>#VALUE!</v>
      </c>
      <c r="J84" s="1367" t="e">
        <f t="shared" si="31"/>
        <v>#VALUE!</v>
      </c>
      <c r="K84" s="1367" t="e">
        <f t="shared" si="32"/>
        <v>#VALUE!</v>
      </c>
      <c r="L84" s="1367" t="e">
        <f t="shared" si="33"/>
        <v>#VALUE!</v>
      </c>
      <c r="M84" s="1367" t="e">
        <f t="shared" si="34"/>
        <v>#VALUE!</v>
      </c>
      <c r="N84" s="13" t="e">
        <f t="shared" si="35"/>
        <v>#VALUE!</v>
      </c>
      <c r="O84" s="13" t="e">
        <f t="shared" si="35"/>
        <v>#VALUE!</v>
      </c>
      <c r="P84" s="13" t="e">
        <f t="shared" si="35"/>
        <v>#VALUE!</v>
      </c>
      <c r="Q84" s="13" t="e">
        <f t="shared" si="35"/>
        <v>#VALUE!</v>
      </c>
      <c r="R84" s="13" t="e">
        <f t="shared" si="35"/>
        <v>#VALUE!</v>
      </c>
      <c r="S84" s="13" t="e">
        <f t="shared" si="35"/>
        <v>#VALUE!</v>
      </c>
      <c r="U84" s="13" t="str">
        <f t="shared" si="23"/>
        <v/>
      </c>
      <c r="V84" s="13" t="str">
        <f t="shared" si="24"/>
        <v/>
      </c>
      <c r="W84" s="13" t="e">
        <f t="shared" si="36"/>
        <v>#VALUE!</v>
      </c>
    </row>
    <row r="85" spans="1:23" x14ac:dyDescent="0.25">
      <c r="A85" s="1366">
        <v>0.81</v>
      </c>
      <c r="B85" s="13">
        <f t="shared" si="25"/>
        <v>0</v>
      </c>
      <c r="C85" s="1367">
        <f t="shared" si="22"/>
        <v>0</v>
      </c>
      <c r="D85" s="1434" t="e">
        <f>B85*'Рейтинг МКД'!$D$11+'кривые-экспресс'!C85+IF('Рейтинг МКД'!$D$15="нет",7,10)</f>
        <v>#VALUE!</v>
      </c>
      <c r="E85" s="1434" t="e">
        <f t="shared" si="26"/>
        <v>#VALUE!</v>
      </c>
      <c r="F85" s="1367" t="e">
        <f t="shared" si="27"/>
        <v>#VALUE!</v>
      </c>
      <c r="G85" s="1367" t="e">
        <f t="shared" si="28"/>
        <v>#VALUE!</v>
      </c>
      <c r="H85" s="1367" t="e">
        <f t="shared" si="29"/>
        <v>#VALUE!</v>
      </c>
      <c r="I85" s="1367" t="e">
        <f t="shared" si="30"/>
        <v>#VALUE!</v>
      </c>
      <c r="J85" s="1367" t="e">
        <f t="shared" si="31"/>
        <v>#VALUE!</v>
      </c>
      <c r="K85" s="1367" t="e">
        <f t="shared" si="32"/>
        <v>#VALUE!</v>
      </c>
      <c r="L85" s="1367" t="e">
        <f t="shared" si="33"/>
        <v>#VALUE!</v>
      </c>
      <c r="M85" s="1367" t="e">
        <f t="shared" si="34"/>
        <v>#VALUE!</v>
      </c>
      <c r="N85" s="13" t="e">
        <f t="shared" si="35"/>
        <v>#VALUE!</v>
      </c>
      <c r="O85" s="13" t="e">
        <f t="shared" si="35"/>
        <v>#VALUE!</v>
      </c>
      <c r="P85" s="13" t="e">
        <f t="shared" si="35"/>
        <v>#VALUE!</v>
      </c>
      <c r="Q85" s="13" t="e">
        <f t="shared" si="35"/>
        <v>#VALUE!</v>
      </c>
      <c r="R85" s="13" t="e">
        <f t="shared" si="35"/>
        <v>#VALUE!</v>
      </c>
      <c r="S85" s="13" t="e">
        <f t="shared" si="35"/>
        <v>#VALUE!</v>
      </c>
      <c r="U85" s="13" t="str">
        <f t="shared" si="23"/>
        <v/>
      </c>
      <c r="V85" s="13" t="str">
        <f t="shared" si="24"/>
        <v/>
      </c>
      <c r="W85" s="13" t="e">
        <f t="shared" si="36"/>
        <v>#VALUE!</v>
      </c>
    </row>
    <row r="86" spans="1:23" x14ac:dyDescent="0.25">
      <c r="A86" s="1366">
        <v>0.82</v>
      </c>
      <c r="B86" s="13">
        <f t="shared" si="25"/>
        <v>0</v>
      </c>
      <c r="C86" s="1367">
        <f t="shared" si="22"/>
        <v>0</v>
      </c>
      <c r="D86" s="1434" t="e">
        <f>B86*'Рейтинг МКД'!$D$11+'кривые-экспресс'!C86+IF('Рейтинг МКД'!$D$15="нет",7,10)</f>
        <v>#VALUE!</v>
      </c>
      <c r="E86" s="1434" t="e">
        <f t="shared" si="26"/>
        <v>#VALUE!</v>
      </c>
      <c r="F86" s="1367" t="e">
        <f t="shared" si="27"/>
        <v>#VALUE!</v>
      </c>
      <c r="G86" s="1367" t="e">
        <f t="shared" si="28"/>
        <v>#VALUE!</v>
      </c>
      <c r="H86" s="1367" t="e">
        <f t="shared" si="29"/>
        <v>#VALUE!</v>
      </c>
      <c r="I86" s="1367" t="e">
        <f t="shared" si="30"/>
        <v>#VALUE!</v>
      </c>
      <c r="J86" s="1367" t="e">
        <f t="shared" si="31"/>
        <v>#VALUE!</v>
      </c>
      <c r="K86" s="1367" t="e">
        <f t="shared" si="32"/>
        <v>#VALUE!</v>
      </c>
      <c r="L86" s="1367" t="e">
        <f t="shared" si="33"/>
        <v>#VALUE!</v>
      </c>
      <c r="M86" s="1367" t="e">
        <f t="shared" si="34"/>
        <v>#VALUE!</v>
      </c>
      <c r="N86" s="13" t="e">
        <f t="shared" si="35"/>
        <v>#VALUE!</v>
      </c>
      <c r="O86" s="13" t="e">
        <f t="shared" si="35"/>
        <v>#VALUE!</v>
      </c>
      <c r="P86" s="13" t="e">
        <f t="shared" si="35"/>
        <v>#VALUE!</v>
      </c>
      <c r="Q86" s="13" t="e">
        <f t="shared" si="35"/>
        <v>#VALUE!</v>
      </c>
      <c r="R86" s="13" t="e">
        <f t="shared" si="35"/>
        <v>#VALUE!</v>
      </c>
      <c r="S86" s="13" t="e">
        <f t="shared" si="35"/>
        <v>#VALUE!</v>
      </c>
      <c r="U86" s="13" t="str">
        <f t="shared" si="23"/>
        <v/>
      </c>
      <c r="V86" s="13" t="str">
        <f t="shared" si="24"/>
        <v/>
      </c>
      <c r="W86" s="13" t="e">
        <f t="shared" si="36"/>
        <v>#VALUE!</v>
      </c>
    </row>
    <row r="87" spans="1:23" x14ac:dyDescent="0.25">
      <c r="A87" s="1366">
        <v>0.83</v>
      </c>
      <c r="B87" s="13">
        <f t="shared" si="25"/>
        <v>0</v>
      </c>
      <c r="C87" s="1367">
        <f t="shared" si="22"/>
        <v>0</v>
      </c>
      <c r="D87" s="1434" t="e">
        <f>B87*'Рейтинг МКД'!$D$11+'кривые-экспресс'!C87+IF('Рейтинг МКД'!$D$15="нет",7,10)</f>
        <v>#VALUE!</v>
      </c>
      <c r="E87" s="1434" t="e">
        <f t="shared" si="26"/>
        <v>#VALUE!</v>
      </c>
      <c r="F87" s="1367" t="e">
        <f t="shared" si="27"/>
        <v>#VALUE!</v>
      </c>
      <c r="G87" s="1367" t="e">
        <f t="shared" si="28"/>
        <v>#VALUE!</v>
      </c>
      <c r="H87" s="1367" t="e">
        <f t="shared" si="29"/>
        <v>#VALUE!</v>
      </c>
      <c r="I87" s="1367" t="e">
        <f t="shared" si="30"/>
        <v>#VALUE!</v>
      </c>
      <c r="J87" s="1367" t="e">
        <f t="shared" si="31"/>
        <v>#VALUE!</v>
      </c>
      <c r="K87" s="1367" t="e">
        <f t="shared" si="32"/>
        <v>#VALUE!</v>
      </c>
      <c r="L87" s="1367" t="e">
        <f t="shared" si="33"/>
        <v>#VALUE!</v>
      </c>
      <c r="M87" s="1367" t="e">
        <f t="shared" si="34"/>
        <v>#VALUE!</v>
      </c>
      <c r="N87" s="13" t="e">
        <f t="shared" ref="N87:S102" si="37">N86</f>
        <v>#VALUE!</v>
      </c>
      <c r="O87" s="13" t="e">
        <f t="shared" si="37"/>
        <v>#VALUE!</v>
      </c>
      <c r="P87" s="13" t="e">
        <f t="shared" si="37"/>
        <v>#VALUE!</v>
      </c>
      <c r="Q87" s="13" t="e">
        <f t="shared" si="37"/>
        <v>#VALUE!</v>
      </c>
      <c r="R87" s="13" t="e">
        <f t="shared" si="37"/>
        <v>#VALUE!</v>
      </c>
      <c r="S87" s="13" t="e">
        <f t="shared" si="37"/>
        <v>#VALUE!</v>
      </c>
      <c r="U87" s="13" t="str">
        <f t="shared" si="23"/>
        <v/>
      </c>
      <c r="V87" s="13" t="str">
        <f t="shared" si="24"/>
        <v/>
      </c>
      <c r="W87" s="13" t="e">
        <f t="shared" si="36"/>
        <v>#VALUE!</v>
      </c>
    </row>
    <row r="88" spans="1:23" x14ac:dyDescent="0.25">
      <c r="A88" s="1366">
        <v>0.84</v>
      </c>
      <c r="B88" s="13">
        <f t="shared" si="25"/>
        <v>0</v>
      </c>
      <c r="C88" s="1367">
        <f t="shared" si="22"/>
        <v>0</v>
      </c>
      <c r="D88" s="1434" t="e">
        <f>B88*'Рейтинг МКД'!$D$11+'кривые-экспресс'!C88+IF('Рейтинг МКД'!$D$15="нет",7,10)</f>
        <v>#VALUE!</v>
      </c>
      <c r="E88" s="1434" t="e">
        <f t="shared" si="26"/>
        <v>#VALUE!</v>
      </c>
      <c r="F88" s="1367" t="e">
        <f t="shared" si="27"/>
        <v>#VALUE!</v>
      </c>
      <c r="G88" s="1367" t="e">
        <f t="shared" si="28"/>
        <v>#VALUE!</v>
      </c>
      <c r="H88" s="1367" t="e">
        <f t="shared" si="29"/>
        <v>#VALUE!</v>
      </c>
      <c r="I88" s="1367" t="e">
        <f t="shared" si="30"/>
        <v>#VALUE!</v>
      </c>
      <c r="J88" s="1367" t="e">
        <f t="shared" si="31"/>
        <v>#VALUE!</v>
      </c>
      <c r="K88" s="1367" t="e">
        <f t="shared" si="32"/>
        <v>#VALUE!</v>
      </c>
      <c r="L88" s="1367" t="e">
        <f t="shared" si="33"/>
        <v>#VALUE!</v>
      </c>
      <c r="M88" s="1367" t="e">
        <f t="shared" si="34"/>
        <v>#VALUE!</v>
      </c>
      <c r="N88" s="13" t="e">
        <f t="shared" si="37"/>
        <v>#VALUE!</v>
      </c>
      <c r="O88" s="13" t="e">
        <f t="shared" si="37"/>
        <v>#VALUE!</v>
      </c>
      <c r="P88" s="13" t="e">
        <f t="shared" si="37"/>
        <v>#VALUE!</v>
      </c>
      <c r="Q88" s="13" t="e">
        <f t="shared" si="37"/>
        <v>#VALUE!</v>
      </c>
      <c r="R88" s="13" t="e">
        <f t="shared" si="37"/>
        <v>#VALUE!</v>
      </c>
      <c r="S88" s="13" t="e">
        <f t="shared" si="37"/>
        <v>#VALUE!</v>
      </c>
      <c r="U88" s="13" t="str">
        <f t="shared" si="23"/>
        <v/>
      </c>
      <c r="V88" s="13" t="str">
        <f t="shared" si="24"/>
        <v/>
      </c>
      <c r="W88" s="13" t="e">
        <f t="shared" si="36"/>
        <v>#VALUE!</v>
      </c>
    </row>
    <row r="89" spans="1:23" x14ac:dyDescent="0.25">
      <c r="A89" s="1366">
        <v>0.85</v>
      </c>
      <c r="B89" s="13">
        <f t="shared" si="25"/>
        <v>0</v>
      </c>
      <c r="C89" s="1367">
        <f t="shared" si="22"/>
        <v>0</v>
      </c>
      <c r="D89" s="1434" t="e">
        <f>B89*'Рейтинг МКД'!$D$11+'кривые-экспресс'!C89+IF('Рейтинг МКД'!$D$15="нет",7,10)</f>
        <v>#VALUE!</v>
      </c>
      <c r="E89" s="1434" t="e">
        <f t="shared" si="26"/>
        <v>#VALUE!</v>
      </c>
      <c r="F89" s="1367" t="e">
        <f t="shared" si="27"/>
        <v>#VALUE!</v>
      </c>
      <c r="G89" s="1367" t="e">
        <f t="shared" si="28"/>
        <v>#VALUE!</v>
      </c>
      <c r="H89" s="1367" t="e">
        <f t="shared" si="29"/>
        <v>#VALUE!</v>
      </c>
      <c r="I89" s="1367" t="e">
        <f t="shared" si="30"/>
        <v>#VALUE!</v>
      </c>
      <c r="J89" s="1367" t="e">
        <f t="shared" si="31"/>
        <v>#VALUE!</v>
      </c>
      <c r="K89" s="1367" t="e">
        <f t="shared" si="32"/>
        <v>#VALUE!</v>
      </c>
      <c r="L89" s="1367" t="e">
        <f t="shared" si="33"/>
        <v>#VALUE!</v>
      </c>
      <c r="M89" s="1367" t="e">
        <f t="shared" si="34"/>
        <v>#VALUE!</v>
      </c>
      <c r="N89" s="13" t="e">
        <f t="shared" si="37"/>
        <v>#VALUE!</v>
      </c>
      <c r="O89" s="13" t="e">
        <f t="shared" si="37"/>
        <v>#VALUE!</v>
      </c>
      <c r="P89" s="13" t="e">
        <f t="shared" si="37"/>
        <v>#VALUE!</v>
      </c>
      <c r="Q89" s="13" t="e">
        <f t="shared" si="37"/>
        <v>#VALUE!</v>
      </c>
      <c r="R89" s="13" t="e">
        <f t="shared" si="37"/>
        <v>#VALUE!</v>
      </c>
      <c r="S89" s="13" t="e">
        <f t="shared" si="37"/>
        <v>#VALUE!</v>
      </c>
      <c r="U89" s="13" t="str">
        <f t="shared" si="23"/>
        <v/>
      </c>
      <c r="V89" s="13" t="str">
        <f t="shared" si="24"/>
        <v/>
      </c>
      <c r="W89" s="13" t="e">
        <f t="shared" si="36"/>
        <v>#VALUE!</v>
      </c>
    </row>
    <row r="90" spans="1:23" x14ac:dyDescent="0.25">
      <c r="A90" s="1366">
        <v>0.86</v>
      </c>
      <c r="B90" s="13">
        <f t="shared" si="25"/>
        <v>0</v>
      </c>
      <c r="C90" s="1367">
        <f t="shared" si="22"/>
        <v>0</v>
      </c>
      <c r="D90" s="1434" t="e">
        <f>B90*'Рейтинг МКД'!$D$11+'кривые-экспресс'!C90+IF('Рейтинг МКД'!$D$15="нет",7,10)</f>
        <v>#VALUE!</v>
      </c>
      <c r="E90" s="1434" t="e">
        <f t="shared" si="26"/>
        <v>#VALUE!</v>
      </c>
      <c r="F90" s="1367" t="e">
        <f t="shared" si="27"/>
        <v>#VALUE!</v>
      </c>
      <c r="G90" s="1367" t="e">
        <f t="shared" si="28"/>
        <v>#VALUE!</v>
      </c>
      <c r="H90" s="1367" t="e">
        <f t="shared" si="29"/>
        <v>#VALUE!</v>
      </c>
      <c r="I90" s="1367" t="e">
        <f t="shared" si="30"/>
        <v>#VALUE!</v>
      </c>
      <c r="J90" s="1367" t="e">
        <f t="shared" si="31"/>
        <v>#VALUE!</v>
      </c>
      <c r="K90" s="1367" t="e">
        <f t="shared" si="32"/>
        <v>#VALUE!</v>
      </c>
      <c r="L90" s="1367" t="e">
        <f t="shared" si="33"/>
        <v>#VALUE!</v>
      </c>
      <c r="M90" s="1367" t="e">
        <f t="shared" si="34"/>
        <v>#VALUE!</v>
      </c>
      <c r="N90" s="13" t="e">
        <f t="shared" si="37"/>
        <v>#VALUE!</v>
      </c>
      <c r="O90" s="13" t="e">
        <f t="shared" si="37"/>
        <v>#VALUE!</v>
      </c>
      <c r="P90" s="13" t="e">
        <f t="shared" si="37"/>
        <v>#VALUE!</v>
      </c>
      <c r="Q90" s="13" t="e">
        <f t="shared" si="37"/>
        <v>#VALUE!</v>
      </c>
      <c r="R90" s="13" t="e">
        <f t="shared" si="37"/>
        <v>#VALUE!</v>
      </c>
      <c r="S90" s="13" t="e">
        <f t="shared" si="37"/>
        <v>#VALUE!</v>
      </c>
      <c r="U90" s="13" t="str">
        <f t="shared" si="23"/>
        <v/>
      </c>
      <c r="V90" s="13" t="str">
        <f t="shared" si="24"/>
        <v/>
      </c>
      <c r="W90" s="13" t="e">
        <f t="shared" si="36"/>
        <v>#VALUE!</v>
      </c>
    </row>
    <row r="91" spans="1:23" x14ac:dyDescent="0.25">
      <c r="A91" s="1366">
        <v>0.87</v>
      </c>
      <c r="B91" s="13">
        <f t="shared" si="25"/>
        <v>0</v>
      </c>
      <c r="C91" s="1367">
        <f t="shared" si="22"/>
        <v>0</v>
      </c>
      <c r="D91" s="1434" t="e">
        <f>B91*'Рейтинг МКД'!$D$11+'кривые-экспресс'!C91+IF('Рейтинг МКД'!$D$15="нет",7,10)</f>
        <v>#VALUE!</v>
      </c>
      <c r="E91" s="1434" t="e">
        <f t="shared" si="26"/>
        <v>#VALUE!</v>
      </c>
      <c r="F91" s="1367" t="e">
        <f t="shared" si="27"/>
        <v>#VALUE!</v>
      </c>
      <c r="G91" s="1367" t="e">
        <f t="shared" si="28"/>
        <v>#VALUE!</v>
      </c>
      <c r="H91" s="1367" t="e">
        <f t="shared" si="29"/>
        <v>#VALUE!</v>
      </c>
      <c r="I91" s="1367" t="e">
        <f t="shared" si="30"/>
        <v>#VALUE!</v>
      </c>
      <c r="J91" s="1367" t="e">
        <f t="shared" si="31"/>
        <v>#VALUE!</v>
      </c>
      <c r="K91" s="1367" t="e">
        <f t="shared" si="32"/>
        <v>#VALUE!</v>
      </c>
      <c r="L91" s="1367" t="e">
        <f t="shared" si="33"/>
        <v>#VALUE!</v>
      </c>
      <c r="M91" s="1367" t="e">
        <f t="shared" si="34"/>
        <v>#VALUE!</v>
      </c>
      <c r="N91" s="13" t="e">
        <f t="shared" si="37"/>
        <v>#VALUE!</v>
      </c>
      <c r="O91" s="13" t="e">
        <f t="shared" si="37"/>
        <v>#VALUE!</v>
      </c>
      <c r="P91" s="13" t="e">
        <f t="shared" si="37"/>
        <v>#VALUE!</v>
      </c>
      <c r="Q91" s="13" t="e">
        <f t="shared" si="37"/>
        <v>#VALUE!</v>
      </c>
      <c r="R91" s="13" t="e">
        <f t="shared" si="37"/>
        <v>#VALUE!</v>
      </c>
      <c r="S91" s="13" t="e">
        <f t="shared" si="37"/>
        <v>#VALUE!</v>
      </c>
      <c r="U91" s="13" t="str">
        <f t="shared" si="23"/>
        <v/>
      </c>
      <c r="V91" s="13" t="str">
        <f t="shared" si="24"/>
        <v/>
      </c>
      <c r="W91" s="13" t="e">
        <f t="shared" si="36"/>
        <v>#VALUE!</v>
      </c>
    </row>
    <row r="92" spans="1:23" x14ac:dyDescent="0.25">
      <c r="A92" s="1366">
        <v>0.88</v>
      </c>
      <c r="B92" s="13">
        <f t="shared" si="25"/>
        <v>0</v>
      </c>
      <c r="C92" s="1367">
        <f t="shared" si="22"/>
        <v>0</v>
      </c>
      <c r="D92" s="1434" t="e">
        <f>B92*'Рейтинг МКД'!$D$11+'кривые-экспресс'!C92+IF('Рейтинг МКД'!$D$15="нет",7,10)</f>
        <v>#VALUE!</v>
      </c>
      <c r="E92" s="1434" t="e">
        <f t="shared" si="26"/>
        <v>#VALUE!</v>
      </c>
      <c r="F92" s="1367" t="e">
        <f t="shared" si="27"/>
        <v>#VALUE!</v>
      </c>
      <c r="G92" s="1367" t="e">
        <f t="shared" si="28"/>
        <v>#VALUE!</v>
      </c>
      <c r="H92" s="1367" t="e">
        <f t="shared" si="29"/>
        <v>#VALUE!</v>
      </c>
      <c r="I92" s="1367" t="e">
        <f t="shared" si="30"/>
        <v>#VALUE!</v>
      </c>
      <c r="J92" s="1367" t="e">
        <f t="shared" si="31"/>
        <v>#VALUE!</v>
      </c>
      <c r="K92" s="1367" t="e">
        <f t="shared" si="32"/>
        <v>#VALUE!</v>
      </c>
      <c r="L92" s="1367" t="e">
        <f t="shared" si="33"/>
        <v>#VALUE!</v>
      </c>
      <c r="M92" s="1367" t="e">
        <f t="shared" si="34"/>
        <v>#VALUE!</v>
      </c>
      <c r="N92" s="13" t="e">
        <f t="shared" si="37"/>
        <v>#VALUE!</v>
      </c>
      <c r="O92" s="13" t="e">
        <f t="shared" si="37"/>
        <v>#VALUE!</v>
      </c>
      <c r="P92" s="13" t="e">
        <f t="shared" si="37"/>
        <v>#VALUE!</v>
      </c>
      <c r="Q92" s="13" t="e">
        <f t="shared" si="37"/>
        <v>#VALUE!</v>
      </c>
      <c r="R92" s="13" t="e">
        <f t="shared" si="37"/>
        <v>#VALUE!</v>
      </c>
      <c r="S92" s="13" t="e">
        <f t="shared" si="37"/>
        <v>#VALUE!</v>
      </c>
      <c r="U92" s="13" t="str">
        <f t="shared" si="23"/>
        <v/>
      </c>
      <c r="V92" s="13" t="str">
        <f t="shared" si="24"/>
        <v/>
      </c>
      <c r="W92" s="13" t="e">
        <f t="shared" si="36"/>
        <v>#VALUE!</v>
      </c>
    </row>
    <row r="93" spans="1:23" x14ac:dyDescent="0.25">
      <c r="A93" s="1366">
        <v>0.89</v>
      </c>
      <c r="B93" s="13">
        <f t="shared" si="25"/>
        <v>0</v>
      </c>
      <c r="C93" s="1367">
        <f t="shared" si="22"/>
        <v>0</v>
      </c>
      <c r="D93" s="1434" t="e">
        <f>B93*'Рейтинг МКД'!$D$11+'кривые-экспресс'!C93+IF('Рейтинг МКД'!$D$15="нет",7,10)</f>
        <v>#VALUE!</v>
      </c>
      <c r="E93" s="1434" t="e">
        <f t="shared" si="26"/>
        <v>#VALUE!</v>
      </c>
      <c r="F93" s="1367" t="e">
        <f t="shared" si="27"/>
        <v>#VALUE!</v>
      </c>
      <c r="G93" s="1367" t="e">
        <f t="shared" si="28"/>
        <v>#VALUE!</v>
      </c>
      <c r="H93" s="1367" t="e">
        <f t="shared" si="29"/>
        <v>#VALUE!</v>
      </c>
      <c r="I93" s="1367" t="e">
        <f t="shared" si="30"/>
        <v>#VALUE!</v>
      </c>
      <c r="J93" s="1367" t="e">
        <f t="shared" si="31"/>
        <v>#VALUE!</v>
      </c>
      <c r="K93" s="1367" t="e">
        <f t="shared" si="32"/>
        <v>#VALUE!</v>
      </c>
      <c r="L93" s="1367" t="e">
        <f t="shared" si="33"/>
        <v>#VALUE!</v>
      </c>
      <c r="M93" s="1367" t="e">
        <f t="shared" si="34"/>
        <v>#VALUE!</v>
      </c>
      <c r="N93" s="13" t="e">
        <f t="shared" si="37"/>
        <v>#VALUE!</v>
      </c>
      <c r="O93" s="13" t="e">
        <f t="shared" si="37"/>
        <v>#VALUE!</v>
      </c>
      <c r="P93" s="13" t="e">
        <f t="shared" si="37"/>
        <v>#VALUE!</v>
      </c>
      <c r="Q93" s="13" t="e">
        <f t="shared" si="37"/>
        <v>#VALUE!</v>
      </c>
      <c r="R93" s="13" t="e">
        <f t="shared" si="37"/>
        <v>#VALUE!</v>
      </c>
      <c r="S93" s="13" t="e">
        <f t="shared" si="37"/>
        <v>#VALUE!</v>
      </c>
      <c r="U93" s="13" t="str">
        <f t="shared" si="23"/>
        <v/>
      </c>
      <c r="V93" s="13" t="str">
        <f t="shared" si="24"/>
        <v/>
      </c>
      <c r="W93" s="13" t="e">
        <f t="shared" si="36"/>
        <v>#VALUE!</v>
      </c>
    </row>
    <row r="94" spans="1:23" x14ac:dyDescent="0.25">
      <c r="A94" s="1366">
        <v>0.9</v>
      </c>
      <c r="B94" s="13">
        <f t="shared" si="25"/>
        <v>0</v>
      </c>
      <c r="C94" s="1367">
        <f t="shared" si="22"/>
        <v>0</v>
      </c>
      <c r="D94" s="1434" t="e">
        <f>B94*'Рейтинг МКД'!$D$11+'кривые-экспресс'!C94+IF('Рейтинг МКД'!$D$15="нет",7,10)</f>
        <v>#VALUE!</v>
      </c>
      <c r="E94" s="1434" t="e">
        <f t="shared" si="26"/>
        <v>#VALUE!</v>
      </c>
      <c r="F94" s="1367" t="e">
        <f t="shared" si="27"/>
        <v>#VALUE!</v>
      </c>
      <c r="G94" s="1367" t="e">
        <f t="shared" si="28"/>
        <v>#VALUE!</v>
      </c>
      <c r="H94" s="1367" t="e">
        <f t="shared" si="29"/>
        <v>#VALUE!</v>
      </c>
      <c r="I94" s="1367" t="e">
        <f t="shared" si="30"/>
        <v>#VALUE!</v>
      </c>
      <c r="J94" s="1367" t="e">
        <f t="shared" si="31"/>
        <v>#VALUE!</v>
      </c>
      <c r="K94" s="1367" t="e">
        <f t="shared" si="32"/>
        <v>#VALUE!</v>
      </c>
      <c r="L94" s="1367" t="e">
        <f t="shared" si="33"/>
        <v>#VALUE!</v>
      </c>
      <c r="M94" s="1367" t="e">
        <f t="shared" si="34"/>
        <v>#VALUE!</v>
      </c>
      <c r="N94" s="13" t="e">
        <f t="shared" si="37"/>
        <v>#VALUE!</v>
      </c>
      <c r="O94" s="13" t="e">
        <f t="shared" si="37"/>
        <v>#VALUE!</v>
      </c>
      <c r="P94" s="13" t="e">
        <f t="shared" si="37"/>
        <v>#VALUE!</v>
      </c>
      <c r="Q94" s="13" t="e">
        <f t="shared" si="37"/>
        <v>#VALUE!</v>
      </c>
      <c r="R94" s="13" t="e">
        <f t="shared" si="37"/>
        <v>#VALUE!</v>
      </c>
      <c r="S94" s="13" t="e">
        <f t="shared" si="37"/>
        <v>#VALUE!</v>
      </c>
      <c r="U94" s="13" t="str">
        <f t="shared" si="23"/>
        <v/>
      </c>
      <c r="V94" s="13" t="str">
        <f t="shared" si="24"/>
        <v/>
      </c>
      <c r="W94" s="13" t="e">
        <f t="shared" si="36"/>
        <v>#VALUE!</v>
      </c>
    </row>
    <row r="95" spans="1:23" x14ac:dyDescent="0.25">
      <c r="A95" s="1366">
        <v>0.91</v>
      </c>
      <c r="B95" s="13">
        <f t="shared" si="25"/>
        <v>0</v>
      </c>
      <c r="C95" s="1367">
        <f t="shared" si="22"/>
        <v>0</v>
      </c>
      <c r="D95" s="1434" t="e">
        <f>B95*'Рейтинг МКД'!$D$11+'кривые-экспресс'!C95+IF('Рейтинг МКД'!$D$15="нет",7,10)</f>
        <v>#VALUE!</v>
      </c>
      <c r="E95" s="1434" t="e">
        <f t="shared" si="26"/>
        <v>#VALUE!</v>
      </c>
      <c r="F95" s="1367" t="e">
        <f t="shared" si="27"/>
        <v>#VALUE!</v>
      </c>
      <c r="G95" s="1367" t="e">
        <f t="shared" si="28"/>
        <v>#VALUE!</v>
      </c>
      <c r="H95" s="1367" t="e">
        <f t="shared" si="29"/>
        <v>#VALUE!</v>
      </c>
      <c r="I95" s="1367" t="e">
        <f t="shared" si="30"/>
        <v>#VALUE!</v>
      </c>
      <c r="J95" s="1367" t="e">
        <f t="shared" si="31"/>
        <v>#VALUE!</v>
      </c>
      <c r="K95" s="1367" t="e">
        <f t="shared" si="32"/>
        <v>#VALUE!</v>
      </c>
      <c r="L95" s="1367" t="e">
        <f t="shared" si="33"/>
        <v>#VALUE!</v>
      </c>
      <c r="M95" s="1367" t="e">
        <f t="shared" si="34"/>
        <v>#VALUE!</v>
      </c>
      <c r="N95" s="13" t="e">
        <f t="shared" si="37"/>
        <v>#VALUE!</v>
      </c>
      <c r="O95" s="13" t="e">
        <f t="shared" si="37"/>
        <v>#VALUE!</v>
      </c>
      <c r="P95" s="13" t="e">
        <f t="shared" si="37"/>
        <v>#VALUE!</v>
      </c>
      <c r="Q95" s="13" t="e">
        <f t="shared" si="37"/>
        <v>#VALUE!</v>
      </c>
      <c r="R95" s="13" t="e">
        <f t="shared" si="37"/>
        <v>#VALUE!</v>
      </c>
      <c r="S95" s="13" t="e">
        <f t="shared" si="37"/>
        <v>#VALUE!</v>
      </c>
      <c r="U95" s="13" t="str">
        <f t="shared" si="23"/>
        <v/>
      </c>
      <c r="V95" s="13" t="str">
        <f t="shared" si="24"/>
        <v/>
      </c>
      <c r="W95" s="13" t="e">
        <f t="shared" si="36"/>
        <v>#VALUE!</v>
      </c>
    </row>
    <row r="96" spans="1:23" x14ac:dyDescent="0.25">
      <c r="A96" s="1366">
        <v>0.92</v>
      </c>
      <c r="B96" s="13">
        <f t="shared" si="25"/>
        <v>0</v>
      </c>
      <c r="C96" s="1367">
        <f t="shared" si="22"/>
        <v>0</v>
      </c>
      <c r="D96" s="1434" t="e">
        <f>B96*'Рейтинг МКД'!$D$11+'кривые-экспресс'!C96+IF('Рейтинг МКД'!$D$15="нет",7,10)</f>
        <v>#VALUE!</v>
      </c>
      <c r="E96" s="1434" t="e">
        <f t="shared" si="26"/>
        <v>#VALUE!</v>
      </c>
      <c r="F96" s="1367" t="e">
        <f t="shared" si="27"/>
        <v>#VALUE!</v>
      </c>
      <c r="G96" s="1367" t="e">
        <f t="shared" si="28"/>
        <v>#VALUE!</v>
      </c>
      <c r="H96" s="1367" t="e">
        <f t="shared" si="29"/>
        <v>#VALUE!</v>
      </c>
      <c r="I96" s="1367" t="e">
        <f t="shared" si="30"/>
        <v>#VALUE!</v>
      </c>
      <c r="J96" s="1367" t="e">
        <f t="shared" si="31"/>
        <v>#VALUE!</v>
      </c>
      <c r="K96" s="1367" t="e">
        <f t="shared" si="32"/>
        <v>#VALUE!</v>
      </c>
      <c r="L96" s="1367" t="e">
        <f t="shared" si="33"/>
        <v>#VALUE!</v>
      </c>
      <c r="M96" s="1367" t="e">
        <f t="shared" si="34"/>
        <v>#VALUE!</v>
      </c>
      <c r="N96" s="13" t="e">
        <f t="shared" si="37"/>
        <v>#VALUE!</v>
      </c>
      <c r="O96" s="13" t="e">
        <f t="shared" si="37"/>
        <v>#VALUE!</v>
      </c>
      <c r="P96" s="13" t="e">
        <f t="shared" si="37"/>
        <v>#VALUE!</v>
      </c>
      <c r="Q96" s="13" t="e">
        <f t="shared" si="37"/>
        <v>#VALUE!</v>
      </c>
      <c r="R96" s="13" t="e">
        <f t="shared" si="37"/>
        <v>#VALUE!</v>
      </c>
      <c r="S96" s="13" t="e">
        <f t="shared" si="37"/>
        <v>#VALUE!</v>
      </c>
      <c r="U96" s="13" t="str">
        <f t="shared" si="23"/>
        <v/>
      </c>
      <c r="V96" s="13" t="str">
        <f t="shared" si="24"/>
        <v/>
      </c>
      <c r="W96" s="13" t="e">
        <f t="shared" si="36"/>
        <v>#VALUE!</v>
      </c>
    </row>
    <row r="97" spans="1:23" x14ac:dyDescent="0.25">
      <c r="A97" s="1366">
        <v>0.93</v>
      </c>
      <c r="B97" s="13">
        <f t="shared" si="25"/>
        <v>0</v>
      </c>
      <c r="C97" s="1367">
        <f t="shared" si="22"/>
        <v>0</v>
      </c>
      <c r="D97" s="1434" t="e">
        <f>B97*'Рейтинг МКД'!$D$11+'кривые-экспресс'!C97+IF('Рейтинг МКД'!$D$15="нет",7,10)</f>
        <v>#VALUE!</v>
      </c>
      <c r="E97" s="1434" t="e">
        <f t="shared" si="26"/>
        <v>#VALUE!</v>
      </c>
      <c r="F97" s="1367" t="e">
        <f t="shared" si="27"/>
        <v>#VALUE!</v>
      </c>
      <c r="G97" s="1367" t="e">
        <f t="shared" si="28"/>
        <v>#VALUE!</v>
      </c>
      <c r="H97" s="1367" t="e">
        <f t="shared" si="29"/>
        <v>#VALUE!</v>
      </c>
      <c r="I97" s="1367" t="e">
        <f t="shared" si="30"/>
        <v>#VALUE!</v>
      </c>
      <c r="J97" s="1367" t="e">
        <f t="shared" si="31"/>
        <v>#VALUE!</v>
      </c>
      <c r="K97" s="1367" t="e">
        <f t="shared" si="32"/>
        <v>#VALUE!</v>
      </c>
      <c r="L97" s="1367" t="e">
        <f t="shared" si="33"/>
        <v>#VALUE!</v>
      </c>
      <c r="M97" s="1367" t="e">
        <f t="shared" si="34"/>
        <v>#VALUE!</v>
      </c>
      <c r="N97" s="13" t="e">
        <f t="shared" si="37"/>
        <v>#VALUE!</v>
      </c>
      <c r="O97" s="13" t="e">
        <f t="shared" si="37"/>
        <v>#VALUE!</v>
      </c>
      <c r="P97" s="13" t="e">
        <f t="shared" si="37"/>
        <v>#VALUE!</v>
      </c>
      <c r="Q97" s="13" t="e">
        <f t="shared" si="37"/>
        <v>#VALUE!</v>
      </c>
      <c r="R97" s="13" t="e">
        <f t="shared" si="37"/>
        <v>#VALUE!</v>
      </c>
      <c r="S97" s="13" t="e">
        <f t="shared" si="37"/>
        <v>#VALUE!</v>
      </c>
      <c r="U97" s="13" t="str">
        <f t="shared" si="23"/>
        <v/>
      </c>
      <c r="V97" s="13" t="str">
        <f t="shared" si="24"/>
        <v/>
      </c>
      <c r="W97" s="13" t="e">
        <f t="shared" si="36"/>
        <v>#VALUE!</v>
      </c>
    </row>
    <row r="98" spans="1:23" x14ac:dyDescent="0.25">
      <c r="A98" s="1366">
        <v>0.94</v>
      </c>
      <c r="B98" s="13">
        <f t="shared" si="25"/>
        <v>0</v>
      </c>
      <c r="C98" s="1367">
        <f t="shared" si="22"/>
        <v>0</v>
      </c>
      <c r="D98" s="1434" t="e">
        <f>B98*'Рейтинг МКД'!$D$11+'кривые-экспресс'!C98+IF('Рейтинг МКД'!$D$15="нет",7,10)</f>
        <v>#VALUE!</v>
      </c>
      <c r="E98" s="1434" t="e">
        <f t="shared" si="26"/>
        <v>#VALUE!</v>
      </c>
      <c r="F98" s="1367" t="e">
        <f t="shared" si="27"/>
        <v>#VALUE!</v>
      </c>
      <c r="G98" s="1367" t="e">
        <f t="shared" si="28"/>
        <v>#VALUE!</v>
      </c>
      <c r="H98" s="1367" t="e">
        <f t="shared" si="29"/>
        <v>#VALUE!</v>
      </c>
      <c r="I98" s="1367" t="e">
        <f t="shared" si="30"/>
        <v>#VALUE!</v>
      </c>
      <c r="J98" s="1367" t="e">
        <f t="shared" si="31"/>
        <v>#VALUE!</v>
      </c>
      <c r="K98" s="1367" t="e">
        <f t="shared" si="32"/>
        <v>#VALUE!</v>
      </c>
      <c r="L98" s="1367" t="e">
        <f t="shared" si="33"/>
        <v>#VALUE!</v>
      </c>
      <c r="M98" s="1367" t="e">
        <f t="shared" si="34"/>
        <v>#VALUE!</v>
      </c>
      <c r="N98" s="13" t="e">
        <f t="shared" si="37"/>
        <v>#VALUE!</v>
      </c>
      <c r="O98" s="13" t="e">
        <f t="shared" si="37"/>
        <v>#VALUE!</v>
      </c>
      <c r="P98" s="13" t="e">
        <f t="shared" si="37"/>
        <v>#VALUE!</v>
      </c>
      <c r="Q98" s="13" t="e">
        <f t="shared" si="37"/>
        <v>#VALUE!</v>
      </c>
      <c r="R98" s="13" t="e">
        <f t="shared" si="37"/>
        <v>#VALUE!</v>
      </c>
      <c r="S98" s="13" t="e">
        <f t="shared" si="37"/>
        <v>#VALUE!</v>
      </c>
      <c r="U98" s="13" t="str">
        <f t="shared" si="23"/>
        <v/>
      </c>
      <c r="V98" s="13" t="str">
        <f t="shared" si="24"/>
        <v/>
      </c>
      <c r="W98" s="13" t="e">
        <f t="shared" si="36"/>
        <v>#VALUE!</v>
      </c>
    </row>
    <row r="99" spans="1:23" x14ac:dyDescent="0.25">
      <c r="A99" s="1366">
        <v>0.95</v>
      </c>
      <c r="B99" s="13">
        <f t="shared" si="25"/>
        <v>0</v>
      </c>
      <c r="C99" s="1367">
        <f t="shared" si="22"/>
        <v>0</v>
      </c>
      <c r="D99" s="1434" t="e">
        <f>B99*'Рейтинг МКД'!$D$11+'кривые-экспресс'!C99+IF('Рейтинг МКД'!$D$15="нет",7,10)</f>
        <v>#VALUE!</v>
      </c>
      <c r="E99" s="1434" t="e">
        <f t="shared" si="26"/>
        <v>#VALUE!</v>
      </c>
      <c r="F99" s="1367" t="e">
        <f t="shared" si="27"/>
        <v>#VALUE!</v>
      </c>
      <c r="G99" s="1367" t="e">
        <f t="shared" si="28"/>
        <v>#VALUE!</v>
      </c>
      <c r="H99" s="1367" t="e">
        <f t="shared" si="29"/>
        <v>#VALUE!</v>
      </c>
      <c r="I99" s="1367" t="e">
        <f t="shared" si="30"/>
        <v>#VALUE!</v>
      </c>
      <c r="J99" s="1367" t="e">
        <f t="shared" si="31"/>
        <v>#VALUE!</v>
      </c>
      <c r="K99" s="1367" t="e">
        <f t="shared" si="32"/>
        <v>#VALUE!</v>
      </c>
      <c r="L99" s="1367" t="e">
        <f t="shared" si="33"/>
        <v>#VALUE!</v>
      </c>
      <c r="M99" s="1367" t="e">
        <f t="shared" si="34"/>
        <v>#VALUE!</v>
      </c>
      <c r="N99" s="13" t="e">
        <f t="shared" si="37"/>
        <v>#VALUE!</v>
      </c>
      <c r="O99" s="13" t="e">
        <f t="shared" si="37"/>
        <v>#VALUE!</v>
      </c>
      <c r="P99" s="13" t="e">
        <f t="shared" si="37"/>
        <v>#VALUE!</v>
      </c>
      <c r="Q99" s="13" t="e">
        <f t="shared" si="37"/>
        <v>#VALUE!</v>
      </c>
      <c r="R99" s="13" t="e">
        <f t="shared" si="37"/>
        <v>#VALUE!</v>
      </c>
      <c r="S99" s="13" t="e">
        <f t="shared" si="37"/>
        <v>#VALUE!</v>
      </c>
      <c r="U99" s="13" t="str">
        <f t="shared" si="23"/>
        <v/>
      </c>
      <c r="V99" s="13" t="str">
        <f t="shared" si="24"/>
        <v/>
      </c>
      <c r="W99" s="13" t="e">
        <f t="shared" si="36"/>
        <v>#VALUE!</v>
      </c>
    </row>
    <row r="100" spans="1:23" x14ac:dyDescent="0.25">
      <c r="A100" s="1366">
        <v>0.96</v>
      </c>
      <c r="B100" s="13">
        <f t="shared" si="25"/>
        <v>0</v>
      </c>
      <c r="C100" s="1367">
        <f t="shared" si="22"/>
        <v>0</v>
      </c>
      <c r="D100" s="1434" t="e">
        <f>B100*'Рейтинг МКД'!$D$11+'кривые-экспресс'!C100+IF('Рейтинг МКД'!$D$15="нет",7,10)</f>
        <v>#VALUE!</v>
      </c>
      <c r="E100" s="1434" t="e">
        <f t="shared" si="26"/>
        <v>#VALUE!</v>
      </c>
      <c r="F100" s="1367" t="e">
        <f t="shared" si="27"/>
        <v>#VALUE!</v>
      </c>
      <c r="G100" s="1367" t="e">
        <f t="shared" si="28"/>
        <v>#VALUE!</v>
      </c>
      <c r="H100" s="1367" t="e">
        <f t="shared" si="29"/>
        <v>#VALUE!</v>
      </c>
      <c r="I100" s="1367" t="e">
        <f t="shared" si="30"/>
        <v>#VALUE!</v>
      </c>
      <c r="J100" s="1367" t="e">
        <f t="shared" si="31"/>
        <v>#VALUE!</v>
      </c>
      <c r="K100" s="1367" t="e">
        <f t="shared" si="32"/>
        <v>#VALUE!</v>
      </c>
      <c r="L100" s="1367" t="e">
        <f t="shared" si="33"/>
        <v>#VALUE!</v>
      </c>
      <c r="M100" s="1367" t="e">
        <f t="shared" si="34"/>
        <v>#VALUE!</v>
      </c>
      <c r="N100" s="13" t="e">
        <f t="shared" si="37"/>
        <v>#VALUE!</v>
      </c>
      <c r="O100" s="13" t="e">
        <f t="shared" si="37"/>
        <v>#VALUE!</v>
      </c>
      <c r="P100" s="13" t="e">
        <f t="shared" si="37"/>
        <v>#VALUE!</v>
      </c>
      <c r="Q100" s="13" t="e">
        <f t="shared" si="37"/>
        <v>#VALUE!</v>
      </c>
      <c r="R100" s="13" t="e">
        <f t="shared" si="37"/>
        <v>#VALUE!</v>
      </c>
      <c r="S100" s="13" t="e">
        <f t="shared" si="37"/>
        <v>#VALUE!</v>
      </c>
      <c r="U100" s="13" t="str">
        <f t="shared" si="23"/>
        <v/>
      </c>
      <c r="V100" s="13" t="str">
        <f t="shared" si="24"/>
        <v/>
      </c>
      <c r="W100" s="13" t="e">
        <f t="shared" si="36"/>
        <v>#VALUE!</v>
      </c>
    </row>
    <row r="101" spans="1:23" x14ac:dyDescent="0.25">
      <c r="A101" s="1366">
        <v>0.97</v>
      </c>
      <c r="B101" s="13">
        <f t="shared" si="25"/>
        <v>0</v>
      </c>
      <c r="C101" s="1367">
        <f>$B$106*B309+$C$106*C309+$D$106*D309+$E$106*E309+$F$106*F309+$G$106*G309+$H$106*H309+$I$106*I309+$J$106*J309+$K$106*K309+$L$106*L309+$M$106*M309</f>
        <v>0</v>
      </c>
      <c r="D101" s="1434" t="e">
        <f>B101*'Рейтинг МКД'!$D$11+'кривые-экспресс'!C101+IF('Рейтинг МКД'!$D$15="нет",7,10)</f>
        <v>#VALUE!</v>
      </c>
      <c r="E101" s="1434" t="e">
        <f t="shared" si="26"/>
        <v>#VALUE!</v>
      </c>
      <c r="F101" s="1367" t="e">
        <f t="shared" si="27"/>
        <v>#VALUE!</v>
      </c>
      <c r="G101" s="1367" t="e">
        <f t="shared" si="28"/>
        <v>#VALUE!</v>
      </c>
      <c r="H101" s="1367" t="e">
        <f t="shared" si="29"/>
        <v>#VALUE!</v>
      </c>
      <c r="I101" s="1367" t="e">
        <f t="shared" si="30"/>
        <v>#VALUE!</v>
      </c>
      <c r="J101" s="1367" t="e">
        <f t="shared" si="31"/>
        <v>#VALUE!</v>
      </c>
      <c r="K101" s="1367" t="e">
        <f t="shared" si="32"/>
        <v>#VALUE!</v>
      </c>
      <c r="L101" s="1367" t="e">
        <f t="shared" si="33"/>
        <v>#VALUE!</v>
      </c>
      <c r="M101" s="1367" t="e">
        <f t="shared" si="34"/>
        <v>#VALUE!</v>
      </c>
      <c r="N101" s="13" t="e">
        <f t="shared" si="37"/>
        <v>#VALUE!</v>
      </c>
      <c r="O101" s="13" t="e">
        <f t="shared" si="37"/>
        <v>#VALUE!</v>
      </c>
      <c r="P101" s="13" t="e">
        <f t="shared" si="37"/>
        <v>#VALUE!</v>
      </c>
      <c r="Q101" s="13" t="e">
        <f t="shared" si="37"/>
        <v>#VALUE!</v>
      </c>
      <c r="R101" s="13" t="e">
        <f t="shared" si="37"/>
        <v>#VALUE!</v>
      </c>
      <c r="S101" s="13" t="e">
        <f t="shared" si="37"/>
        <v>#VALUE!</v>
      </c>
      <c r="U101" s="13" t="str">
        <f t="shared" si="23"/>
        <v/>
      </c>
      <c r="V101" s="13" t="str">
        <f t="shared" si="24"/>
        <v/>
      </c>
      <c r="W101" s="13" t="e">
        <f t="shared" si="36"/>
        <v>#VALUE!</v>
      </c>
    </row>
    <row r="102" spans="1:23" x14ac:dyDescent="0.25">
      <c r="A102" s="1366">
        <v>0.98</v>
      </c>
      <c r="B102" s="13">
        <f t="shared" si="25"/>
        <v>0</v>
      </c>
      <c r="C102" s="1367">
        <f>$B$106*B310+$C$106*C310+$D$106*D310+$E$106*E310+$F$106*F310+$G$106*G310+$H$106*H310+$I$106*I310+$J$106*J310+$K$106*K310+$L$106*L310+$M$106*M310</f>
        <v>0</v>
      </c>
      <c r="D102" s="1434" t="e">
        <f>B102*'Рейтинг МКД'!$D$11+'кривые-экспресс'!C102+IF('Рейтинг МКД'!$D$15="нет",7,10)</f>
        <v>#VALUE!</v>
      </c>
      <c r="E102" s="1434" t="e">
        <f t="shared" si="26"/>
        <v>#VALUE!</v>
      </c>
      <c r="F102" s="1367" t="e">
        <f t="shared" si="27"/>
        <v>#VALUE!</v>
      </c>
      <c r="G102" s="1367" t="e">
        <f t="shared" si="28"/>
        <v>#VALUE!</v>
      </c>
      <c r="H102" s="1367" t="e">
        <f t="shared" si="29"/>
        <v>#VALUE!</v>
      </c>
      <c r="I102" s="1367" t="e">
        <f t="shared" si="30"/>
        <v>#VALUE!</v>
      </c>
      <c r="J102" s="1367" t="e">
        <f t="shared" si="31"/>
        <v>#VALUE!</v>
      </c>
      <c r="K102" s="1367" t="e">
        <f t="shared" si="32"/>
        <v>#VALUE!</v>
      </c>
      <c r="L102" s="1367" t="e">
        <f t="shared" si="33"/>
        <v>#VALUE!</v>
      </c>
      <c r="M102" s="1367" t="e">
        <f t="shared" si="34"/>
        <v>#VALUE!</v>
      </c>
      <c r="N102" s="13" t="e">
        <f t="shared" si="37"/>
        <v>#VALUE!</v>
      </c>
      <c r="O102" s="13" t="e">
        <f t="shared" si="37"/>
        <v>#VALUE!</v>
      </c>
      <c r="P102" s="13" t="e">
        <f t="shared" si="37"/>
        <v>#VALUE!</v>
      </c>
      <c r="Q102" s="13" t="e">
        <f t="shared" si="37"/>
        <v>#VALUE!</v>
      </c>
      <c r="R102" s="13" t="e">
        <f t="shared" si="37"/>
        <v>#VALUE!</v>
      </c>
      <c r="S102" s="13" t="e">
        <f t="shared" si="37"/>
        <v>#VALUE!</v>
      </c>
      <c r="U102" s="13" t="str">
        <f t="shared" si="23"/>
        <v/>
      </c>
      <c r="V102" s="13" t="str">
        <f t="shared" si="24"/>
        <v/>
      </c>
      <c r="W102" s="13" t="e">
        <f t="shared" si="36"/>
        <v>#VALUE!</v>
      </c>
    </row>
    <row r="103" spans="1:23" x14ac:dyDescent="0.25">
      <c r="A103" s="1366">
        <v>0.99</v>
      </c>
      <c r="B103" s="13">
        <f t="shared" si="25"/>
        <v>0</v>
      </c>
      <c r="C103" s="1367">
        <f>$B$106*B311+$C$106*C311+$D$106*D311+$E$106*E311+$F$106*F311+$G$106*G311+$H$106*H311+$I$106*I311+$J$106*J311+$K$106*K311+$L$106*L311+$M$106*M311</f>
        <v>0</v>
      </c>
      <c r="D103" s="1434" t="e">
        <f>B103*'Рейтинг МКД'!$D$11+'кривые-экспресс'!C103+IF('Рейтинг МКД'!$D$15="нет",7,10)</f>
        <v>#VALUE!</v>
      </c>
      <c r="E103" s="1434" t="e">
        <f t="shared" si="26"/>
        <v>#VALUE!</v>
      </c>
      <c r="F103" s="1367" t="e">
        <f t="shared" si="27"/>
        <v>#VALUE!</v>
      </c>
      <c r="G103" s="1367" t="e">
        <f t="shared" si="28"/>
        <v>#VALUE!</v>
      </c>
      <c r="H103" s="1367" t="e">
        <f t="shared" si="29"/>
        <v>#VALUE!</v>
      </c>
      <c r="I103" s="1367" t="e">
        <f t="shared" si="30"/>
        <v>#VALUE!</v>
      </c>
      <c r="J103" s="1367" t="e">
        <f t="shared" si="31"/>
        <v>#VALUE!</v>
      </c>
      <c r="K103" s="1367" t="e">
        <f t="shared" si="32"/>
        <v>#VALUE!</v>
      </c>
      <c r="L103" s="1367" t="e">
        <f t="shared" si="33"/>
        <v>#VALUE!</v>
      </c>
      <c r="M103" s="1367" t="e">
        <f t="shared" si="34"/>
        <v>#VALUE!</v>
      </c>
      <c r="N103" s="13" t="e">
        <f t="shared" ref="N103:S104" si="38">N102</f>
        <v>#VALUE!</v>
      </c>
      <c r="O103" s="13" t="e">
        <f t="shared" si="38"/>
        <v>#VALUE!</v>
      </c>
      <c r="P103" s="13" t="e">
        <f t="shared" si="38"/>
        <v>#VALUE!</v>
      </c>
      <c r="Q103" s="13" t="e">
        <f t="shared" si="38"/>
        <v>#VALUE!</v>
      </c>
      <c r="R103" s="13" t="e">
        <f t="shared" si="38"/>
        <v>#VALUE!</v>
      </c>
      <c r="S103" s="13" t="e">
        <f t="shared" si="38"/>
        <v>#VALUE!</v>
      </c>
      <c r="U103" s="13" t="str">
        <f t="shared" si="23"/>
        <v/>
      </c>
      <c r="V103" s="13" t="str">
        <f t="shared" si="24"/>
        <v/>
      </c>
      <c r="W103" s="13" t="e">
        <f t="shared" si="36"/>
        <v>#VALUE!</v>
      </c>
    </row>
    <row r="104" spans="1:23" x14ac:dyDescent="0.25">
      <c r="A104" s="1366">
        <v>1</v>
      </c>
      <c r="B104" s="13">
        <f t="shared" si="25"/>
        <v>0</v>
      </c>
      <c r="C104" s="1367">
        <f>$B$106*B312+$C$106*C312+$D$106*D312+$E$106*E312+$F$106*F312+$G$106*G312+$H$106*H312+$I$106*I312+$J$106*J312+$K$106*K312+$L$106*L312+$M$106*M312</f>
        <v>0</v>
      </c>
      <c r="D104" s="1434" t="e">
        <f>B104*'Рейтинг МКД'!$D$11+'кривые-экспресс'!C104+IF('Рейтинг МКД'!$D$15="нет",7,10)</f>
        <v>#VALUE!</v>
      </c>
      <c r="E104" s="1434" t="e">
        <f t="shared" si="26"/>
        <v>#VALUE!</v>
      </c>
      <c r="F104" s="1367" t="e">
        <f t="shared" si="27"/>
        <v>#VALUE!</v>
      </c>
      <c r="G104" s="1367" t="e">
        <f t="shared" si="28"/>
        <v>#VALUE!</v>
      </c>
      <c r="H104" s="1367" t="e">
        <f t="shared" si="29"/>
        <v>#VALUE!</v>
      </c>
      <c r="I104" s="1367" t="e">
        <f t="shared" si="30"/>
        <v>#VALUE!</v>
      </c>
      <c r="J104" s="1367" t="e">
        <f t="shared" si="31"/>
        <v>#VALUE!</v>
      </c>
      <c r="K104" s="1367" t="e">
        <f t="shared" si="32"/>
        <v>#VALUE!</v>
      </c>
      <c r="L104" s="1367" t="e">
        <f t="shared" si="33"/>
        <v>#VALUE!</v>
      </c>
      <c r="M104" s="1367" t="e">
        <f t="shared" si="34"/>
        <v>#VALUE!</v>
      </c>
      <c r="N104" s="13" t="e">
        <f t="shared" si="38"/>
        <v>#VALUE!</v>
      </c>
      <c r="O104" s="13" t="e">
        <f t="shared" si="38"/>
        <v>#VALUE!</v>
      </c>
      <c r="P104" s="13" t="e">
        <f t="shared" si="38"/>
        <v>#VALUE!</v>
      </c>
      <c r="Q104" s="13" t="e">
        <f t="shared" si="38"/>
        <v>#VALUE!</v>
      </c>
      <c r="R104" s="13" t="e">
        <f t="shared" si="38"/>
        <v>#VALUE!</v>
      </c>
      <c r="S104" s="13" t="e">
        <f t="shared" si="38"/>
        <v>#VALUE!</v>
      </c>
      <c r="U104" s="13">
        <f>IF(AND($U$3&gt;=B104),$U$3,"")</f>
        <v>0</v>
      </c>
      <c r="V104" s="13">
        <f>IF(AND($V$3&gt;=C104),$V$3,"")</f>
        <v>0</v>
      </c>
      <c r="W104" s="13" t="e">
        <f>IF(AND($W$3&gt;=SUM(E104:M104)),$W$3,"")</f>
        <v>#VALUE!</v>
      </c>
    </row>
    <row r="106" spans="1:23" x14ac:dyDescent="0.25">
      <c r="B106" s="13">
        <f>IF(AND('Рейтинг МКД'!$D$13&gt;=1,'Рейтинг МКД'!$D$13&lt;=2,'Рейтинг МКД'!$D$12&lt;=1999),1,0)</f>
        <v>0</v>
      </c>
      <c r="C106" s="13">
        <f>IF(AND('Рейтинг МКД'!$D$13&gt;=1,'Рейтинг МКД'!$D$13&lt;=2,'Рейтинг МКД'!$D$12&gt;1999),1,0)</f>
        <v>0</v>
      </c>
      <c r="D106" s="13">
        <f>IF(AND('Рейтинг МКД'!$D$13&gt;=3,'Рейтинг МКД'!$D$13&lt;=4,'Рейтинг МКД'!$D$12&lt;=1999),1,0)</f>
        <v>0</v>
      </c>
      <c r="E106" s="13">
        <f>IF(AND('Рейтинг МКД'!$D$13&gt;=3,'Рейтинг МКД'!$D$13&lt;=4,'Рейтинг МКД'!$D$12&gt;1999),1,0)</f>
        <v>0</v>
      </c>
      <c r="F106" s="13">
        <f>IF(AND('Рейтинг МКД'!$D$13&gt;=5,'Рейтинг МКД'!$D$13&lt;=6,'Рейтинг МКД'!$D$12&lt;=1999),1,0)</f>
        <v>0</v>
      </c>
      <c r="G106" s="13">
        <f>IF(AND('Рейтинг МКД'!$D$13&gt;=5,'Рейтинг МКД'!$D$13&lt;=6,'Рейтинг МКД'!$D$12&gt;1999),1,0)</f>
        <v>0</v>
      </c>
      <c r="H106" s="13">
        <f>IF(AND('Рейтинг МКД'!$D$13&gt;=7,'Рейтинг МКД'!$D$13&lt;=8,'Рейтинг МКД'!$D$12&lt;=1999),1,0)</f>
        <v>0</v>
      </c>
      <c r="I106" s="1369">
        <f>IF(AND('Рейтинг МКД'!$D$13&gt;=7,'Рейтинг МКД'!$D$13&lt;=8,'Рейтинг МКД'!$D$12&gt;1999),1,0)</f>
        <v>0</v>
      </c>
      <c r="J106" s="13">
        <f>IF(AND('Рейтинг МКД'!$D$13&gt;=9,'Рейтинг МКД'!$D$13&lt;=10,'Рейтинг МКД'!$D$12&lt;=1999),1,0)</f>
        <v>0</v>
      </c>
      <c r="K106" s="13">
        <f>IF(AND('Рейтинг МКД'!$D$13&gt;=9,'Рейтинг МКД'!$D$13&lt;=10,'Рейтинг МКД'!$D$12&gt;1999),1,0)</f>
        <v>0</v>
      </c>
      <c r="L106" s="13">
        <f>IF(AND('Рейтинг МКД'!$D$13&gt;=11,'Рейтинг МКД'!$D$12&lt;=1999),1,0)</f>
        <v>0</v>
      </c>
      <c r="M106" s="13">
        <f>IF(AND('Рейтинг МКД'!$D$13&gt;=11,'Рейтинг МКД'!$D$12&gt;1999),1,0)</f>
        <v>0</v>
      </c>
    </row>
    <row r="107" spans="1:23" x14ac:dyDescent="0.25">
      <c r="A107" s="13" t="s">
        <v>982</v>
      </c>
      <c r="B107" s="13" t="s">
        <v>1845</v>
      </c>
      <c r="C107" s="13" t="s">
        <v>1846</v>
      </c>
      <c r="D107" s="13" t="s">
        <v>1847</v>
      </c>
      <c r="E107" s="13" t="s">
        <v>1848</v>
      </c>
      <c r="F107" s="13" t="s">
        <v>1849</v>
      </c>
      <c r="G107" s="13" t="s">
        <v>1850</v>
      </c>
      <c r="H107" s="13" t="s">
        <v>1851</v>
      </c>
      <c r="I107" s="1369" t="s">
        <v>1852</v>
      </c>
      <c r="J107" s="13" t="s">
        <v>1853</v>
      </c>
      <c r="K107" s="13" t="s">
        <v>1854</v>
      </c>
      <c r="L107" s="13" t="s">
        <v>1855</v>
      </c>
      <c r="M107" s="13" t="s">
        <v>1856</v>
      </c>
    </row>
    <row r="108" spans="1:23" x14ac:dyDescent="0.25">
      <c r="A108" s="1368">
        <v>0</v>
      </c>
      <c r="B108" s="13">
        <v>1.2518611009768933E-2</v>
      </c>
      <c r="C108" s="13">
        <v>1.4047915768288561E-2</v>
      </c>
      <c r="D108" s="13">
        <v>1.2E-2</v>
      </c>
      <c r="E108" s="13">
        <v>1.2999999999999999E-2</v>
      </c>
      <c r="F108" s="13">
        <v>1.12E-2</v>
      </c>
      <c r="G108" s="13">
        <v>0.01</v>
      </c>
      <c r="H108" s="13">
        <v>1.26E-2</v>
      </c>
      <c r="I108" s="1369">
        <v>8.9999999999999993E-3</v>
      </c>
      <c r="J108" s="13">
        <v>0.01</v>
      </c>
      <c r="K108" s="13">
        <v>0.01</v>
      </c>
      <c r="L108" s="13">
        <v>9.4099272569436107E-3</v>
      </c>
      <c r="M108" s="13">
        <v>0.01</v>
      </c>
    </row>
    <row r="109" spans="1:23" x14ac:dyDescent="0.25">
      <c r="A109" s="1368">
        <v>0.01</v>
      </c>
      <c r="B109" s="13">
        <v>1.2518611009768933E-2</v>
      </c>
      <c r="C109" s="13">
        <v>1.6744486152101039E-2</v>
      </c>
      <c r="D109" s="13">
        <v>1.2999999999999999E-2</v>
      </c>
      <c r="E109" s="13">
        <v>1.4E-2</v>
      </c>
      <c r="F109" s="13">
        <v>1.4500000000000001E-2</v>
      </c>
      <c r="G109" s="13">
        <v>0.01</v>
      </c>
      <c r="H109" s="13">
        <v>1.3899999999999999E-2</v>
      </c>
      <c r="I109" s="1369">
        <v>1.0200000000000001E-2</v>
      </c>
      <c r="J109" s="13">
        <v>1.6E-2</v>
      </c>
      <c r="K109" s="13">
        <v>1.234662179741482E-2</v>
      </c>
      <c r="L109" s="13">
        <v>1.5409927256943611E-2</v>
      </c>
      <c r="M109" s="13">
        <v>1.6E-2</v>
      </c>
    </row>
    <row r="110" spans="1:23" x14ac:dyDescent="0.25">
      <c r="A110" s="1368">
        <v>0.02</v>
      </c>
      <c r="B110" s="13">
        <v>2.3730427195291521E-2</v>
      </c>
      <c r="C110" s="13">
        <v>1.7994539046042025E-2</v>
      </c>
      <c r="D110" s="13">
        <v>1.4E-2</v>
      </c>
      <c r="E110" s="13">
        <v>1.4999999999999999E-2</v>
      </c>
      <c r="F110" s="13">
        <v>1.7000000000000001E-2</v>
      </c>
      <c r="G110" s="13">
        <v>1.0999999999999999E-2</v>
      </c>
      <c r="H110" s="13">
        <v>1.6400000000000001E-2</v>
      </c>
      <c r="I110" s="1369">
        <v>1.0999999999999999E-2</v>
      </c>
      <c r="J110" s="13">
        <v>1.7000000000000001E-2</v>
      </c>
      <c r="K110" s="13">
        <v>1.325700504526809E-2</v>
      </c>
      <c r="L110" s="13">
        <v>1.7027405640847443E-2</v>
      </c>
      <c r="M110" s="13">
        <v>1.6E-2</v>
      </c>
    </row>
    <row r="111" spans="1:23" x14ac:dyDescent="0.25">
      <c r="A111" s="1368">
        <v>0.03</v>
      </c>
      <c r="B111" s="13">
        <v>2.8207780011331618E-2</v>
      </c>
      <c r="C111" s="13">
        <v>1.8587151483553447E-2</v>
      </c>
      <c r="D111" s="13">
        <v>1.6E-2</v>
      </c>
      <c r="E111" s="13">
        <v>1.4999999999999999E-2</v>
      </c>
      <c r="F111" s="13">
        <v>1.8499999999999999E-2</v>
      </c>
      <c r="G111" s="13">
        <v>1.0999999999999999E-2</v>
      </c>
      <c r="H111" s="13">
        <v>1.8499999999999999E-2</v>
      </c>
      <c r="I111" s="1369">
        <v>1.23E-2</v>
      </c>
      <c r="J111" s="13">
        <v>1.7999999999999999E-2</v>
      </c>
      <c r="K111" s="13">
        <v>1.4052958120005163E-2</v>
      </c>
      <c r="L111" s="13">
        <v>2.0340342096888515E-2</v>
      </c>
      <c r="M111" s="13">
        <v>2.1999999999999999E-2</v>
      </c>
    </row>
    <row r="112" spans="1:23" x14ac:dyDescent="0.25">
      <c r="A112" s="1368">
        <v>0.04</v>
      </c>
      <c r="B112" s="13">
        <v>3.1315578974189691E-2</v>
      </c>
      <c r="C112" s="13">
        <v>1.9213086603724425E-2</v>
      </c>
      <c r="D112" s="13">
        <v>1.7999999999999999E-2</v>
      </c>
      <c r="E112" s="13">
        <v>1.6E-2</v>
      </c>
      <c r="F112" s="13">
        <v>2.0199999999999999E-2</v>
      </c>
      <c r="G112" s="13">
        <v>1.2999999999999999E-2</v>
      </c>
      <c r="H112" s="13">
        <v>1.9800000000000002E-2</v>
      </c>
      <c r="I112" s="1369">
        <v>1.38E-2</v>
      </c>
      <c r="J112" s="13">
        <v>1.9E-2</v>
      </c>
      <c r="K112" s="13">
        <v>1.4822130137515242E-2</v>
      </c>
      <c r="L112" s="13">
        <v>2.3647531042765228E-2</v>
      </c>
      <c r="M112" s="13">
        <v>2.1999999999999999E-2</v>
      </c>
    </row>
    <row r="113" spans="1:13" x14ac:dyDescent="0.25">
      <c r="A113" s="1368">
        <v>0.05</v>
      </c>
      <c r="B113" s="13">
        <v>3.2711214641022224E-2</v>
      </c>
      <c r="C113" s="13">
        <v>2.0551086509565587E-2</v>
      </c>
      <c r="D113" s="13">
        <v>0.02</v>
      </c>
      <c r="E113" s="13">
        <v>1.6E-2</v>
      </c>
      <c r="F113" s="13">
        <v>2.18E-2</v>
      </c>
      <c r="G113" s="13">
        <v>1.2999999999999999E-2</v>
      </c>
      <c r="H113" s="13">
        <v>2.0899999999999998E-2</v>
      </c>
      <c r="I113" s="1369">
        <v>1.5100000000000001E-2</v>
      </c>
      <c r="J113" s="13">
        <v>2.1000000000000001E-2</v>
      </c>
      <c r="K113" s="13">
        <v>1.5620551011048823E-2</v>
      </c>
      <c r="L113" s="13">
        <v>2.405787392088762E-2</v>
      </c>
      <c r="M113" s="13">
        <v>2.5000000000000001E-2</v>
      </c>
    </row>
    <row r="114" spans="1:13" x14ac:dyDescent="0.25">
      <c r="A114" s="1368">
        <v>0.06</v>
      </c>
      <c r="B114" s="13">
        <v>3.4561155794208036E-2</v>
      </c>
      <c r="C114" s="13">
        <v>2.0892659679225895E-2</v>
      </c>
      <c r="D114" s="13">
        <v>2.1999999999999999E-2</v>
      </c>
      <c r="E114" s="13">
        <v>1.7000000000000001E-2</v>
      </c>
      <c r="F114" s="13">
        <v>2.3300000000000001E-2</v>
      </c>
      <c r="G114" s="13">
        <v>1.4999999999999999E-2</v>
      </c>
      <c r="H114" s="13">
        <v>2.1899999999999999E-2</v>
      </c>
      <c r="I114" s="1369">
        <v>1.5699999999999999E-2</v>
      </c>
      <c r="J114" s="13">
        <v>2.1999999999999999E-2</v>
      </c>
      <c r="K114" s="13">
        <v>1.6369951330399042E-2</v>
      </c>
      <c r="L114" s="13">
        <v>2.5870648308864937E-2</v>
      </c>
      <c r="M114" s="13">
        <v>2.5000000000000001E-2</v>
      </c>
    </row>
    <row r="115" spans="1:13" x14ac:dyDescent="0.25">
      <c r="A115" s="1368">
        <v>7.0000000000000007E-2</v>
      </c>
      <c r="B115" s="13">
        <v>3.6167907269765195E-2</v>
      </c>
      <c r="C115" s="13">
        <v>2.1852629067088892E-2</v>
      </c>
      <c r="D115" s="13">
        <v>2.3E-2</v>
      </c>
      <c r="E115" s="13">
        <v>1.7999999999999999E-2</v>
      </c>
      <c r="F115" s="13">
        <v>2.46E-2</v>
      </c>
      <c r="G115" s="13">
        <v>1.4999999999999999E-2</v>
      </c>
      <c r="H115" s="13">
        <v>2.29E-2</v>
      </c>
      <c r="I115" s="1369">
        <v>1.6199999999999999E-2</v>
      </c>
      <c r="J115" s="13">
        <v>2.1999999999999999E-2</v>
      </c>
      <c r="K115" s="13">
        <v>1.6811995848327547E-2</v>
      </c>
      <c r="L115" s="13">
        <v>2.7492432232979699E-2</v>
      </c>
      <c r="M115" s="13">
        <v>2.8000000000000001E-2</v>
      </c>
    </row>
    <row r="116" spans="1:13" x14ac:dyDescent="0.25">
      <c r="A116" s="1368">
        <v>0.08</v>
      </c>
      <c r="B116" s="13">
        <v>3.8090889275272773E-2</v>
      </c>
      <c r="C116" s="13">
        <v>2.3368432058205598E-2</v>
      </c>
      <c r="D116" s="13">
        <v>2.5000000000000001E-2</v>
      </c>
      <c r="E116" s="13">
        <v>1.7999999999999999E-2</v>
      </c>
      <c r="F116" s="13">
        <v>2.5600000000000001E-2</v>
      </c>
      <c r="G116" s="13">
        <v>1.6E-2</v>
      </c>
      <c r="H116" s="13">
        <v>2.3400000000000001E-2</v>
      </c>
      <c r="I116" s="1369">
        <v>1.66E-2</v>
      </c>
      <c r="J116" s="13">
        <v>2.5999999999999999E-2</v>
      </c>
      <c r="K116" s="13">
        <v>1.7752587690267739E-2</v>
      </c>
      <c r="L116" s="13">
        <v>3.0312879599075297E-2</v>
      </c>
      <c r="M116" s="13">
        <v>2.8000000000000001E-2</v>
      </c>
    </row>
    <row r="117" spans="1:13" x14ac:dyDescent="0.25">
      <c r="A117" s="1368">
        <v>0.09</v>
      </c>
      <c r="B117" s="13">
        <v>3.8998525963169502E-2</v>
      </c>
      <c r="C117" s="13">
        <v>2.414475391002224E-2</v>
      </c>
      <c r="D117" s="13">
        <v>2.5999999999999999E-2</v>
      </c>
      <c r="E117" s="13">
        <v>1.7999999999999999E-2</v>
      </c>
      <c r="F117" s="13">
        <v>2.64E-2</v>
      </c>
      <c r="G117" s="13">
        <v>1.6E-2</v>
      </c>
      <c r="H117" s="13">
        <v>2.3800000000000002E-2</v>
      </c>
      <c r="I117" s="1369">
        <v>1.7000000000000001E-2</v>
      </c>
      <c r="J117" s="13">
        <v>2.5999999999999999E-2</v>
      </c>
      <c r="K117" s="13">
        <v>1.8266019851654793E-2</v>
      </c>
      <c r="L117" s="13">
        <v>3.0872565525811201E-2</v>
      </c>
      <c r="M117" s="13">
        <v>3.1E-2</v>
      </c>
    </row>
    <row r="118" spans="1:13" x14ac:dyDescent="0.25">
      <c r="A118" s="1368">
        <v>0.1</v>
      </c>
      <c r="B118" s="13">
        <v>4.0586187952889118E-2</v>
      </c>
      <c r="C118" s="13">
        <v>2.4522761015102632E-2</v>
      </c>
      <c r="D118" s="13">
        <v>2.7E-2</v>
      </c>
      <c r="E118" s="13">
        <v>1.9E-2</v>
      </c>
      <c r="F118" s="13">
        <v>2.7199999999999998E-2</v>
      </c>
      <c r="G118" s="13">
        <v>1.7000000000000001E-2</v>
      </c>
      <c r="H118" s="13">
        <v>2.4400000000000002E-2</v>
      </c>
      <c r="I118" s="1369">
        <v>1.7600000000000001E-2</v>
      </c>
      <c r="J118" s="13">
        <v>2.8000000000000001E-2</v>
      </c>
      <c r="K118" s="13">
        <v>1.8916997917546977E-2</v>
      </c>
      <c r="L118" s="13">
        <v>3.1251241226264839E-2</v>
      </c>
      <c r="M118" s="13">
        <v>3.1E-2</v>
      </c>
    </row>
    <row r="119" spans="1:13" x14ac:dyDescent="0.25">
      <c r="A119" s="1368">
        <v>0.11</v>
      </c>
      <c r="B119" s="13">
        <v>4.1791698663043698E-2</v>
      </c>
      <c r="C119" s="13">
        <v>2.5342519185278203E-2</v>
      </c>
      <c r="D119" s="13">
        <v>2.7E-2</v>
      </c>
      <c r="E119" s="13">
        <v>0.02</v>
      </c>
      <c r="F119" s="13">
        <v>2.8000000000000001E-2</v>
      </c>
      <c r="G119" s="13">
        <v>1.7000000000000001E-2</v>
      </c>
      <c r="H119" s="13">
        <v>2.4799999999999999E-2</v>
      </c>
      <c r="I119" s="1369">
        <v>1.7999999999999999E-2</v>
      </c>
      <c r="J119" s="13">
        <v>2.8000000000000001E-2</v>
      </c>
      <c r="K119" s="13">
        <v>1.9442595570374196E-2</v>
      </c>
      <c r="L119" s="13">
        <v>3.19958476783061E-2</v>
      </c>
      <c r="M119" s="13">
        <v>3.3000000000000002E-2</v>
      </c>
    </row>
    <row r="120" spans="1:13" x14ac:dyDescent="0.25">
      <c r="A120" s="1368">
        <v>0.12</v>
      </c>
      <c r="B120" s="13">
        <v>4.2662232746286007E-2</v>
      </c>
      <c r="C120" s="13">
        <v>2.5704335669128019E-2</v>
      </c>
      <c r="D120" s="13">
        <v>2.8000000000000001E-2</v>
      </c>
      <c r="E120" s="13">
        <v>0.02</v>
      </c>
      <c r="F120" s="13">
        <v>2.87E-2</v>
      </c>
      <c r="G120" s="13">
        <v>1.7999999999999999E-2</v>
      </c>
      <c r="H120" s="13">
        <v>2.53E-2</v>
      </c>
      <c r="I120" s="1369">
        <v>1.8599999999999998E-2</v>
      </c>
      <c r="J120" s="13">
        <v>2.9000000000000001E-2</v>
      </c>
      <c r="K120" s="13">
        <v>1.9817689612917907E-2</v>
      </c>
      <c r="L120" s="13">
        <v>3.2728869587910381E-2</v>
      </c>
      <c r="M120" s="13">
        <v>3.3000000000000002E-2</v>
      </c>
    </row>
    <row r="121" spans="1:13" x14ac:dyDescent="0.25">
      <c r="A121" s="1368">
        <v>0.13</v>
      </c>
      <c r="B121" s="13">
        <v>4.3718239170003691E-2</v>
      </c>
      <c r="C121" s="13">
        <v>2.6228852246727122E-2</v>
      </c>
      <c r="D121" s="13">
        <v>2.9000000000000001E-2</v>
      </c>
      <c r="E121" s="13">
        <v>2.1000000000000001E-2</v>
      </c>
      <c r="F121" s="13">
        <v>2.92E-2</v>
      </c>
      <c r="G121" s="13">
        <v>1.7999999999999999E-2</v>
      </c>
      <c r="H121" s="13">
        <v>2.5700000000000001E-2</v>
      </c>
      <c r="I121" s="1369">
        <v>1.9300000000000001E-2</v>
      </c>
      <c r="J121" s="13">
        <v>2.9000000000000001E-2</v>
      </c>
      <c r="K121" s="13">
        <v>2.0378749311284718E-2</v>
      </c>
      <c r="L121" s="13">
        <v>3.3460169531503013E-2</v>
      </c>
      <c r="M121" s="13">
        <v>3.4000000000000002E-2</v>
      </c>
    </row>
    <row r="122" spans="1:13" x14ac:dyDescent="0.25">
      <c r="A122" s="1368">
        <v>0.14000000000000001</v>
      </c>
      <c r="B122" s="13">
        <v>4.427244871091375E-2</v>
      </c>
      <c r="C122" s="13">
        <v>2.6600713942119512E-2</v>
      </c>
      <c r="D122" s="13">
        <v>0.03</v>
      </c>
      <c r="E122" s="13">
        <v>2.1000000000000001E-2</v>
      </c>
      <c r="F122" s="13">
        <v>2.9700000000000001E-2</v>
      </c>
      <c r="G122" s="13">
        <v>1.9E-2</v>
      </c>
      <c r="H122" s="13">
        <v>2.6200000000000001E-2</v>
      </c>
      <c r="I122" s="1369">
        <v>1.9800000000000002E-2</v>
      </c>
      <c r="J122" s="13">
        <v>3.1E-2</v>
      </c>
      <c r="K122" s="13">
        <v>2.1028110096437319E-2</v>
      </c>
      <c r="L122" s="13">
        <v>3.3866357879394404E-2</v>
      </c>
      <c r="M122" s="13">
        <v>3.4000000000000002E-2</v>
      </c>
    </row>
    <row r="123" spans="1:13" x14ac:dyDescent="0.25">
      <c r="A123" s="1368">
        <v>0.15</v>
      </c>
      <c r="B123" s="13">
        <v>4.4802375688124028E-2</v>
      </c>
      <c r="C123" s="13">
        <v>2.6726429576302866E-2</v>
      </c>
      <c r="D123" s="13">
        <v>3.1E-2</v>
      </c>
      <c r="E123" s="13">
        <v>2.1000000000000001E-2</v>
      </c>
      <c r="F123" s="13">
        <v>3.0099999999999998E-2</v>
      </c>
      <c r="G123" s="13">
        <v>1.9E-2</v>
      </c>
      <c r="H123" s="13">
        <v>2.6700000000000002E-2</v>
      </c>
      <c r="I123" s="1369">
        <v>2.0299999999999999E-2</v>
      </c>
      <c r="J123" s="13">
        <v>3.1E-2</v>
      </c>
      <c r="K123" s="13">
        <v>2.1399775730222333E-2</v>
      </c>
      <c r="L123" s="13">
        <v>3.4428427215100178E-2</v>
      </c>
      <c r="M123" s="13">
        <v>3.5000000000000003E-2</v>
      </c>
    </row>
    <row r="124" spans="1:13" x14ac:dyDescent="0.25">
      <c r="A124" s="1368">
        <v>0.16</v>
      </c>
      <c r="B124" s="13">
        <v>4.5009215790145864E-2</v>
      </c>
      <c r="C124" s="13">
        <v>2.7027709470229623E-2</v>
      </c>
      <c r="D124" s="13">
        <v>3.1E-2</v>
      </c>
      <c r="E124" s="13">
        <v>2.1999999999999999E-2</v>
      </c>
      <c r="F124" s="13">
        <v>3.0599999999999999E-2</v>
      </c>
      <c r="G124" s="13">
        <v>2.1000000000000001E-2</v>
      </c>
      <c r="H124" s="13">
        <v>2.7199999999999998E-2</v>
      </c>
      <c r="I124" s="1369">
        <v>2.07E-2</v>
      </c>
      <c r="J124" s="13">
        <v>3.2000000000000001E-2</v>
      </c>
      <c r="K124" s="13">
        <v>2.185637915131429E-2</v>
      </c>
      <c r="L124" s="13">
        <v>3.4605575642488062E-2</v>
      </c>
      <c r="M124" s="13">
        <v>3.5000000000000003E-2</v>
      </c>
    </row>
    <row r="125" spans="1:13" x14ac:dyDescent="0.25">
      <c r="A125" s="1368">
        <v>0.17</v>
      </c>
      <c r="B125" s="13">
        <v>4.5082021272042402E-2</v>
      </c>
      <c r="C125" s="13">
        <v>2.7665747119575829E-2</v>
      </c>
      <c r="D125" s="13">
        <v>3.2000000000000001E-2</v>
      </c>
      <c r="E125" s="13">
        <v>2.1999999999999999E-2</v>
      </c>
      <c r="F125" s="13">
        <v>3.1E-2</v>
      </c>
      <c r="G125" s="13">
        <v>2.1000000000000001E-2</v>
      </c>
      <c r="H125" s="13">
        <v>2.76E-2</v>
      </c>
      <c r="I125" s="1369">
        <v>2.1100000000000001E-2</v>
      </c>
      <c r="J125" s="13">
        <v>3.2000000000000001E-2</v>
      </c>
      <c r="K125" s="13">
        <v>2.1984020671084049E-2</v>
      </c>
      <c r="L125" s="13">
        <v>3.4817425366653887E-2</v>
      </c>
      <c r="M125" s="13">
        <v>3.5999999999999997E-2</v>
      </c>
    </row>
    <row r="126" spans="1:13" x14ac:dyDescent="0.25">
      <c r="A126" s="1368">
        <v>0.18</v>
      </c>
      <c r="B126" s="13">
        <v>4.5168756818054739E-2</v>
      </c>
      <c r="C126" s="13">
        <v>2.8204982049412859E-2</v>
      </c>
      <c r="D126" s="13">
        <v>3.2000000000000001E-2</v>
      </c>
      <c r="E126" s="13">
        <v>2.1999999999999999E-2</v>
      </c>
      <c r="F126" s="13">
        <v>3.15E-2</v>
      </c>
      <c r="G126" s="13">
        <v>2.1999999999999999E-2</v>
      </c>
      <c r="H126" s="13">
        <v>2.8199999999999999E-2</v>
      </c>
      <c r="I126" s="1369">
        <v>2.1499999999999998E-2</v>
      </c>
      <c r="J126" s="13">
        <v>3.3000000000000002E-2</v>
      </c>
      <c r="K126" s="13">
        <v>2.2460605852421271E-2</v>
      </c>
      <c r="L126" s="13">
        <v>3.6471213550236498E-2</v>
      </c>
      <c r="M126" s="13">
        <v>3.5999999999999997E-2</v>
      </c>
    </row>
    <row r="127" spans="1:13" x14ac:dyDescent="0.25">
      <c r="A127" s="1368">
        <v>0.19</v>
      </c>
      <c r="B127" s="13">
        <v>4.5617682523408448E-2</v>
      </c>
      <c r="C127" s="13">
        <v>2.8637196297272637E-2</v>
      </c>
      <c r="D127" s="13">
        <v>3.3000000000000002E-2</v>
      </c>
      <c r="E127" s="13">
        <v>2.3E-2</v>
      </c>
      <c r="F127" s="13">
        <v>3.1899999999999998E-2</v>
      </c>
      <c r="G127" s="13">
        <v>2.1999999999999999E-2</v>
      </c>
      <c r="H127" s="13">
        <v>2.8500000000000001E-2</v>
      </c>
      <c r="I127" s="1369">
        <v>2.1700000000000001E-2</v>
      </c>
      <c r="J127" s="13">
        <v>3.3000000000000002E-2</v>
      </c>
      <c r="K127" s="13">
        <v>2.2838194022122699E-2</v>
      </c>
      <c r="L127" s="13">
        <v>3.6728572993301969E-2</v>
      </c>
      <c r="M127" s="13">
        <v>3.6999999999999998E-2</v>
      </c>
    </row>
    <row r="128" spans="1:13" x14ac:dyDescent="0.25">
      <c r="A128" s="1368">
        <v>0.2</v>
      </c>
      <c r="B128" s="13">
        <v>4.6517433520909195E-2</v>
      </c>
      <c r="C128" s="13">
        <v>2.9059986982400851E-2</v>
      </c>
      <c r="D128" s="13">
        <v>3.3000000000000002E-2</v>
      </c>
      <c r="E128" s="13">
        <v>2.3E-2</v>
      </c>
      <c r="F128" s="13">
        <v>3.2300000000000002E-2</v>
      </c>
      <c r="G128" s="13">
        <v>2.3E-2</v>
      </c>
      <c r="H128" s="13">
        <v>2.8899999999999999E-2</v>
      </c>
      <c r="I128" s="1369">
        <v>2.1999999999999999E-2</v>
      </c>
      <c r="J128" s="13">
        <v>3.4000000000000002E-2</v>
      </c>
      <c r="K128" s="13">
        <v>2.3024044755924799E-2</v>
      </c>
      <c r="L128" s="13">
        <v>3.7221276778921654E-2</v>
      </c>
      <c r="M128" s="13">
        <v>3.6999999999999998E-2</v>
      </c>
    </row>
    <row r="129" spans="1:13" x14ac:dyDescent="0.25">
      <c r="A129" s="1368">
        <v>0.21</v>
      </c>
      <c r="B129" s="13">
        <v>4.7426905508617466E-2</v>
      </c>
      <c r="C129" s="13">
        <v>2.9390290978797352E-2</v>
      </c>
      <c r="D129" s="13">
        <v>3.4000000000000002E-2</v>
      </c>
      <c r="E129" s="13">
        <v>2.3E-2</v>
      </c>
      <c r="F129" s="13">
        <v>3.2800000000000003E-2</v>
      </c>
      <c r="G129" s="13">
        <v>2.3E-2</v>
      </c>
      <c r="H129" s="13">
        <v>2.92E-2</v>
      </c>
      <c r="I129" s="1369">
        <v>2.24E-2</v>
      </c>
      <c r="J129" s="13">
        <v>3.4000000000000002E-2</v>
      </c>
      <c r="K129" s="13">
        <v>2.337339301438951E-2</v>
      </c>
      <c r="L129" s="13">
        <v>3.7629890684089271E-2</v>
      </c>
      <c r="M129" s="13">
        <v>3.7999999999999999E-2</v>
      </c>
    </row>
    <row r="130" spans="1:13" x14ac:dyDescent="0.25">
      <c r="A130" s="1368">
        <v>0.22</v>
      </c>
      <c r="B130" s="13">
        <v>4.8355801953879153E-2</v>
      </c>
      <c r="C130" s="13">
        <v>2.9672242497434925E-2</v>
      </c>
      <c r="D130" s="13">
        <v>3.4000000000000002E-2</v>
      </c>
      <c r="E130" s="13">
        <v>2.4E-2</v>
      </c>
      <c r="F130" s="13">
        <v>3.32E-2</v>
      </c>
      <c r="G130" s="13">
        <v>2.3E-2</v>
      </c>
      <c r="H130" s="13">
        <v>2.9499999999999998E-2</v>
      </c>
      <c r="I130" s="1369">
        <v>2.3099999999999999E-2</v>
      </c>
      <c r="J130" s="13">
        <v>3.4000000000000002E-2</v>
      </c>
      <c r="K130" s="13">
        <v>2.3784054794430177E-2</v>
      </c>
      <c r="L130" s="13">
        <v>3.8222424475728732E-2</v>
      </c>
      <c r="M130" s="13">
        <v>3.7999999999999999E-2</v>
      </c>
    </row>
    <row r="131" spans="1:13" x14ac:dyDescent="0.25">
      <c r="A131" s="1368">
        <v>0.23</v>
      </c>
      <c r="B131" s="13">
        <v>4.916526721425931E-2</v>
      </c>
      <c r="C131" s="13">
        <v>3.0039662349583936E-2</v>
      </c>
      <c r="D131" s="13">
        <v>3.5000000000000003E-2</v>
      </c>
      <c r="E131" s="13">
        <v>2.4E-2</v>
      </c>
      <c r="F131" s="13">
        <v>3.3599999999999998E-2</v>
      </c>
      <c r="G131" s="13">
        <v>2.3E-2</v>
      </c>
      <c r="H131" s="13">
        <v>2.98E-2</v>
      </c>
      <c r="I131" s="1369">
        <v>2.3400000000000001E-2</v>
      </c>
      <c r="J131" s="13">
        <v>3.4000000000000002E-2</v>
      </c>
      <c r="K131" s="13">
        <v>2.4037690526315283E-2</v>
      </c>
      <c r="L131" s="13">
        <v>3.856076114365764E-2</v>
      </c>
      <c r="M131" s="13">
        <v>3.9E-2</v>
      </c>
    </row>
    <row r="132" spans="1:13" x14ac:dyDescent="0.25">
      <c r="A132" s="1368">
        <v>0.24</v>
      </c>
      <c r="B132" s="13">
        <v>4.9775640895176429E-2</v>
      </c>
      <c r="C132" s="13">
        <v>3.0650000425583503E-2</v>
      </c>
      <c r="D132" s="13">
        <v>3.5000000000000003E-2</v>
      </c>
      <c r="E132" s="13">
        <v>2.4E-2</v>
      </c>
      <c r="F132" s="13">
        <v>3.4000000000000002E-2</v>
      </c>
      <c r="G132" s="13">
        <v>2.4E-2</v>
      </c>
      <c r="H132" s="13">
        <v>3.0200000000000001E-2</v>
      </c>
      <c r="I132" s="1369">
        <v>2.3699999999999999E-2</v>
      </c>
      <c r="J132" s="13">
        <v>3.5000000000000003E-2</v>
      </c>
      <c r="K132" s="13">
        <v>2.4182719469181484E-2</v>
      </c>
      <c r="L132" s="13">
        <v>3.9184574821927352E-2</v>
      </c>
      <c r="M132" s="13">
        <v>3.9E-2</v>
      </c>
    </row>
    <row r="133" spans="1:13" x14ac:dyDescent="0.25">
      <c r="A133" s="1368">
        <v>0.25</v>
      </c>
      <c r="B133" s="13">
        <v>5.0381056759138482E-2</v>
      </c>
      <c r="C133" s="13">
        <v>3.0905306722958832E-2</v>
      </c>
      <c r="D133" s="13">
        <v>3.5999999999999997E-2</v>
      </c>
      <c r="E133" s="13">
        <v>2.4E-2</v>
      </c>
      <c r="F133" s="13">
        <v>3.4299999999999997E-2</v>
      </c>
      <c r="G133" s="13">
        <v>2.4E-2</v>
      </c>
      <c r="H133" s="13">
        <v>3.04E-2</v>
      </c>
      <c r="I133" s="1369">
        <v>2.4E-2</v>
      </c>
      <c r="J133" s="13">
        <v>3.5000000000000003E-2</v>
      </c>
      <c r="K133" s="13">
        <v>2.4523814168516386E-2</v>
      </c>
      <c r="L133" s="13">
        <v>3.92559701969964E-2</v>
      </c>
      <c r="M133" s="13">
        <v>0.04</v>
      </c>
    </row>
    <row r="134" spans="1:13" x14ac:dyDescent="0.25">
      <c r="A134" s="1368">
        <v>0.26</v>
      </c>
      <c r="B134" s="13">
        <v>5.0742570966739307E-2</v>
      </c>
      <c r="C134" s="13">
        <v>3.1147892105285794E-2</v>
      </c>
      <c r="D134" s="13">
        <v>3.5999999999999997E-2</v>
      </c>
      <c r="E134" s="13">
        <v>2.4E-2</v>
      </c>
      <c r="F134" s="13">
        <v>3.4599999999999999E-2</v>
      </c>
      <c r="G134" s="13">
        <v>2.5000000000000001E-2</v>
      </c>
      <c r="H134" s="13">
        <v>3.09E-2</v>
      </c>
      <c r="I134" s="1369">
        <v>2.4299999999999999E-2</v>
      </c>
      <c r="J134" s="13">
        <v>3.5999999999999997E-2</v>
      </c>
      <c r="K134" s="13">
        <v>2.47151846103488E-2</v>
      </c>
      <c r="L134" s="13">
        <v>3.9383862902457066E-2</v>
      </c>
      <c r="M134" s="13">
        <v>0.04</v>
      </c>
    </row>
    <row r="135" spans="1:13" x14ac:dyDescent="0.25">
      <c r="A135" s="1368">
        <v>0.27</v>
      </c>
      <c r="B135" s="13">
        <v>5.0909083930084274E-2</v>
      </c>
      <c r="C135" s="13">
        <v>3.1447122860292581E-2</v>
      </c>
      <c r="D135" s="13">
        <v>3.5999999999999997E-2</v>
      </c>
      <c r="E135" s="13">
        <v>2.5000000000000001E-2</v>
      </c>
      <c r="F135" s="13">
        <v>3.5000000000000003E-2</v>
      </c>
      <c r="G135" s="13">
        <v>2.5000000000000001E-2</v>
      </c>
      <c r="H135" s="13">
        <v>3.1300000000000001E-2</v>
      </c>
      <c r="I135" s="1369">
        <v>2.46E-2</v>
      </c>
      <c r="J135" s="13">
        <v>3.5999999999999997E-2</v>
      </c>
      <c r="K135" s="13">
        <v>2.4992289286376076E-2</v>
      </c>
      <c r="L135" s="13">
        <v>3.9910711445470134E-2</v>
      </c>
      <c r="M135" s="13">
        <v>0.04</v>
      </c>
    </row>
    <row r="136" spans="1:13" x14ac:dyDescent="0.25">
      <c r="A136" s="1368">
        <v>0.28000000000000003</v>
      </c>
      <c r="B136" s="13">
        <v>5.1135859202961181E-2</v>
      </c>
      <c r="C136" s="13">
        <v>3.1701796813415749E-2</v>
      </c>
      <c r="D136" s="13">
        <v>3.6999999999999998E-2</v>
      </c>
      <c r="E136" s="13">
        <v>2.5000000000000001E-2</v>
      </c>
      <c r="F136" s="13">
        <v>3.5299999999999998E-2</v>
      </c>
      <c r="G136" s="13">
        <v>2.5999999999999999E-2</v>
      </c>
      <c r="H136" s="13">
        <v>3.15E-2</v>
      </c>
      <c r="I136" s="1369">
        <v>2.47E-2</v>
      </c>
      <c r="J136" s="13">
        <v>3.6999999999999998E-2</v>
      </c>
      <c r="K136" s="13">
        <v>2.5202479244295823E-2</v>
      </c>
      <c r="L136" s="13">
        <v>4.0272033102540482E-2</v>
      </c>
      <c r="M136" s="13">
        <v>0.04</v>
      </c>
    </row>
    <row r="137" spans="1:13" x14ac:dyDescent="0.25">
      <c r="A137" s="1368">
        <v>0.28999999999999998</v>
      </c>
      <c r="B137" s="13">
        <v>5.153380456137354E-2</v>
      </c>
      <c r="C137" s="13">
        <v>3.2210461894634564E-2</v>
      </c>
      <c r="D137" s="13">
        <v>3.6999999999999998E-2</v>
      </c>
      <c r="E137" s="13">
        <v>2.5000000000000001E-2</v>
      </c>
      <c r="F137" s="13">
        <v>3.56E-2</v>
      </c>
      <c r="G137" s="13">
        <v>2.5999999999999999E-2</v>
      </c>
      <c r="H137" s="13">
        <v>3.1899999999999998E-2</v>
      </c>
      <c r="I137" s="1369">
        <v>2.5000000000000001E-2</v>
      </c>
      <c r="J137" s="13">
        <v>3.6999999999999998E-2</v>
      </c>
      <c r="K137" s="13">
        <v>2.5457737912973628E-2</v>
      </c>
      <c r="L137" s="13">
        <v>4.0402740134908702E-2</v>
      </c>
      <c r="M137" s="13">
        <v>4.1000000000000002E-2</v>
      </c>
    </row>
    <row r="138" spans="1:13" x14ac:dyDescent="0.25">
      <c r="A138" s="1368">
        <v>0.3</v>
      </c>
      <c r="B138" s="13">
        <v>5.1789172209903908E-2</v>
      </c>
      <c r="C138" s="13">
        <v>3.2586676169386014E-2</v>
      </c>
      <c r="D138" s="13">
        <v>3.6999999999999998E-2</v>
      </c>
      <c r="E138" s="13">
        <v>2.5999999999999999E-2</v>
      </c>
      <c r="F138" s="13">
        <v>3.5900000000000001E-2</v>
      </c>
      <c r="G138" s="13">
        <v>2.5999999999999999E-2</v>
      </c>
      <c r="H138" s="13">
        <v>3.2399999999999998E-2</v>
      </c>
      <c r="I138" s="1369">
        <v>2.5399999999999999E-2</v>
      </c>
      <c r="J138" s="13">
        <v>3.6999999999999998E-2</v>
      </c>
      <c r="K138" s="13">
        <v>2.5957346568731578E-2</v>
      </c>
      <c r="L138" s="13">
        <v>4.0605837544805186E-2</v>
      </c>
      <c r="M138" s="13">
        <v>4.1000000000000002E-2</v>
      </c>
    </row>
    <row r="139" spans="1:13" x14ac:dyDescent="0.25">
      <c r="A139" s="1368">
        <v>0.31</v>
      </c>
      <c r="B139" s="13">
        <v>5.2083811406984759E-2</v>
      </c>
      <c r="C139" s="13">
        <v>3.2853893033698331E-2</v>
      </c>
      <c r="D139" s="13">
        <v>3.7999999999999999E-2</v>
      </c>
      <c r="E139" s="13">
        <v>2.5999999999999999E-2</v>
      </c>
      <c r="F139" s="13">
        <v>3.6200000000000003E-2</v>
      </c>
      <c r="G139" s="13">
        <v>2.5999999999999999E-2</v>
      </c>
      <c r="H139" s="13">
        <v>3.27E-2</v>
      </c>
      <c r="I139" s="1369">
        <v>2.5700000000000001E-2</v>
      </c>
      <c r="J139" s="13">
        <v>3.6999999999999998E-2</v>
      </c>
      <c r="K139" s="13">
        <v>2.6246949567622781E-2</v>
      </c>
      <c r="L139" s="13">
        <v>4.0760910563487573E-2</v>
      </c>
      <c r="M139" s="13">
        <v>4.1000000000000002E-2</v>
      </c>
    </row>
    <row r="140" spans="1:13" x14ac:dyDescent="0.25">
      <c r="A140" s="1368">
        <v>0.32</v>
      </c>
      <c r="B140" s="13">
        <v>5.2555871911190287E-2</v>
      </c>
      <c r="C140" s="13">
        <v>3.3778225822532461E-2</v>
      </c>
      <c r="D140" s="13">
        <v>3.7999999999999999E-2</v>
      </c>
      <c r="E140" s="13">
        <v>2.5999999999999999E-2</v>
      </c>
      <c r="F140" s="13">
        <v>3.6600000000000001E-2</v>
      </c>
      <c r="G140" s="13">
        <v>2.7E-2</v>
      </c>
      <c r="H140" s="13">
        <v>3.3099999999999997E-2</v>
      </c>
      <c r="I140" s="1369">
        <v>2.5899999999999999E-2</v>
      </c>
      <c r="J140" s="13">
        <v>3.7999999999999999E-2</v>
      </c>
      <c r="K140" s="13">
        <v>2.669886829312202E-2</v>
      </c>
      <c r="L140" s="13">
        <v>4.1076705645151368E-2</v>
      </c>
      <c r="M140" s="13">
        <v>4.1000000000000002E-2</v>
      </c>
    </row>
    <row r="141" spans="1:13" x14ac:dyDescent="0.25">
      <c r="A141" s="1368">
        <v>0.33</v>
      </c>
      <c r="B141" s="13">
        <v>5.2884086679258833E-2</v>
      </c>
      <c r="C141" s="13">
        <v>3.4336497086751433E-2</v>
      </c>
      <c r="D141" s="13">
        <v>3.7999999999999999E-2</v>
      </c>
      <c r="E141" s="13">
        <v>2.7E-2</v>
      </c>
      <c r="F141" s="13">
        <v>3.6799999999999999E-2</v>
      </c>
      <c r="G141" s="13">
        <v>2.7E-2</v>
      </c>
      <c r="H141" s="13">
        <v>3.3700000000000001E-2</v>
      </c>
      <c r="I141" s="1369">
        <v>2.6200000000000001E-2</v>
      </c>
      <c r="J141" s="13">
        <v>3.7999999999999999E-2</v>
      </c>
      <c r="K141" s="13">
        <v>2.6864425871191835E-2</v>
      </c>
      <c r="L141" s="13">
        <v>4.1400305394836079E-2</v>
      </c>
      <c r="M141" s="13">
        <v>4.2000000000000003E-2</v>
      </c>
    </row>
    <row r="142" spans="1:13" x14ac:dyDescent="0.25">
      <c r="A142" s="1368">
        <v>0.34</v>
      </c>
      <c r="B142" s="13">
        <v>5.3277470173128672E-2</v>
      </c>
      <c r="C142" s="13">
        <v>3.5590154836656271E-2</v>
      </c>
      <c r="D142" s="13">
        <v>3.9E-2</v>
      </c>
      <c r="E142" s="13">
        <v>2.7E-2</v>
      </c>
      <c r="F142" s="13">
        <v>3.7100000000000001E-2</v>
      </c>
      <c r="G142" s="13">
        <v>2.7E-2</v>
      </c>
      <c r="H142" s="13">
        <v>3.39E-2</v>
      </c>
      <c r="I142" s="1369">
        <v>2.6499999999999999E-2</v>
      </c>
      <c r="J142" s="13">
        <v>3.9E-2</v>
      </c>
      <c r="K142" s="13">
        <v>2.7108844776049107E-2</v>
      </c>
      <c r="L142" s="13">
        <v>4.1687041456473735E-2</v>
      </c>
      <c r="M142" s="13">
        <v>4.2000000000000003E-2</v>
      </c>
    </row>
    <row r="143" spans="1:13" x14ac:dyDescent="0.25">
      <c r="A143" s="1368">
        <v>0.35</v>
      </c>
      <c r="B143" s="13">
        <v>5.3652490423361718E-2</v>
      </c>
      <c r="C143" s="13">
        <v>3.5797269568661409E-2</v>
      </c>
      <c r="D143" s="13">
        <v>3.9E-2</v>
      </c>
      <c r="E143" s="13">
        <v>2.8000000000000001E-2</v>
      </c>
      <c r="F143" s="13">
        <v>3.7400000000000003E-2</v>
      </c>
      <c r="G143" s="13">
        <v>2.7E-2</v>
      </c>
      <c r="H143" s="13">
        <v>3.4299999999999997E-2</v>
      </c>
      <c r="I143" s="1369">
        <v>2.69E-2</v>
      </c>
      <c r="J143" s="13">
        <v>3.9E-2</v>
      </c>
      <c r="K143" s="13">
        <v>2.7351962679644046E-2</v>
      </c>
      <c r="L143" s="13">
        <v>4.1776362920549114E-2</v>
      </c>
      <c r="M143" s="13">
        <v>4.2000000000000003E-2</v>
      </c>
    </row>
    <row r="144" spans="1:13" x14ac:dyDescent="0.25">
      <c r="A144" s="1368">
        <v>0.36</v>
      </c>
      <c r="B144" s="13">
        <v>5.3948847227570276E-2</v>
      </c>
      <c r="C144" s="13">
        <v>3.6237242218519691E-2</v>
      </c>
      <c r="D144" s="13">
        <v>3.9E-2</v>
      </c>
      <c r="E144" s="13">
        <v>2.8000000000000001E-2</v>
      </c>
      <c r="F144" s="13">
        <v>3.7600000000000001E-2</v>
      </c>
      <c r="G144" s="13">
        <v>2.7E-2</v>
      </c>
      <c r="H144" s="13">
        <v>3.4599999999999999E-2</v>
      </c>
      <c r="I144" s="1369">
        <v>2.7E-2</v>
      </c>
      <c r="J144" s="13">
        <v>3.9E-2</v>
      </c>
      <c r="K144" s="13">
        <v>2.7675662658581401E-2</v>
      </c>
      <c r="L144" s="13">
        <v>4.1986464701455929E-2</v>
      </c>
      <c r="M144" s="13">
        <v>4.2000000000000003E-2</v>
      </c>
    </row>
    <row r="145" spans="1:13" x14ac:dyDescent="0.25">
      <c r="A145" s="1368">
        <v>0.37</v>
      </c>
      <c r="B145" s="13">
        <v>5.4092444445379986E-2</v>
      </c>
      <c r="C145" s="13">
        <v>3.6814894764674887E-2</v>
      </c>
      <c r="D145" s="13">
        <v>0.04</v>
      </c>
      <c r="E145" s="13">
        <v>2.8000000000000001E-2</v>
      </c>
      <c r="F145" s="13">
        <v>3.78E-2</v>
      </c>
      <c r="G145" s="13">
        <v>2.7E-2</v>
      </c>
      <c r="H145" s="13">
        <v>3.4799999999999998E-2</v>
      </c>
      <c r="I145" s="1369">
        <v>2.7300000000000001E-2</v>
      </c>
      <c r="J145" s="13">
        <v>3.9E-2</v>
      </c>
      <c r="K145" s="13">
        <v>2.8037214169787113E-2</v>
      </c>
      <c r="L145" s="13">
        <v>4.2339138590193635E-2</v>
      </c>
      <c r="M145" s="13">
        <v>4.2999999999999997E-2</v>
      </c>
    </row>
    <row r="146" spans="1:13" x14ac:dyDescent="0.25">
      <c r="A146" s="1368">
        <v>0.38</v>
      </c>
      <c r="B146" s="13">
        <v>5.4289499018747973E-2</v>
      </c>
      <c r="C146" s="13">
        <v>3.7435537836574197E-2</v>
      </c>
      <c r="D146" s="13">
        <v>0.04</v>
      </c>
      <c r="E146" s="13">
        <v>2.9000000000000001E-2</v>
      </c>
      <c r="F146" s="13">
        <v>3.7999999999999999E-2</v>
      </c>
      <c r="G146" s="13">
        <v>2.8000000000000001E-2</v>
      </c>
      <c r="H146" s="13">
        <v>3.5099999999999999E-2</v>
      </c>
      <c r="I146" s="1369">
        <v>2.7799999999999998E-2</v>
      </c>
      <c r="J146" s="13">
        <v>0.04</v>
      </c>
      <c r="K146" s="13">
        <v>2.8320792779633123E-2</v>
      </c>
      <c r="L146" s="13">
        <v>4.2460675478967258E-2</v>
      </c>
      <c r="M146" s="13">
        <v>4.2999999999999997E-2</v>
      </c>
    </row>
    <row r="147" spans="1:13" x14ac:dyDescent="0.25">
      <c r="A147" s="1368">
        <v>0.39</v>
      </c>
      <c r="B147" s="13">
        <v>5.4452898453940239E-2</v>
      </c>
      <c r="C147" s="13">
        <v>3.8117556312100342E-2</v>
      </c>
      <c r="D147" s="13">
        <v>0.04</v>
      </c>
      <c r="E147" s="13">
        <v>2.9000000000000001E-2</v>
      </c>
      <c r="F147" s="13">
        <v>3.8399999999999997E-2</v>
      </c>
      <c r="G147" s="13">
        <v>2.8000000000000001E-2</v>
      </c>
      <c r="H147" s="13">
        <v>3.5400000000000001E-2</v>
      </c>
      <c r="I147" s="1369">
        <v>2.8199999999999999E-2</v>
      </c>
      <c r="J147" s="13">
        <v>0.04</v>
      </c>
      <c r="K147" s="13">
        <v>2.87051452439719E-2</v>
      </c>
      <c r="L147" s="13">
        <v>4.3047880591495141E-2</v>
      </c>
      <c r="M147" s="13">
        <v>4.2999999999999997E-2</v>
      </c>
    </row>
    <row r="148" spans="1:13" x14ac:dyDescent="0.25">
      <c r="A148" s="1368">
        <v>0.4</v>
      </c>
      <c r="B148" s="13">
        <v>5.4506833575229799E-2</v>
      </c>
      <c r="C148" s="13">
        <v>3.8382607137626049E-2</v>
      </c>
      <c r="D148" s="13">
        <v>4.1000000000000002E-2</v>
      </c>
      <c r="E148" s="13">
        <v>2.9000000000000001E-2</v>
      </c>
      <c r="F148" s="13">
        <v>3.8699999999999998E-2</v>
      </c>
      <c r="G148" s="13">
        <v>2.8000000000000001E-2</v>
      </c>
      <c r="H148" s="13">
        <v>3.5799999999999998E-2</v>
      </c>
      <c r="I148" s="1369">
        <v>2.8400000000000002E-2</v>
      </c>
      <c r="J148" s="13">
        <v>4.1000000000000002E-2</v>
      </c>
      <c r="K148" s="13">
        <v>2.8917834768769492E-2</v>
      </c>
      <c r="L148" s="13">
        <v>4.3125977317664065E-2</v>
      </c>
      <c r="M148" s="13">
        <v>4.2999999999999997E-2</v>
      </c>
    </row>
    <row r="149" spans="1:13" x14ac:dyDescent="0.25">
      <c r="A149" s="1368">
        <v>0.41</v>
      </c>
      <c r="B149" s="13">
        <v>5.4744668888057589E-2</v>
      </c>
      <c r="C149" s="13">
        <v>3.8397800759593446E-2</v>
      </c>
      <c r="D149" s="13">
        <v>4.1000000000000002E-2</v>
      </c>
      <c r="E149" s="13">
        <v>0.03</v>
      </c>
      <c r="F149" s="13">
        <v>3.9E-2</v>
      </c>
      <c r="G149" s="13">
        <v>2.8000000000000001E-2</v>
      </c>
      <c r="H149" s="13">
        <v>3.61E-2</v>
      </c>
      <c r="I149" s="1369">
        <v>2.86E-2</v>
      </c>
      <c r="J149" s="13">
        <v>4.1000000000000002E-2</v>
      </c>
      <c r="K149" s="13">
        <v>2.9398956776057954E-2</v>
      </c>
      <c r="L149" s="13">
        <v>4.3727730241633997E-2</v>
      </c>
      <c r="M149" s="13">
        <v>4.3999999999999997E-2</v>
      </c>
    </row>
    <row r="150" spans="1:13" x14ac:dyDescent="0.25">
      <c r="A150" s="1368">
        <v>0.42</v>
      </c>
      <c r="B150" s="13">
        <v>5.5164398198701448E-2</v>
      </c>
      <c r="C150" s="13">
        <v>3.8612295465153657E-2</v>
      </c>
      <c r="D150" s="13">
        <v>4.1000000000000002E-2</v>
      </c>
      <c r="E150" s="13">
        <v>0.03</v>
      </c>
      <c r="F150" s="13">
        <v>3.9199999999999999E-2</v>
      </c>
      <c r="G150" s="13">
        <v>2.9000000000000001E-2</v>
      </c>
      <c r="H150" s="13">
        <v>3.6400000000000002E-2</v>
      </c>
      <c r="I150" s="1369">
        <v>2.8899999999999999E-2</v>
      </c>
      <c r="J150" s="13">
        <v>4.1000000000000002E-2</v>
      </c>
      <c r="K150" s="13">
        <v>2.984959335676254E-2</v>
      </c>
      <c r="L150" s="13">
        <v>4.3933457393797434E-2</v>
      </c>
      <c r="M150" s="13">
        <v>4.3999999999999997E-2</v>
      </c>
    </row>
    <row r="151" spans="1:13" x14ac:dyDescent="0.25">
      <c r="A151" s="1368">
        <v>0.43</v>
      </c>
      <c r="B151" s="13">
        <v>5.5241782097762621E-2</v>
      </c>
      <c r="C151" s="13">
        <v>3.8694897814089378E-2</v>
      </c>
      <c r="D151" s="13">
        <v>4.2000000000000003E-2</v>
      </c>
      <c r="E151" s="13">
        <v>0.03</v>
      </c>
      <c r="F151" s="13">
        <v>3.95E-2</v>
      </c>
      <c r="G151" s="13">
        <v>2.9000000000000001E-2</v>
      </c>
      <c r="H151" s="13">
        <v>3.6600000000000001E-2</v>
      </c>
      <c r="I151" s="1369">
        <v>2.93E-2</v>
      </c>
      <c r="J151" s="13">
        <v>4.1000000000000002E-2</v>
      </c>
      <c r="K151" s="13">
        <v>3.0420541896604848E-2</v>
      </c>
      <c r="L151" s="13">
        <v>4.4075969608607296E-2</v>
      </c>
      <c r="M151" s="13">
        <v>4.3999999999999997E-2</v>
      </c>
    </row>
    <row r="152" spans="1:13" x14ac:dyDescent="0.25">
      <c r="A152" s="1368">
        <v>0.44</v>
      </c>
      <c r="B152" s="13">
        <v>5.5244940328453986E-2</v>
      </c>
      <c r="C152" s="13">
        <v>3.9247680216587588E-2</v>
      </c>
      <c r="D152" s="13">
        <v>4.2000000000000003E-2</v>
      </c>
      <c r="E152" s="13">
        <v>3.1E-2</v>
      </c>
      <c r="F152" s="13">
        <v>3.9800000000000002E-2</v>
      </c>
      <c r="G152" s="13">
        <v>2.9000000000000001E-2</v>
      </c>
      <c r="H152" s="13">
        <v>3.6900000000000002E-2</v>
      </c>
      <c r="I152" s="1369">
        <v>2.9600000000000001E-2</v>
      </c>
      <c r="J152" s="13">
        <v>4.2000000000000003E-2</v>
      </c>
      <c r="K152" s="13">
        <v>3.0705056930463701E-2</v>
      </c>
      <c r="L152" s="13">
        <v>4.4249322191753683E-2</v>
      </c>
      <c r="M152" s="13">
        <v>4.3999999999999997E-2</v>
      </c>
    </row>
    <row r="153" spans="1:13" x14ac:dyDescent="0.25">
      <c r="A153" s="1368">
        <v>0.45</v>
      </c>
      <c r="B153" s="13">
        <v>5.540878218248986E-2</v>
      </c>
      <c r="C153" s="13">
        <v>3.9253585188469373E-2</v>
      </c>
      <c r="D153" s="13">
        <v>4.2000000000000003E-2</v>
      </c>
      <c r="E153" s="13">
        <v>3.1E-2</v>
      </c>
      <c r="F153" s="13">
        <v>0.04</v>
      </c>
      <c r="G153" s="13">
        <v>2.9000000000000001E-2</v>
      </c>
      <c r="H153" s="13">
        <v>3.7199999999999997E-2</v>
      </c>
      <c r="I153" s="1369">
        <v>3.0200000000000001E-2</v>
      </c>
      <c r="J153" s="13">
        <v>4.2000000000000003E-2</v>
      </c>
      <c r="K153" s="13">
        <v>3.096117712720909E-2</v>
      </c>
      <c r="L153" s="13">
        <v>4.4408664553057871E-2</v>
      </c>
      <c r="M153" s="13">
        <v>4.4999999999999998E-2</v>
      </c>
    </row>
    <row r="154" spans="1:13" x14ac:dyDescent="0.25">
      <c r="A154" s="1368">
        <v>0.46</v>
      </c>
      <c r="B154" s="13">
        <v>5.5568196099962636E-2</v>
      </c>
      <c r="C154" s="13">
        <v>3.9384022136596884E-2</v>
      </c>
      <c r="D154" s="13">
        <v>4.2999999999999997E-2</v>
      </c>
      <c r="E154" s="13">
        <v>3.2000000000000001E-2</v>
      </c>
      <c r="F154" s="13">
        <v>4.02E-2</v>
      </c>
      <c r="G154" s="13">
        <v>0.03</v>
      </c>
      <c r="H154" s="13">
        <v>3.7499999999999999E-2</v>
      </c>
      <c r="I154" s="1369">
        <v>3.0800000000000001E-2</v>
      </c>
      <c r="J154" s="13">
        <v>4.2999999999999997E-2</v>
      </c>
      <c r="K154" s="13">
        <v>3.1367679398762241E-2</v>
      </c>
      <c r="L154" s="13">
        <v>4.4922689854593037E-2</v>
      </c>
      <c r="M154" s="13">
        <v>4.4999999999999998E-2</v>
      </c>
    </row>
    <row r="155" spans="1:13" x14ac:dyDescent="0.25">
      <c r="A155" s="1368">
        <v>0.47</v>
      </c>
      <c r="B155" s="13">
        <v>5.5661717680561995E-2</v>
      </c>
      <c r="C155" s="13">
        <v>3.9390932108340798E-2</v>
      </c>
      <c r="D155" s="13">
        <v>4.2999999999999997E-2</v>
      </c>
      <c r="E155" s="13">
        <v>3.2000000000000001E-2</v>
      </c>
      <c r="F155" s="13">
        <v>4.0500000000000001E-2</v>
      </c>
      <c r="G155" s="13">
        <v>0.03</v>
      </c>
      <c r="H155" s="13">
        <v>3.78E-2</v>
      </c>
      <c r="I155" s="1369">
        <v>3.1099999999999999E-2</v>
      </c>
      <c r="J155" s="13">
        <v>4.2999999999999997E-2</v>
      </c>
      <c r="K155" s="13">
        <v>3.1669511405534902E-2</v>
      </c>
      <c r="L155" s="13">
        <v>4.5055243260778269E-2</v>
      </c>
      <c r="M155" s="13">
        <v>4.4999999999999998E-2</v>
      </c>
    </row>
    <row r="156" spans="1:13" x14ac:dyDescent="0.25">
      <c r="A156" s="1368">
        <v>0.48</v>
      </c>
      <c r="B156" s="13">
        <v>5.6009613309651041E-2</v>
      </c>
      <c r="C156" s="13">
        <v>4.0047276841607353E-2</v>
      </c>
      <c r="D156" s="13">
        <v>4.2999999999999997E-2</v>
      </c>
      <c r="E156" s="13">
        <v>3.3000000000000002E-2</v>
      </c>
      <c r="F156" s="13">
        <v>4.0800000000000003E-2</v>
      </c>
      <c r="G156" s="13">
        <v>3.1E-2</v>
      </c>
      <c r="H156" s="13">
        <v>3.7999999999999999E-2</v>
      </c>
      <c r="I156" s="1369">
        <v>3.1300000000000001E-2</v>
      </c>
      <c r="J156" s="13">
        <v>4.2999999999999997E-2</v>
      </c>
      <c r="K156" s="13">
        <v>3.2154930163845005E-2</v>
      </c>
      <c r="L156" s="13">
        <v>4.5290820077962347E-2</v>
      </c>
      <c r="M156" s="13">
        <v>4.4999999999999998E-2</v>
      </c>
    </row>
    <row r="157" spans="1:13" x14ac:dyDescent="0.25">
      <c r="A157" s="1368">
        <v>0.49</v>
      </c>
      <c r="B157" s="13">
        <v>5.618933659796331E-2</v>
      </c>
      <c r="C157" s="13">
        <v>4.0873862203469322E-2</v>
      </c>
      <c r="D157" s="13">
        <v>4.3999999999999997E-2</v>
      </c>
      <c r="E157" s="13">
        <v>3.3000000000000002E-2</v>
      </c>
      <c r="F157" s="13">
        <v>4.1000000000000002E-2</v>
      </c>
      <c r="G157" s="13">
        <v>3.1E-2</v>
      </c>
      <c r="H157" s="13">
        <v>3.8100000000000002E-2</v>
      </c>
      <c r="I157" s="1369">
        <v>3.15E-2</v>
      </c>
      <c r="J157" s="13">
        <v>4.2999999999999997E-2</v>
      </c>
      <c r="K157" s="13">
        <v>3.2452671302605485E-2</v>
      </c>
      <c r="L157" s="13">
        <v>4.5395535093422541E-2</v>
      </c>
      <c r="M157" s="13">
        <v>4.5999999999999999E-2</v>
      </c>
    </row>
    <row r="158" spans="1:13" x14ac:dyDescent="0.25">
      <c r="A158" s="1368">
        <v>0.5</v>
      </c>
      <c r="B158" s="13">
        <v>5.641300874051005E-2</v>
      </c>
      <c r="C158" s="13">
        <v>4.1126294139575123E-2</v>
      </c>
      <c r="D158" s="13">
        <v>4.3999999999999997E-2</v>
      </c>
      <c r="E158" s="13">
        <v>3.4000000000000002E-2</v>
      </c>
      <c r="F158" s="13">
        <v>4.1300000000000003E-2</v>
      </c>
      <c r="G158" s="13">
        <v>3.1E-2</v>
      </c>
      <c r="H158" s="13">
        <v>3.8300000000000001E-2</v>
      </c>
      <c r="I158" s="1369">
        <v>3.1600000000000003E-2</v>
      </c>
      <c r="J158" s="13">
        <v>4.3999999999999997E-2</v>
      </c>
      <c r="K158" s="13">
        <v>3.2705526341410648E-2</v>
      </c>
      <c r="L158" s="13">
        <v>4.5558037309514535E-2</v>
      </c>
      <c r="M158" s="13">
        <v>4.5999999999999999E-2</v>
      </c>
    </row>
    <row r="159" spans="1:13" x14ac:dyDescent="0.25">
      <c r="A159" s="1368">
        <v>0.51</v>
      </c>
      <c r="B159" s="13">
        <v>5.6507349733221149E-2</v>
      </c>
      <c r="C159" s="13">
        <v>4.1621987829197141E-2</v>
      </c>
      <c r="D159" s="13">
        <v>4.3999999999999997E-2</v>
      </c>
      <c r="E159" s="13">
        <v>3.4000000000000002E-2</v>
      </c>
      <c r="F159" s="13">
        <v>4.1599999999999998E-2</v>
      </c>
      <c r="G159" s="13">
        <v>3.1E-2</v>
      </c>
      <c r="H159" s="13">
        <v>3.8399999999999997E-2</v>
      </c>
      <c r="I159" s="1369">
        <v>3.1800000000000002E-2</v>
      </c>
      <c r="J159" s="13">
        <v>4.3999999999999997E-2</v>
      </c>
      <c r="K159" s="13">
        <v>3.2978399725053446E-2</v>
      </c>
      <c r="L159" s="13">
        <v>4.5661520863357716E-2</v>
      </c>
      <c r="M159" s="13">
        <v>4.5999999999999999E-2</v>
      </c>
    </row>
    <row r="160" spans="1:13" x14ac:dyDescent="0.25">
      <c r="A160" s="1368">
        <v>0.52</v>
      </c>
      <c r="B160" s="13">
        <v>5.6865743090744339E-2</v>
      </c>
      <c r="C160" s="13">
        <v>4.2066556817304875E-2</v>
      </c>
      <c r="D160" s="13">
        <v>4.3999999999999997E-2</v>
      </c>
      <c r="E160" s="13">
        <v>3.4000000000000002E-2</v>
      </c>
      <c r="F160" s="13">
        <v>4.1799999999999997E-2</v>
      </c>
      <c r="G160" s="13">
        <v>3.2000000000000001E-2</v>
      </c>
      <c r="H160" s="13">
        <v>3.8699999999999998E-2</v>
      </c>
      <c r="I160" s="1369">
        <v>3.2000000000000001E-2</v>
      </c>
      <c r="J160" s="13">
        <v>4.4999999999999998E-2</v>
      </c>
      <c r="K160" s="13">
        <v>3.3421016918594899E-2</v>
      </c>
      <c r="L160" s="13">
        <v>4.576316852144259E-2</v>
      </c>
      <c r="M160" s="13">
        <v>4.5999999999999999E-2</v>
      </c>
    </row>
    <row r="161" spans="1:13" x14ac:dyDescent="0.25">
      <c r="A161" s="1368">
        <v>0.53</v>
      </c>
      <c r="B161" s="13">
        <v>5.7250305423915231E-2</v>
      </c>
      <c r="C161" s="13">
        <v>4.2363311590304105E-2</v>
      </c>
      <c r="D161" s="13">
        <v>4.4999999999999998E-2</v>
      </c>
      <c r="E161" s="13">
        <v>3.5000000000000003E-2</v>
      </c>
      <c r="F161" s="13">
        <v>4.2099999999999999E-2</v>
      </c>
      <c r="G161" s="13">
        <v>3.2000000000000001E-2</v>
      </c>
      <c r="H161" s="13">
        <v>3.8800000000000001E-2</v>
      </c>
      <c r="I161" s="1369">
        <v>3.2500000000000001E-2</v>
      </c>
      <c r="J161" s="13">
        <v>4.4999999999999998E-2</v>
      </c>
      <c r="K161" s="13">
        <v>3.3711493482834406E-2</v>
      </c>
      <c r="L161" s="13">
        <v>4.6130075846659749E-2</v>
      </c>
      <c r="M161" s="13">
        <v>4.5999999999999999E-2</v>
      </c>
    </row>
    <row r="162" spans="1:13" x14ac:dyDescent="0.25">
      <c r="A162" s="1368">
        <v>0.54</v>
      </c>
      <c r="B162" s="13">
        <v>5.77555110714447E-2</v>
      </c>
      <c r="C162" s="13">
        <v>4.2617424250240135E-2</v>
      </c>
      <c r="D162" s="13">
        <v>4.4999999999999998E-2</v>
      </c>
      <c r="E162" s="13">
        <v>3.5000000000000003E-2</v>
      </c>
      <c r="F162" s="13">
        <v>4.24E-2</v>
      </c>
      <c r="G162" s="13">
        <v>3.3000000000000002E-2</v>
      </c>
      <c r="H162" s="13">
        <v>3.9100000000000003E-2</v>
      </c>
      <c r="I162" s="1369">
        <v>3.2800000000000003E-2</v>
      </c>
      <c r="J162" s="13">
        <v>4.4999999999999998E-2</v>
      </c>
      <c r="K162" s="13">
        <v>3.3991835695975546E-2</v>
      </c>
      <c r="L162" s="13">
        <v>4.6234510174179476E-2</v>
      </c>
      <c r="M162" s="13">
        <v>4.5999999999999999E-2</v>
      </c>
    </row>
    <row r="163" spans="1:13" x14ac:dyDescent="0.25">
      <c r="A163" s="1368">
        <v>0.55000000000000004</v>
      </c>
      <c r="B163" s="13">
        <v>5.8232697138469618E-2</v>
      </c>
      <c r="C163" s="13">
        <v>4.2837337671028722E-2</v>
      </c>
      <c r="D163" s="13">
        <v>4.4999999999999998E-2</v>
      </c>
      <c r="E163" s="13">
        <v>3.5000000000000003E-2</v>
      </c>
      <c r="F163" s="13">
        <v>4.2599999999999999E-2</v>
      </c>
      <c r="G163" s="13">
        <v>3.3000000000000002E-2</v>
      </c>
      <c r="H163" s="13">
        <v>3.9399999999999998E-2</v>
      </c>
      <c r="I163" s="1369">
        <v>3.3000000000000002E-2</v>
      </c>
      <c r="J163" s="13">
        <v>4.4999999999999998E-2</v>
      </c>
      <c r="K163" s="13">
        <v>3.4558157605951809E-2</v>
      </c>
      <c r="L163" s="13">
        <v>4.6377488486796986E-2</v>
      </c>
      <c r="M163" s="13">
        <v>4.5999999999999999E-2</v>
      </c>
    </row>
    <row r="164" spans="1:13" x14ac:dyDescent="0.25">
      <c r="A164" s="1368">
        <v>0.56000000000000005</v>
      </c>
      <c r="B164" s="13">
        <v>5.8495261356277764E-2</v>
      </c>
      <c r="C164" s="13">
        <v>4.2934685653304695E-2</v>
      </c>
      <c r="D164" s="13">
        <v>4.4999999999999998E-2</v>
      </c>
      <c r="E164" s="13">
        <v>3.5999999999999997E-2</v>
      </c>
      <c r="F164" s="13">
        <v>4.2799999999999998E-2</v>
      </c>
      <c r="G164" s="13">
        <v>3.4000000000000002E-2</v>
      </c>
      <c r="H164" s="13">
        <v>3.9600000000000003E-2</v>
      </c>
      <c r="I164" s="1369">
        <v>3.32E-2</v>
      </c>
      <c r="J164" s="13">
        <v>4.5999999999999999E-2</v>
      </c>
      <c r="K164" s="13">
        <v>3.4844086396925739E-2</v>
      </c>
      <c r="L164" s="13">
        <v>4.6720740013203019E-2</v>
      </c>
      <c r="M164" s="13">
        <v>4.7E-2</v>
      </c>
    </row>
    <row r="165" spans="1:13" x14ac:dyDescent="0.25">
      <c r="A165" s="1368">
        <v>0.56999999999999995</v>
      </c>
      <c r="B165" s="13">
        <v>5.8808085128157855E-2</v>
      </c>
      <c r="C165" s="13">
        <v>4.2973752398593988E-2</v>
      </c>
      <c r="D165" s="13">
        <v>4.5999999999999999E-2</v>
      </c>
      <c r="E165" s="13">
        <v>3.5999999999999997E-2</v>
      </c>
      <c r="F165" s="13">
        <v>4.2999999999999997E-2</v>
      </c>
      <c r="G165" s="13">
        <v>3.4000000000000002E-2</v>
      </c>
      <c r="H165" s="13">
        <v>3.9800000000000002E-2</v>
      </c>
      <c r="I165" s="1369">
        <v>3.3500000000000002E-2</v>
      </c>
      <c r="J165" s="13">
        <v>4.5999999999999999E-2</v>
      </c>
      <c r="K165" s="13">
        <v>3.5175788727915533E-2</v>
      </c>
      <c r="L165" s="13">
        <v>4.6971866876044897E-2</v>
      </c>
      <c r="M165" s="13">
        <v>4.7E-2</v>
      </c>
    </row>
    <row r="166" spans="1:13" x14ac:dyDescent="0.25">
      <c r="A166" s="1368">
        <v>0.57999999999999996</v>
      </c>
      <c r="B166" s="13">
        <v>5.9401806673005708E-2</v>
      </c>
      <c r="C166" s="13">
        <v>4.3003407840047005E-2</v>
      </c>
      <c r="D166" s="13">
        <v>4.5999999999999999E-2</v>
      </c>
      <c r="E166" s="13">
        <v>3.5999999999999997E-2</v>
      </c>
      <c r="F166" s="13">
        <v>4.3200000000000002E-2</v>
      </c>
      <c r="G166" s="13">
        <v>3.4000000000000002E-2</v>
      </c>
      <c r="H166" s="13">
        <v>0.04</v>
      </c>
      <c r="I166" s="1369">
        <v>3.3799999999999997E-2</v>
      </c>
      <c r="J166" s="13">
        <v>4.7E-2</v>
      </c>
      <c r="K166" s="13">
        <v>3.5413354397402071E-2</v>
      </c>
      <c r="L166" s="13">
        <v>4.7153428355569876E-2</v>
      </c>
      <c r="M166" s="13">
        <v>4.7E-2</v>
      </c>
    </row>
    <row r="167" spans="1:13" x14ac:dyDescent="0.25">
      <c r="A167" s="1368">
        <v>0.59</v>
      </c>
      <c r="B167" s="13">
        <v>5.9673758045255487E-2</v>
      </c>
      <c r="C167" s="13">
        <v>4.3143449126851335E-2</v>
      </c>
      <c r="D167" s="13">
        <v>4.5999999999999999E-2</v>
      </c>
      <c r="E167" s="13">
        <v>3.5999999999999997E-2</v>
      </c>
      <c r="F167" s="13">
        <v>4.3299999999999998E-2</v>
      </c>
      <c r="G167" s="13">
        <v>3.4000000000000002E-2</v>
      </c>
      <c r="H167" s="13">
        <v>4.02E-2</v>
      </c>
      <c r="I167" s="1369">
        <v>3.4099999999999998E-2</v>
      </c>
      <c r="J167" s="13">
        <v>4.7E-2</v>
      </c>
      <c r="K167" s="13">
        <v>3.5641548407323115E-2</v>
      </c>
      <c r="L167" s="13">
        <v>4.7282686568670906E-2</v>
      </c>
      <c r="M167" s="13">
        <v>4.7E-2</v>
      </c>
    </row>
    <row r="168" spans="1:13" x14ac:dyDescent="0.25">
      <c r="A168" s="1368">
        <v>0.6</v>
      </c>
      <c r="B168" s="13">
        <v>5.9694839481855715E-2</v>
      </c>
      <c r="C168" s="13">
        <v>4.351874790608886E-2</v>
      </c>
      <c r="D168" s="13">
        <v>4.7E-2</v>
      </c>
      <c r="E168" s="13">
        <v>3.6999999999999998E-2</v>
      </c>
      <c r="F168" s="13">
        <v>4.36E-2</v>
      </c>
      <c r="G168" s="13">
        <v>3.5000000000000003E-2</v>
      </c>
      <c r="H168" s="13">
        <v>4.0399999999999998E-2</v>
      </c>
      <c r="I168" s="1369">
        <v>3.44E-2</v>
      </c>
      <c r="J168" s="13">
        <v>4.7E-2</v>
      </c>
      <c r="K168" s="13">
        <v>3.5917884231703417E-2</v>
      </c>
      <c r="L168" s="13">
        <v>4.7598998859950205E-2</v>
      </c>
      <c r="M168" s="13">
        <v>4.7E-2</v>
      </c>
    </row>
    <row r="169" spans="1:13" x14ac:dyDescent="0.25">
      <c r="A169" s="1368">
        <v>0.61</v>
      </c>
      <c r="B169" s="13">
        <v>5.9765808480453972E-2</v>
      </c>
      <c r="C169" s="13">
        <v>4.3624480357623376E-2</v>
      </c>
      <c r="D169" s="13">
        <v>4.7E-2</v>
      </c>
      <c r="E169" s="13">
        <v>3.6999999999999998E-2</v>
      </c>
      <c r="F169" s="13">
        <v>4.3799999999999999E-2</v>
      </c>
      <c r="G169" s="13">
        <v>3.5000000000000003E-2</v>
      </c>
      <c r="H169" s="13">
        <v>4.0599999999999997E-2</v>
      </c>
      <c r="I169" s="1369">
        <v>3.4700000000000002E-2</v>
      </c>
      <c r="J169" s="13">
        <v>4.7E-2</v>
      </c>
      <c r="K169" s="13">
        <v>3.633676371355847E-2</v>
      </c>
      <c r="L169" s="13">
        <v>4.8001328966228954E-2</v>
      </c>
      <c r="M169" s="13">
        <v>4.8000000000000001E-2</v>
      </c>
    </row>
    <row r="170" spans="1:13" x14ac:dyDescent="0.25">
      <c r="A170" s="1368">
        <v>0.62</v>
      </c>
      <c r="B170" s="13">
        <v>6.0036043907060667E-2</v>
      </c>
      <c r="C170" s="13">
        <v>4.391138395125533E-2</v>
      </c>
      <c r="D170" s="13">
        <v>4.7E-2</v>
      </c>
      <c r="E170" s="13">
        <v>3.6999999999999998E-2</v>
      </c>
      <c r="F170" s="13">
        <v>4.3999999999999997E-2</v>
      </c>
      <c r="G170" s="13">
        <v>3.5999999999999997E-2</v>
      </c>
      <c r="H170" s="13">
        <v>4.0800000000000003E-2</v>
      </c>
      <c r="I170" s="1369">
        <v>3.5099999999999999E-2</v>
      </c>
      <c r="J170" s="13">
        <v>4.8000000000000001E-2</v>
      </c>
      <c r="K170" s="13">
        <v>3.6589695320860281E-2</v>
      </c>
      <c r="L170" s="13">
        <v>4.8054745418665744E-2</v>
      </c>
      <c r="M170" s="13">
        <v>4.8000000000000001E-2</v>
      </c>
    </row>
    <row r="171" spans="1:13" x14ac:dyDescent="0.25">
      <c r="A171" s="1368">
        <v>0.63</v>
      </c>
      <c r="B171" s="13">
        <v>6.0142210730446025E-2</v>
      </c>
      <c r="C171" s="13">
        <v>4.4221953916955027E-2</v>
      </c>
      <c r="D171" s="13">
        <v>4.8000000000000001E-2</v>
      </c>
      <c r="E171" s="13">
        <v>3.7999999999999999E-2</v>
      </c>
      <c r="F171" s="13">
        <v>4.4299999999999999E-2</v>
      </c>
      <c r="G171" s="13">
        <v>3.5999999999999997E-2</v>
      </c>
      <c r="H171" s="13">
        <v>4.1000000000000002E-2</v>
      </c>
      <c r="I171" s="1369">
        <v>3.56E-2</v>
      </c>
      <c r="J171" s="13">
        <v>4.8000000000000001E-2</v>
      </c>
      <c r="K171" s="13">
        <v>3.7108125355449495E-2</v>
      </c>
      <c r="L171" s="13">
        <v>4.8444437606418235E-2</v>
      </c>
      <c r="M171" s="13">
        <v>4.9000000000000002E-2</v>
      </c>
    </row>
    <row r="172" spans="1:13" x14ac:dyDescent="0.25">
      <c r="A172" s="1368">
        <v>0.64</v>
      </c>
      <c r="B172" s="13">
        <v>6.0364056525526739E-2</v>
      </c>
      <c r="C172" s="13">
        <v>4.4628627129574432E-2</v>
      </c>
      <c r="D172" s="13">
        <v>4.8000000000000001E-2</v>
      </c>
      <c r="E172" s="13">
        <v>3.7999999999999999E-2</v>
      </c>
      <c r="F172" s="13">
        <v>4.4499999999999998E-2</v>
      </c>
      <c r="G172" s="13">
        <v>3.6999999999999998E-2</v>
      </c>
      <c r="H172" s="13">
        <v>4.1200000000000001E-2</v>
      </c>
      <c r="I172" s="1369">
        <v>3.5900000000000001E-2</v>
      </c>
      <c r="J172" s="13">
        <v>4.9000000000000002E-2</v>
      </c>
      <c r="K172" s="13">
        <v>3.7524226971752242E-2</v>
      </c>
      <c r="L172" s="13">
        <v>4.8955642758507653E-2</v>
      </c>
      <c r="M172" s="13">
        <v>4.9000000000000002E-2</v>
      </c>
    </row>
    <row r="173" spans="1:13" x14ac:dyDescent="0.25">
      <c r="A173" s="1368">
        <v>0.65</v>
      </c>
      <c r="B173" s="13">
        <v>6.0477010106429141E-2</v>
      </c>
      <c r="C173" s="13">
        <v>4.5500690929498711E-2</v>
      </c>
      <c r="D173" s="13">
        <v>4.8000000000000001E-2</v>
      </c>
      <c r="E173" s="13">
        <v>3.9E-2</v>
      </c>
      <c r="F173" s="13">
        <v>4.4699999999999997E-2</v>
      </c>
      <c r="G173" s="13">
        <v>3.6999999999999998E-2</v>
      </c>
      <c r="H173" s="13">
        <v>4.1300000000000003E-2</v>
      </c>
      <c r="I173" s="1369">
        <v>3.6200000000000003E-2</v>
      </c>
      <c r="J173" s="13">
        <v>4.9000000000000002E-2</v>
      </c>
      <c r="K173" s="13">
        <v>3.7776577131107783E-2</v>
      </c>
      <c r="L173" s="13">
        <v>4.9372895295845674E-2</v>
      </c>
      <c r="M173" s="13">
        <v>0.05</v>
      </c>
    </row>
    <row r="174" spans="1:13" x14ac:dyDescent="0.25">
      <c r="A174" s="1368">
        <v>0.66</v>
      </c>
      <c r="B174" s="13">
        <v>6.06386304608297E-2</v>
      </c>
      <c r="C174" s="13">
        <v>4.5724026774067637E-2</v>
      </c>
      <c r="D174" s="13">
        <v>4.8000000000000001E-2</v>
      </c>
      <c r="E174" s="13">
        <v>3.9E-2</v>
      </c>
      <c r="F174" s="13">
        <v>4.4900000000000002E-2</v>
      </c>
      <c r="G174" s="13">
        <v>3.7999999999999999E-2</v>
      </c>
      <c r="H174" s="13">
        <v>4.1599999999999998E-2</v>
      </c>
      <c r="I174" s="1369">
        <v>3.6600000000000001E-2</v>
      </c>
      <c r="J174" s="13">
        <v>4.9000000000000002E-2</v>
      </c>
      <c r="K174" s="13">
        <v>3.8264268922340257E-2</v>
      </c>
      <c r="L174" s="13">
        <v>4.9700278098286435E-2</v>
      </c>
      <c r="M174" s="13">
        <v>0.05</v>
      </c>
    </row>
    <row r="175" spans="1:13" x14ac:dyDescent="0.25">
      <c r="A175" s="1368">
        <v>0.67</v>
      </c>
      <c r="B175" s="13">
        <v>6.10329442238823E-2</v>
      </c>
      <c r="C175" s="13">
        <v>4.6935719465885144E-2</v>
      </c>
      <c r="D175" s="13">
        <v>4.9000000000000002E-2</v>
      </c>
      <c r="E175" s="13">
        <v>3.9E-2</v>
      </c>
      <c r="F175" s="13">
        <v>4.53E-2</v>
      </c>
      <c r="G175" s="13">
        <v>3.7999999999999999E-2</v>
      </c>
      <c r="H175" s="13">
        <v>4.2000000000000003E-2</v>
      </c>
      <c r="I175" s="1369">
        <v>3.6999999999999998E-2</v>
      </c>
      <c r="J175" s="13">
        <v>4.9000000000000002E-2</v>
      </c>
      <c r="K175" s="13">
        <v>3.8485211337677544E-2</v>
      </c>
      <c r="L175" s="13">
        <v>5.0424696175639841E-2</v>
      </c>
      <c r="M175" s="13">
        <v>0.05</v>
      </c>
    </row>
    <row r="176" spans="1:13" x14ac:dyDescent="0.25">
      <c r="A176" s="1368">
        <v>0.68</v>
      </c>
      <c r="B176" s="13">
        <v>6.1425523027486731E-2</v>
      </c>
      <c r="C176" s="13">
        <v>4.8745105755270877E-2</v>
      </c>
      <c r="D176" s="13">
        <v>4.9000000000000002E-2</v>
      </c>
      <c r="E176" s="13">
        <v>3.9E-2</v>
      </c>
      <c r="F176" s="13">
        <v>4.5499999999999999E-2</v>
      </c>
      <c r="G176" s="13">
        <v>3.9E-2</v>
      </c>
      <c r="H176" s="13">
        <v>4.24E-2</v>
      </c>
      <c r="I176" s="1369">
        <v>3.7400000000000003E-2</v>
      </c>
      <c r="J176" s="13">
        <v>0.05</v>
      </c>
      <c r="K176" s="13">
        <v>3.8813488010396038E-2</v>
      </c>
      <c r="L176" s="13">
        <v>5.0561959085433823E-2</v>
      </c>
      <c r="M176" s="13">
        <v>0.05</v>
      </c>
    </row>
    <row r="177" spans="1:13" x14ac:dyDescent="0.25">
      <c r="A177" s="1368">
        <v>0.69</v>
      </c>
      <c r="B177" s="13">
        <v>6.1764865298909712E-2</v>
      </c>
      <c r="C177" s="13">
        <v>4.9591215204466806E-2</v>
      </c>
      <c r="D177" s="13">
        <v>4.9000000000000002E-2</v>
      </c>
      <c r="E177" s="13">
        <v>0.04</v>
      </c>
      <c r="F177" s="13">
        <v>4.5699999999999998E-2</v>
      </c>
      <c r="G177" s="13">
        <v>3.9E-2</v>
      </c>
      <c r="H177" s="13">
        <v>4.2999999999999997E-2</v>
      </c>
      <c r="I177" s="1369">
        <v>3.7699999999999997E-2</v>
      </c>
      <c r="J177" s="13">
        <v>0.05</v>
      </c>
      <c r="K177" s="13">
        <v>3.9182077144234419E-2</v>
      </c>
      <c r="L177" s="13">
        <v>5.0752148473064321E-2</v>
      </c>
      <c r="M177" s="13">
        <v>5.0999999999999997E-2</v>
      </c>
    </row>
    <row r="178" spans="1:13" x14ac:dyDescent="0.25">
      <c r="A178" s="1368">
        <v>0.7</v>
      </c>
      <c r="B178" s="13">
        <v>6.2217856782215551E-2</v>
      </c>
      <c r="C178" s="13">
        <v>5.0001772587591246E-2</v>
      </c>
      <c r="D178" s="13">
        <v>0.05</v>
      </c>
      <c r="E178" s="13">
        <v>0.04</v>
      </c>
      <c r="F178" s="13">
        <v>4.5999999999999999E-2</v>
      </c>
      <c r="G178" s="13">
        <v>0.04</v>
      </c>
      <c r="H178" s="13">
        <v>4.3400000000000001E-2</v>
      </c>
      <c r="I178" s="1369">
        <v>3.8100000000000002E-2</v>
      </c>
      <c r="J178" s="13">
        <v>5.0999999999999997E-2</v>
      </c>
      <c r="K178" s="13">
        <v>3.9674465191540137E-2</v>
      </c>
      <c r="L178" s="13">
        <v>5.1512900077914724E-2</v>
      </c>
      <c r="M178" s="13">
        <v>5.0999999999999997E-2</v>
      </c>
    </row>
    <row r="179" spans="1:13" x14ac:dyDescent="0.25">
      <c r="A179" s="1368">
        <v>0.71</v>
      </c>
      <c r="B179" s="13">
        <v>6.2867453158528999E-2</v>
      </c>
      <c r="C179" s="13">
        <v>5.0441000314209027E-2</v>
      </c>
      <c r="D179" s="13">
        <v>0.05</v>
      </c>
      <c r="E179" s="13">
        <v>0.04</v>
      </c>
      <c r="F179" s="13">
        <v>4.6300000000000001E-2</v>
      </c>
      <c r="G179" s="13">
        <v>0.04</v>
      </c>
      <c r="H179" s="13">
        <v>4.3700000000000003E-2</v>
      </c>
      <c r="I179" s="1369">
        <v>3.8600000000000002E-2</v>
      </c>
      <c r="J179" s="13">
        <v>5.0999999999999997E-2</v>
      </c>
      <c r="K179" s="13">
        <v>4.0208883491339539E-2</v>
      </c>
      <c r="L179" s="13">
        <v>5.1618527676763573E-2</v>
      </c>
      <c r="M179" s="13">
        <v>5.1999999999999998E-2</v>
      </c>
    </row>
    <row r="180" spans="1:13" x14ac:dyDescent="0.25">
      <c r="A180" s="1368">
        <v>0.72</v>
      </c>
      <c r="B180" s="13">
        <v>6.3503170889803298E-2</v>
      </c>
      <c r="C180" s="13">
        <v>5.0449889059123607E-2</v>
      </c>
      <c r="D180" s="13">
        <v>5.0999999999999997E-2</v>
      </c>
      <c r="E180" s="13">
        <v>0.04</v>
      </c>
      <c r="F180" s="13">
        <v>4.6600000000000003E-2</v>
      </c>
      <c r="G180" s="13">
        <v>4.2000000000000003E-2</v>
      </c>
      <c r="H180" s="13">
        <v>4.3999999999999997E-2</v>
      </c>
      <c r="I180" s="1369">
        <v>3.9199999999999999E-2</v>
      </c>
      <c r="J180" s="13">
        <v>5.1999999999999998E-2</v>
      </c>
      <c r="K180" s="13">
        <v>4.072728663357765E-2</v>
      </c>
      <c r="L180" s="13">
        <v>5.1930651505107783E-2</v>
      </c>
      <c r="M180" s="13">
        <v>5.1999999999999998E-2</v>
      </c>
    </row>
    <row r="181" spans="1:13" x14ac:dyDescent="0.25">
      <c r="A181" s="1368">
        <v>0.73</v>
      </c>
      <c r="B181" s="13">
        <v>6.3917803193482808E-2</v>
      </c>
      <c r="C181" s="13">
        <v>5.1356818055562296E-2</v>
      </c>
      <c r="D181" s="13">
        <v>5.0999999999999997E-2</v>
      </c>
      <c r="E181" s="13">
        <v>0.04</v>
      </c>
      <c r="F181" s="13">
        <v>4.6800000000000001E-2</v>
      </c>
      <c r="G181" s="13">
        <v>4.2000000000000003E-2</v>
      </c>
      <c r="H181" s="13">
        <v>4.4400000000000002E-2</v>
      </c>
      <c r="I181" s="1369">
        <v>3.9600000000000003E-2</v>
      </c>
      <c r="J181" s="13">
        <v>5.1999999999999998E-2</v>
      </c>
      <c r="K181" s="13">
        <v>4.1214801476608921E-2</v>
      </c>
      <c r="L181" s="13">
        <v>5.198054395752752E-2</v>
      </c>
      <c r="M181" s="13">
        <v>5.1999999999999998E-2</v>
      </c>
    </row>
    <row r="182" spans="1:13" x14ac:dyDescent="0.25">
      <c r="A182" s="1368">
        <v>0.74</v>
      </c>
      <c r="B182" s="13">
        <v>6.4570030498758535E-2</v>
      </c>
      <c r="C182" s="13">
        <v>5.1787673196368851E-2</v>
      </c>
      <c r="D182" s="13">
        <v>5.0999999999999997E-2</v>
      </c>
      <c r="E182" s="13">
        <v>4.1000000000000002E-2</v>
      </c>
      <c r="F182" s="13">
        <v>4.7199999999999999E-2</v>
      </c>
      <c r="G182" s="13">
        <v>4.2999999999999997E-2</v>
      </c>
      <c r="H182" s="13">
        <v>4.4699999999999997E-2</v>
      </c>
      <c r="I182" s="1369">
        <v>0.04</v>
      </c>
      <c r="J182" s="13">
        <v>5.1999999999999998E-2</v>
      </c>
      <c r="K182" s="13">
        <v>4.1545136269954215E-2</v>
      </c>
      <c r="L182" s="13">
        <v>5.1995382203931143E-2</v>
      </c>
      <c r="M182" s="13">
        <v>5.1999999999999998E-2</v>
      </c>
    </row>
    <row r="183" spans="1:13" x14ac:dyDescent="0.25">
      <c r="A183" s="1368">
        <v>0.75</v>
      </c>
      <c r="B183" s="13">
        <v>6.4958322752453695E-2</v>
      </c>
      <c r="C183" s="13">
        <v>5.2438074151340226E-2</v>
      </c>
      <c r="D183" s="13">
        <v>5.1999999999999998E-2</v>
      </c>
      <c r="E183" s="13">
        <v>4.1000000000000002E-2</v>
      </c>
      <c r="F183" s="13">
        <v>4.7500000000000001E-2</v>
      </c>
      <c r="G183" s="13">
        <v>4.2999999999999997E-2</v>
      </c>
      <c r="H183" s="13">
        <v>4.4999999999999998E-2</v>
      </c>
      <c r="I183" s="1369">
        <v>4.0599999999999997E-2</v>
      </c>
      <c r="J183" s="13">
        <v>5.1999999999999998E-2</v>
      </c>
      <c r="K183" s="13">
        <v>4.2054286113998904E-2</v>
      </c>
      <c r="L183" s="13">
        <v>5.2030530964466228E-2</v>
      </c>
      <c r="M183" s="13">
        <v>5.1999999999999998E-2</v>
      </c>
    </row>
    <row r="184" spans="1:13" x14ac:dyDescent="0.25">
      <c r="A184" s="1368">
        <v>0.76</v>
      </c>
      <c r="B184" s="13">
        <v>6.5143073686451849E-2</v>
      </c>
      <c r="C184" s="13">
        <v>5.3150627166755511E-2</v>
      </c>
      <c r="D184" s="13">
        <v>5.1999999999999998E-2</v>
      </c>
      <c r="E184" s="13">
        <v>4.1000000000000002E-2</v>
      </c>
      <c r="F184" s="13">
        <v>4.7899999999999998E-2</v>
      </c>
      <c r="G184" s="13">
        <v>4.2999999999999997E-2</v>
      </c>
      <c r="H184" s="13">
        <v>4.53E-2</v>
      </c>
      <c r="I184" s="1369">
        <v>4.0899999999999999E-2</v>
      </c>
      <c r="J184" s="13">
        <v>5.2999999999999999E-2</v>
      </c>
      <c r="K184" s="13">
        <v>4.2335172817900862E-2</v>
      </c>
      <c r="L184" s="13">
        <v>5.2612679062316745E-2</v>
      </c>
      <c r="M184" s="13">
        <v>5.1999999999999998E-2</v>
      </c>
    </row>
    <row r="185" spans="1:13" x14ac:dyDescent="0.25">
      <c r="A185" s="1368">
        <v>0.77</v>
      </c>
      <c r="B185" s="13">
        <v>6.6317489288618206E-2</v>
      </c>
      <c r="C185" s="13">
        <v>5.4873094518331514E-2</v>
      </c>
      <c r="D185" s="13">
        <v>5.2999999999999999E-2</v>
      </c>
      <c r="E185" s="13">
        <v>4.1000000000000002E-2</v>
      </c>
      <c r="F185" s="13">
        <v>4.82E-2</v>
      </c>
      <c r="G185" s="13">
        <v>4.2999999999999997E-2</v>
      </c>
      <c r="H185" s="13">
        <v>4.5600000000000002E-2</v>
      </c>
      <c r="I185" s="1369">
        <v>4.1599999999999998E-2</v>
      </c>
      <c r="J185" s="13">
        <v>5.2999999999999999E-2</v>
      </c>
      <c r="K185" s="13">
        <v>4.2929771238112015E-2</v>
      </c>
      <c r="L185" s="13">
        <v>5.2795358600085489E-2</v>
      </c>
      <c r="M185" s="13">
        <v>5.2999999999999999E-2</v>
      </c>
    </row>
    <row r="186" spans="1:13" x14ac:dyDescent="0.25">
      <c r="A186" s="1368">
        <v>0.78</v>
      </c>
      <c r="B186" s="13">
        <v>6.7341187290418617E-2</v>
      </c>
      <c r="C186" s="13">
        <v>5.5072098043491349E-2</v>
      </c>
      <c r="D186" s="13">
        <v>5.2999999999999999E-2</v>
      </c>
      <c r="E186" s="13">
        <v>4.1000000000000002E-2</v>
      </c>
      <c r="F186" s="13">
        <v>4.8599999999999997E-2</v>
      </c>
      <c r="G186" s="13">
        <v>4.4999999999999998E-2</v>
      </c>
      <c r="H186" s="13">
        <v>4.5699999999999998E-2</v>
      </c>
      <c r="I186" s="1369">
        <v>4.2099999999999999E-2</v>
      </c>
      <c r="J186" s="13">
        <v>5.3999999999999999E-2</v>
      </c>
      <c r="K186" s="13">
        <v>4.3400329390324795E-2</v>
      </c>
      <c r="L186" s="13">
        <v>5.2797246359956272E-2</v>
      </c>
      <c r="M186" s="13">
        <v>5.2999999999999999E-2</v>
      </c>
    </row>
    <row r="187" spans="1:13" x14ac:dyDescent="0.25">
      <c r="A187" s="1368">
        <v>0.79</v>
      </c>
      <c r="B187" s="13">
        <v>6.8086928409474751E-2</v>
      </c>
      <c r="C187" s="13">
        <v>5.5242113420213929E-2</v>
      </c>
      <c r="D187" s="13">
        <v>5.3999999999999999E-2</v>
      </c>
      <c r="E187" s="13">
        <v>4.2000000000000003E-2</v>
      </c>
      <c r="F187" s="13">
        <v>4.8899999999999999E-2</v>
      </c>
      <c r="G187" s="13">
        <v>4.4999999999999998E-2</v>
      </c>
      <c r="H187" s="13">
        <v>4.5999999999999999E-2</v>
      </c>
      <c r="I187" s="1369">
        <v>4.2599999999999999E-2</v>
      </c>
      <c r="J187" s="13">
        <v>5.3999999999999999E-2</v>
      </c>
      <c r="K187" s="13">
        <v>4.3943198189272066E-2</v>
      </c>
      <c r="L187" s="13">
        <v>5.3509119174153637E-2</v>
      </c>
      <c r="M187" s="13">
        <v>5.2999999999999999E-2</v>
      </c>
    </row>
    <row r="188" spans="1:13" x14ac:dyDescent="0.25">
      <c r="A188" s="1368">
        <v>0.8</v>
      </c>
      <c r="B188" s="13">
        <v>6.8702144348932098E-2</v>
      </c>
      <c r="C188" s="13">
        <v>5.5243536155714514E-2</v>
      </c>
      <c r="D188" s="13">
        <v>5.3999999999999999E-2</v>
      </c>
      <c r="E188" s="13">
        <v>4.2000000000000003E-2</v>
      </c>
      <c r="F188" s="13">
        <v>4.9200000000000001E-2</v>
      </c>
      <c r="G188" s="13">
        <v>4.5999999999999999E-2</v>
      </c>
      <c r="H188" s="13">
        <v>4.6300000000000001E-2</v>
      </c>
      <c r="I188" s="1369">
        <v>4.3400000000000001E-2</v>
      </c>
      <c r="J188" s="13">
        <v>5.5E-2</v>
      </c>
      <c r="K188" s="13">
        <v>4.4626489699969227E-2</v>
      </c>
      <c r="L188" s="13">
        <v>5.3727303513987829E-2</v>
      </c>
      <c r="M188" s="13">
        <v>5.2999999999999999E-2</v>
      </c>
    </row>
    <row r="189" spans="1:13" x14ac:dyDescent="0.25">
      <c r="A189" s="1368">
        <v>0.81</v>
      </c>
      <c r="B189" s="13">
        <v>7.0621260709903294E-2</v>
      </c>
      <c r="C189" s="13">
        <v>5.575029847915558E-2</v>
      </c>
      <c r="D189" s="13">
        <v>5.3999999999999999E-2</v>
      </c>
      <c r="E189" s="13">
        <v>4.2999999999999997E-2</v>
      </c>
      <c r="F189" s="13">
        <v>4.9700000000000001E-2</v>
      </c>
      <c r="G189" s="13">
        <v>4.5999999999999999E-2</v>
      </c>
      <c r="H189" s="13">
        <v>4.6699999999999998E-2</v>
      </c>
      <c r="I189" s="1369">
        <v>4.4200000000000003E-2</v>
      </c>
      <c r="J189" s="13">
        <v>5.5E-2</v>
      </c>
      <c r="K189" s="13">
        <v>4.490719134222567E-2</v>
      </c>
      <c r="L189" s="13">
        <v>5.4859953782554975E-2</v>
      </c>
      <c r="M189" s="13">
        <v>5.5E-2</v>
      </c>
    </row>
    <row r="190" spans="1:13" x14ac:dyDescent="0.25">
      <c r="A190" s="1368">
        <v>0.82</v>
      </c>
      <c r="B190" s="13">
        <v>7.208997350125064E-2</v>
      </c>
      <c r="C190" s="13">
        <v>5.6415305386429762E-2</v>
      </c>
      <c r="D190" s="13">
        <v>5.5E-2</v>
      </c>
      <c r="E190" s="13">
        <v>4.2999999999999997E-2</v>
      </c>
      <c r="F190" s="13">
        <v>5.0099999999999999E-2</v>
      </c>
      <c r="G190" s="13">
        <v>4.8000000000000001E-2</v>
      </c>
      <c r="H190" s="13">
        <v>4.7100000000000003E-2</v>
      </c>
      <c r="I190" s="1369">
        <v>4.4600000000000001E-2</v>
      </c>
      <c r="J190" s="13">
        <v>5.6000000000000001E-2</v>
      </c>
      <c r="K190" s="13">
        <v>4.5554102232876328E-2</v>
      </c>
      <c r="L190" s="13">
        <v>5.5443878975215563E-2</v>
      </c>
      <c r="M190" s="13">
        <v>5.5E-2</v>
      </c>
    </row>
    <row r="191" spans="1:13" x14ac:dyDescent="0.25">
      <c r="A191" s="1368">
        <v>0.83</v>
      </c>
      <c r="B191" s="13">
        <v>7.3019154225705832E-2</v>
      </c>
      <c r="C191" s="13">
        <v>5.692601189868151E-2</v>
      </c>
      <c r="D191" s="13">
        <v>5.5E-2</v>
      </c>
      <c r="E191" s="13">
        <v>4.2999999999999997E-2</v>
      </c>
      <c r="F191" s="13">
        <v>5.0599999999999999E-2</v>
      </c>
      <c r="G191" s="13">
        <v>4.8000000000000001E-2</v>
      </c>
      <c r="H191" s="13">
        <v>4.7399999999999998E-2</v>
      </c>
      <c r="I191" s="1369">
        <v>4.4999999999999998E-2</v>
      </c>
      <c r="J191" s="13">
        <v>5.6000000000000001E-2</v>
      </c>
      <c r="K191" s="13">
        <v>4.6158273000585406E-2</v>
      </c>
      <c r="L191" s="13">
        <v>5.5737455988767316E-2</v>
      </c>
      <c r="M191" s="13">
        <v>5.6000000000000001E-2</v>
      </c>
    </row>
    <row r="192" spans="1:13" x14ac:dyDescent="0.25">
      <c r="A192" s="1368">
        <v>0.84</v>
      </c>
      <c r="B192" s="13">
        <v>7.4481387494102824E-2</v>
      </c>
      <c r="C192" s="13">
        <v>5.8616898421637587E-2</v>
      </c>
      <c r="D192" s="13">
        <v>5.6000000000000001E-2</v>
      </c>
      <c r="E192" s="13">
        <v>4.4999999999999998E-2</v>
      </c>
      <c r="F192" s="13">
        <v>5.0999999999999997E-2</v>
      </c>
      <c r="G192" s="13">
        <v>0.05</v>
      </c>
      <c r="H192" s="13">
        <v>4.7899999999999998E-2</v>
      </c>
      <c r="I192" s="1369">
        <v>4.5900000000000003E-2</v>
      </c>
      <c r="J192" s="13">
        <v>5.7000000000000002E-2</v>
      </c>
      <c r="K192" s="13">
        <v>4.6710748516301852E-2</v>
      </c>
      <c r="L192" s="13">
        <v>5.6225117343687278E-2</v>
      </c>
      <c r="M192" s="13">
        <v>5.6000000000000001E-2</v>
      </c>
    </row>
    <row r="193" spans="1:13" x14ac:dyDescent="0.25">
      <c r="A193" s="1368">
        <v>0.85</v>
      </c>
      <c r="B193" s="13">
        <v>7.5324388867625158E-2</v>
      </c>
      <c r="C193" s="13">
        <v>5.9691206288779067E-2</v>
      </c>
      <c r="D193" s="13">
        <v>5.6000000000000001E-2</v>
      </c>
      <c r="E193" s="13">
        <v>4.5999999999999999E-2</v>
      </c>
      <c r="F193" s="13">
        <v>5.1499999999999997E-2</v>
      </c>
      <c r="G193" s="13">
        <v>0.05</v>
      </c>
      <c r="H193" s="13">
        <v>4.8399999999999999E-2</v>
      </c>
      <c r="I193" s="1369">
        <v>4.6300000000000001E-2</v>
      </c>
      <c r="J193" s="13">
        <v>5.7000000000000002E-2</v>
      </c>
      <c r="K193" s="13">
        <v>4.7311128394758512E-2</v>
      </c>
      <c r="L193" s="13">
        <v>5.6652027781189176E-2</v>
      </c>
      <c r="M193" s="13">
        <v>5.7000000000000002E-2</v>
      </c>
    </row>
    <row r="194" spans="1:13" x14ac:dyDescent="0.25">
      <c r="A194" s="1368">
        <v>0.86</v>
      </c>
      <c r="B194" s="13">
        <v>7.653626822530793E-2</v>
      </c>
      <c r="C194" s="13">
        <v>5.9691648554440063E-2</v>
      </c>
      <c r="D194" s="13">
        <v>5.7000000000000002E-2</v>
      </c>
      <c r="E194" s="13">
        <v>4.5999999999999999E-2</v>
      </c>
      <c r="F194" s="13">
        <v>5.1999999999999998E-2</v>
      </c>
      <c r="G194" s="13">
        <v>5.1999999999999998E-2</v>
      </c>
      <c r="H194" s="13">
        <v>4.9000000000000002E-2</v>
      </c>
      <c r="I194" s="1369">
        <v>4.6600000000000003E-2</v>
      </c>
      <c r="J194" s="13">
        <v>5.8000000000000003E-2</v>
      </c>
      <c r="K194" s="13">
        <v>4.7611913743595011E-2</v>
      </c>
      <c r="L194" s="13">
        <v>5.739433116599571E-2</v>
      </c>
      <c r="M194" s="13">
        <v>5.7000000000000002E-2</v>
      </c>
    </row>
    <row r="195" spans="1:13" x14ac:dyDescent="0.25">
      <c r="A195" s="1368">
        <v>0.87</v>
      </c>
      <c r="B195" s="13">
        <v>7.7840120904195786E-2</v>
      </c>
      <c r="C195" s="13">
        <v>5.9752870758085649E-2</v>
      </c>
      <c r="D195" s="13">
        <v>5.7000000000000002E-2</v>
      </c>
      <c r="E195" s="13">
        <v>4.7E-2</v>
      </c>
      <c r="F195" s="13">
        <v>5.2600000000000001E-2</v>
      </c>
      <c r="G195" s="13">
        <v>5.1999999999999998E-2</v>
      </c>
      <c r="H195" s="13">
        <v>4.9399999999999999E-2</v>
      </c>
      <c r="I195" s="1369">
        <v>4.7199999999999999E-2</v>
      </c>
      <c r="J195" s="13">
        <v>5.8000000000000003E-2</v>
      </c>
      <c r="K195" s="13">
        <v>4.8867238408561865E-2</v>
      </c>
      <c r="L195" s="13">
        <v>5.7725415845998149E-2</v>
      </c>
      <c r="M195" s="13">
        <v>5.8000000000000003E-2</v>
      </c>
    </row>
    <row r="196" spans="1:13" x14ac:dyDescent="0.25">
      <c r="A196" s="1368">
        <v>0.88</v>
      </c>
      <c r="B196" s="13">
        <v>7.93648046494317E-2</v>
      </c>
      <c r="C196" s="13">
        <v>6.0875391497294755E-2</v>
      </c>
      <c r="D196" s="13">
        <v>5.8000000000000003E-2</v>
      </c>
      <c r="E196" s="13">
        <v>4.7E-2</v>
      </c>
      <c r="F196" s="13">
        <v>5.3100000000000001E-2</v>
      </c>
      <c r="G196" s="13">
        <v>5.3999999999999999E-2</v>
      </c>
      <c r="H196" s="13">
        <v>4.9799999999999997E-2</v>
      </c>
      <c r="I196" s="1369">
        <v>4.7600000000000003E-2</v>
      </c>
      <c r="J196" s="13">
        <v>6.0999999999999999E-2</v>
      </c>
      <c r="K196" s="13">
        <v>5.0138885630577869E-2</v>
      </c>
      <c r="L196" s="13">
        <v>5.8160838751054683E-2</v>
      </c>
      <c r="M196" s="13">
        <v>5.8000000000000003E-2</v>
      </c>
    </row>
    <row r="197" spans="1:13" x14ac:dyDescent="0.25">
      <c r="A197" s="1368">
        <v>0.89</v>
      </c>
      <c r="B197" s="13">
        <v>8.1545181173187486E-2</v>
      </c>
      <c r="C197" s="13">
        <v>6.1454907537522842E-2</v>
      </c>
      <c r="D197" s="13">
        <v>5.8999999999999997E-2</v>
      </c>
      <c r="E197" s="13">
        <v>4.8000000000000001E-2</v>
      </c>
      <c r="F197" s="13">
        <v>5.3800000000000001E-2</v>
      </c>
      <c r="G197" s="13">
        <v>5.3999999999999999E-2</v>
      </c>
      <c r="H197" s="13">
        <v>5.0299999999999997E-2</v>
      </c>
      <c r="I197" s="1369">
        <v>4.82E-2</v>
      </c>
      <c r="J197" s="13">
        <v>6.0999999999999999E-2</v>
      </c>
      <c r="K197" s="13">
        <v>5.0836463256344687E-2</v>
      </c>
      <c r="L197" s="13">
        <v>5.923528850859399E-2</v>
      </c>
      <c r="M197" s="13">
        <v>5.8999999999999997E-2</v>
      </c>
    </row>
    <row r="198" spans="1:13" x14ac:dyDescent="0.25">
      <c r="A198" s="1368">
        <v>0.9</v>
      </c>
      <c r="B198" s="13">
        <v>8.4057868265155114E-2</v>
      </c>
      <c r="C198" s="13">
        <v>6.3063840420152228E-2</v>
      </c>
      <c r="D198" s="13">
        <v>0.06</v>
      </c>
      <c r="E198" s="13">
        <v>4.9000000000000002E-2</v>
      </c>
      <c r="F198" s="13">
        <v>5.45E-2</v>
      </c>
      <c r="G198" s="13">
        <v>5.7000000000000002E-2</v>
      </c>
      <c r="H198" s="13">
        <v>5.0799999999999998E-2</v>
      </c>
      <c r="I198" s="1369">
        <v>4.8899999999999999E-2</v>
      </c>
      <c r="J198" s="13">
        <v>6.3E-2</v>
      </c>
      <c r="K198" s="13">
        <v>5.1543302355151227E-2</v>
      </c>
      <c r="L198" s="13">
        <v>5.9575011713021049E-2</v>
      </c>
      <c r="M198" s="13">
        <v>5.8999999999999997E-2</v>
      </c>
    </row>
    <row r="199" spans="1:13" x14ac:dyDescent="0.25">
      <c r="A199" s="1368">
        <v>0.91</v>
      </c>
      <c r="B199" s="13">
        <v>8.5894904644904638E-2</v>
      </c>
      <c r="C199" s="13">
        <v>6.3201091953128327E-2</v>
      </c>
      <c r="D199" s="13">
        <v>0.06</v>
      </c>
      <c r="E199" s="13">
        <v>0.05</v>
      </c>
      <c r="F199" s="13">
        <v>5.5300000000000002E-2</v>
      </c>
      <c r="G199" s="13">
        <v>5.7000000000000002E-2</v>
      </c>
      <c r="H199" s="13">
        <v>5.1299999999999998E-2</v>
      </c>
      <c r="I199" s="1369">
        <v>4.99E-2</v>
      </c>
      <c r="J199" s="13">
        <v>6.3E-2</v>
      </c>
      <c r="K199" s="13">
        <v>5.2697383585664184E-2</v>
      </c>
      <c r="L199" s="13">
        <v>6.0520568777347739E-2</v>
      </c>
      <c r="M199" s="13">
        <v>6.0999999999999999E-2</v>
      </c>
    </row>
    <row r="200" spans="1:13" x14ac:dyDescent="0.25">
      <c r="A200" s="1368">
        <v>0.92</v>
      </c>
      <c r="B200" s="13">
        <v>8.8392506867682685E-2</v>
      </c>
      <c r="C200" s="13">
        <v>6.4655452483784431E-2</v>
      </c>
      <c r="D200" s="13">
        <v>6.0999999999999999E-2</v>
      </c>
      <c r="E200" s="13">
        <v>5.1999999999999998E-2</v>
      </c>
      <c r="F200" s="13">
        <v>5.6000000000000001E-2</v>
      </c>
      <c r="G200" s="13">
        <v>5.8000000000000003E-2</v>
      </c>
      <c r="H200" s="13">
        <v>5.16E-2</v>
      </c>
      <c r="I200" s="1369">
        <v>5.0999999999999997E-2</v>
      </c>
      <c r="J200" s="13">
        <v>6.7000000000000004E-2</v>
      </c>
      <c r="K200" s="13">
        <v>5.3513249297569516E-2</v>
      </c>
      <c r="L200" s="13">
        <v>6.0947672604396444E-2</v>
      </c>
      <c r="M200" s="13">
        <v>6.0999999999999999E-2</v>
      </c>
    </row>
    <row r="201" spans="1:13" x14ac:dyDescent="0.25">
      <c r="A201" s="1368">
        <v>0.93</v>
      </c>
      <c r="B201" s="13">
        <v>8.8507993267551446E-2</v>
      </c>
      <c r="C201" s="13">
        <v>6.691917789292362E-2</v>
      </c>
      <c r="D201" s="13">
        <v>6.3E-2</v>
      </c>
      <c r="E201" s="13">
        <v>5.2999999999999999E-2</v>
      </c>
      <c r="F201" s="13">
        <v>5.7000000000000002E-2</v>
      </c>
      <c r="G201" s="13">
        <v>5.8000000000000003E-2</v>
      </c>
      <c r="H201" s="13">
        <v>5.1999999999999998E-2</v>
      </c>
      <c r="I201" s="1369">
        <v>5.1900000000000002E-2</v>
      </c>
      <c r="J201" s="13">
        <v>6.7000000000000004E-2</v>
      </c>
      <c r="K201" s="13">
        <v>5.4491065579799471E-2</v>
      </c>
      <c r="L201" s="13">
        <v>6.1421922073415236E-2</v>
      </c>
      <c r="M201" s="13">
        <v>6.0999999999999999E-2</v>
      </c>
    </row>
    <row r="202" spans="1:13" x14ac:dyDescent="0.25">
      <c r="A202" s="1368">
        <v>0.94</v>
      </c>
      <c r="B202" s="13">
        <v>8.8892178731389521E-2</v>
      </c>
      <c r="C202" s="13">
        <v>6.9162317821826427E-2</v>
      </c>
      <c r="D202" s="13">
        <v>6.4000000000000001E-2</v>
      </c>
      <c r="E202" s="13">
        <v>5.6000000000000001E-2</v>
      </c>
      <c r="F202" s="13">
        <v>5.8099999999999999E-2</v>
      </c>
      <c r="G202" s="13">
        <v>6.0999999999999999E-2</v>
      </c>
      <c r="H202" s="13">
        <v>5.2299999999999999E-2</v>
      </c>
      <c r="I202" s="1369">
        <v>5.2400000000000002E-2</v>
      </c>
      <c r="J202" s="13">
        <v>6.9000000000000006E-2</v>
      </c>
      <c r="K202" s="13">
        <v>5.690898860325995E-2</v>
      </c>
      <c r="L202" s="13">
        <v>6.173357420539461E-2</v>
      </c>
      <c r="M202" s="13">
        <v>6.0999999999999999E-2</v>
      </c>
    </row>
    <row r="203" spans="1:13" x14ac:dyDescent="0.25">
      <c r="A203" s="1368">
        <v>0.95</v>
      </c>
      <c r="B203" s="13">
        <v>9.0897726460435466E-2</v>
      </c>
      <c r="C203" s="13">
        <v>7.0064274975743815E-2</v>
      </c>
      <c r="D203" s="13">
        <v>6.5000000000000002E-2</v>
      </c>
      <c r="E203" s="13">
        <v>5.7000000000000002E-2</v>
      </c>
      <c r="F203" s="13">
        <v>5.91E-2</v>
      </c>
      <c r="G203" s="13">
        <v>6.0999999999999999E-2</v>
      </c>
      <c r="H203" s="13">
        <v>5.3100000000000001E-2</v>
      </c>
      <c r="I203" s="1369">
        <v>5.33E-2</v>
      </c>
      <c r="J203" s="13">
        <v>7.0000000000000007E-2</v>
      </c>
      <c r="K203" s="13">
        <v>5.8092333804942796E-2</v>
      </c>
      <c r="L203" s="13">
        <v>6.1738545555584133E-2</v>
      </c>
      <c r="M203" s="13">
        <v>6.2E-2</v>
      </c>
    </row>
    <row r="204" spans="1:13" x14ac:dyDescent="0.25">
      <c r="A204" s="1368">
        <v>0.96</v>
      </c>
      <c r="B204" s="13">
        <v>9.3349407697270834E-2</v>
      </c>
      <c r="C204" s="13">
        <v>7.2213601421105306E-2</v>
      </c>
      <c r="D204" s="13">
        <v>6.7000000000000004E-2</v>
      </c>
      <c r="E204" s="13">
        <v>0.06</v>
      </c>
      <c r="F204" s="13">
        <v>6.0100000000000001E-2</v>
      </c>
      <c r="G204" s="13">
        <v>6.6000000000000003E-2</v>
      </c>
      <c r="H204" s="13">
        <v>5.3999999999999999E-2</v>
      </c>
      <c r="I204" s="1369">
        <v>5.3900000000000003E-2</v>
      </c>
      <c r="J204" s="13">
        <v>7.0999999999999994E-2</v>
      </c>
      <c r="K204" s="13">
        <v>5.9821369573418728E-2</v>
      </c>
      <c r="L204" s="13">
        <v>6.5085947054748003E-2</v>
      </c>
      <c r="M204" s="13">
        <v>6.2E-2</v>
      </c>
    </row>
    <row r="205" spans="1:13" x14ac:dyDescent="0.25">
      <c r="A205" s="1368">
        <v>0.97</v>
      </c>
      <c r="B205" s="13">
        <v>9.6608644493755488E-2</v>
      </c>
      <c r="C205" s="13">
        <v>7.3513707092895078E-2</v>
      </c>
      <c r="D205" s="13">
        <v>6.8000000000000005E-2</v>
      </c>
      <c r="E205" s="13">
        <v>6.3E-2</v>
      </c>
      <c r="F205" s="13">
        <v>6.08E-2</v>
      </c>
      <c r="G205" s="13">
        <v>6.6000000000000003E-2</v>
      </c>
      <c r="H205" s="13">
        <v>5.5800000000000002E-2</v>
      </c>
      <c r="I205" s="1369">
        <v>5.6000000000000001E-2</v>
      </c>
      <c r="J205" s="13">
        <v>7.3999999999999996E-2</v>
      </c>
      <c r="K205" s="13">
        <v>6.2326218023901356E-2</v>
      </c>
      <c r="L205" s="13">
        <v>6.8772188951795363E-2</v>
      </c>
      <c r="M205" s="13">
        <v>7.0999999999999994E-2</v>
      </c>
    </row>
    <row r="206" spans="1:13" x14ac:dyDescent="0.25">
      <c r="A206" s="1368">
        <v>0.98</v>
      </c>
      <c r="B206" s="13">
        <v>0.10321427746003986</v>
      </c>
      <c r="C206" s="13">
        <v>7.7387194307220908E-2</v>
      </c>
      <c r="D206" s="13">
        <v>7.0999999999999994E-2</v>
      </c>
      <c r="E206" s="13">
        <v>6.5000000000000002E-2</v>
      </c>
      <c r="F206" s="13">
        <v>6.2199999999999998E-2</v>
      </c>
      <c r="G206" s="13">
        <v>6.7000000000000004E-2</v>
      </c>
      <c r="H206" s="13">
        <v>5.7200000000000001E-2</v>
      </c>
      <c r="I206" s="1369">
        <v>5.7299999999999997E-2</v>
      </c>
      <c r="J206" s="13">
        <v>7.5999999999999998E-2</v>
      </c>
      <c r="K206" s="13">
        <v>6.6453464589083813E-2</v>
      </c>
      <c r="L206" s="13">
        <v>7.536993459126444E-2</v>
      </c>
      <c r="M206" s="13">
        <v>7.0999999999999994E-2</v>
      </c>
    </row>
    <row r="207" spans="1:13" x14ac:dyDescent="0.25">
      <c r="A207" s="1368">
        <v>0.99</v>
      </c>
      <c r="B207" s="13">
        <v>0.1085207956172423</v>
      </c>
      <c r="C207" s="13">
        <v>8.8506044304221779E-2</v>
      </c>
      <c r="D207" s="13">
        <v>7.3999999999999996E-2</v>
      </c>
      <c r="E207" s="13">
        <v>7.1999999999999995E-2</v>
      </c>
      <c r="F207" s="13">
        <v>6.4399999999999999E-2</v>
      </c>
      <c r="G207" s="13">
        <v>8.5000000000000006E-2</v>
      </c>
      <c r="H207" s="13">
        <v>5.8999999999999997E-2</v>
      </c>
      <c r="I207" s="1369">
        <v>5.8999999999999997E-2</v>
      </c>
      <c r="J207" s="13">
        <v>8.2000000000000003E-2</v>
      </c>
      <c r="K207" s="13">
        <v>7.2329902273689503E-2</v>
      </c>
      <c r="L207" s="13">
        <v>7.9386831545028833E-2</v>
      </c>
      <c r="M207" s="13">
        <v>8.4000000000000005E-2</v>
      </c>
    </row>
    <row r="208" spans="1:13" x14ac:dyDescent="0.25">
      <c r="A208" s="1368">
        <v>1</v>
      </c>
      <c r="B208" s="13">
        <v>0.1200899142042287</v>
      </c>
      <c r="C208" s="13">
        <v>9.6660391685772368E-2</v>
      </c>
      <c r="D208" s="13">
        <v>0.08</v>
      </c>
      <c r="E208" s="13">
        <v>8.1000000000000003E-2</v>
      </c>
      <c r="F208" s="13">
        <v>6.6600000000000006E-2</v>
      </c>
      <c r="G208" s="13">
        <v>9.0999999999999998E-2</v>
      </c>
      <c r="H208" s="13">
        <v>6.0400000000000002E-2</v>
      </c>
      <c r="I208" s="1369">
        <v>6.0199999999999997E-2</v>
      </c>
      <c r="J208" s="13">
        <v>0.1</v>
      </c>
      <c r="K208" s="13">
        <v>8.3366567875361341E-2</v>
      </c>
      <c r="L208" s="13">
        <v>9.0188640466516673E-2</v>
      </c>
      <c r="M208" s="13">
        <v>8.4000000000000005E-2</v>
      </c>
    </row>
    <row r="209" spans="1:13" x14ac:dyDescent="0.25">
      <c r="A209" s="1368" t="s">
        <v>1995</v>
      </c>
      <c r="B209" s="13">
        <f>кривые!B209</f>
        <v>3.2958882060286798E-2</v>
      </c>
      <c r="C209" s="13">
        <f>кривые!C209</f>
        <v>3.2958882060286798E-2</v>
      </c>
      <c r="D209" s="13">
        <f>кривые!D209</f>
        <v>2.8836333040678959E-2</v>
      </c>
      <c r="E209" s="13">
        <f>кривые!E209</f>
        <v>2.8836333040678959E-2</v>
      </c>
      <c r="F209" s="13">
        <f>кривые!F209</f>
        <v>2.3355733586967124E-2</v>
      </c>
      <c r="G209" s="13">
        <f>кривые!G209</f>
        <v>2.3355733586967124E-2</v>
      </c>
      <c r="H209" s="13">
        <f>кривые!H209</f>
        <v>2.1143059213735244E-2</v>
      </c>
      <c r="I209" s="13">
        <f>кривые!I209</f>
        <v>2.1143059213735244E-2</v>
      </c>
      <c r="J209" s="13">
        <f>кривые!J209</f>
        <v>2.0050165837479268E-2</v>
      </c>
      <c r="K209" s="13">
        <f>кривые!K209</f>
        <v>2.0050165837479268E-2</v>
      </c>
      <c r="L209" s="13">
        <f>кривые!L209</f>
        <v>1.8681852177023377E-2</v>
      </c>
      <c r="M209" s="13">
        <f>кривые!M209</f>
        <v>1.8681852177023377E-2</v>
      </c>
    </row>
    <row r="210" spans="1:13" x14ac:dyDescent="0.25">
      <c r="A210" s="13" t="s">
        <v>1859</v>
      </c>
      <c r="B210" s="13" t="e">
        <f>AVERAGE('классы ЭЭ и выбросы ПГ'!$Y$47)</f>
        <v>#VALUE!</v>
      </c>
      <c r="C210" s="13" t="e">
        <f>B210</f>
        <v>#VALUE!</v>
      </c>
      <c r="D210" s="13" t="e">
        <f>AVERAGE('классы ЭЭ и выбросы ПГ'!$Z$47:$AA$47)</f>
        <v>#VALUE!</v>
      </c>
      <c r="E210" s="13" t="e">
        <f>D210</f>
        <v>#VALUE!</v>
      </c>
      <c r="F210" s="13" t="e">
        <f>AVERAGE('классы ЭЭ и выбросы ПГ'!$AB$47:$AC$47)</f>
        <v>#VALUE!</v>
      </c>
      <c r="G210" s="13" t="e">
        <f>F210</f>
        <v>#VALUE!</v>
      </c>
      <c r="H210" s="13" t="e">
        <f>AVERAGE('классы ЭЭ и выбросы ПГ'!$AD$47:$AE$47)</f>
        <v>#VALUE!</v>
      </c>
      <c r="I210" s="13" t="e">
        <f>H210</f>
        <v>#VALUE!</v>
      </c>
      <c r="J210" s="13" t="e">
        <f>AVERAGE('классы ЭЭ и выбросы ПГ'!$AF$47:$AG$47)</f>
        <v>#VALUE!</v>
      </c>
      <c r="K210" s="13" t="e">
        <f>J210</f>
        <v>#VALUE!</v>
      </c>
      <c r="L210" s="13" t="e">
        <f>AVERAGE('классы ЭЭ и выбросы ПГ'!$AH$47:$AN$47)</f>
        <v>#VALUE!</v>
      </c>
      <c r="M210" s="13" t="e">
        <f>L210</f>
        <v>#VALUE!</v>
      </c>
    </row>
    <row r="211" spans="1:13" x14ac:dyDescent="0.25">
      <c r="A211" s="13" t="s">
        <v>1858</v>
      </c>
      <c r="B211" s="13" t="e">
        <f>0.4*B210</f>
        <v>#VALUE!</v>
      </c>
      <c r="C211" s="13" t="e">
        <f t="shared" ref="C211:M211" si="39">0.4*C210</f>
        <v>#VALUE!</v>
      </c>
      <c r="D211" s="13" t="e">
        <f t="shared" si="39"/>
        <v>#VALUE!</v>
      </c>
      <c r="E211" s="13" t="e">
        <f t="shared" si="39"/>
        <v>#VALUE!</v>
      </c>
      <c r="F211" s="13" t="e">
        <f t="shared" si="39"/>
        <v>#VALUE!</v>
      </c>
      <c r="G211" s="13" t="e">
        <f t="shared" si="39"/>
        <v>#VALUE!</v>
      </c>
      <c r="H211" s="13" t="e">
        <f t="shared" si="39"/>
        <v>#VALUE!</v>
      </c>
      <c r="I211" s="13" t="e">
        <f t="shared" si="39"/>
        <v>#VALUE!</v>
      </c>
      <c r="J211" s="13" t="e">
        <f t="shared" si="39"/>
        <v>#VALUE!</v>
      </c>
      <c r="K211" s="13" t="e">
        <f t="shared" si="39"/>
        <v>#VALUE!</v>
      </c>
      <c r="L211" s="13" t="e">
        <f t="shared" si="39"/>
        <v>#VALUE!</v>
      </c>
      <c r="M211" s="13" t="e">
        <f t="shared" si="39"/>
        <v>#VALUE!</v>
      </c>
    </row>
    <row r="212" spans="1:13" x14ac:dyDescent="0.25">
      <c r="A212" s="13" t="s">
        <v>541</v>
      </c>
      <c r="B212" s="13" t="s">
        <v>1845</v>
      </c>
      <c r="C212" s="13" t="s">
        <v>1846</v>
      </c>
      <c r="D212" s="13" t="s">
        <v>1847</v>
      </c>
      <c r="E212" s="13" t="s">
        <v>1848</v>
      </c>
      <c r="F212" s="13" t="s">
        <v>1849</v>
      </c>
      <c r="G212" s="13" t="s">
        <v>1850</v>
      </c>
      <c r="H212" s="13" t="s">
        <v>1851</v>
      </c>
      <c r="I212" s="1369" t="s">
        <v>1852</v>
      </c>
      <c r="J212" s="13" t="s">
        <v>1853</v>
      </c>
      <c r="K212" s="13" t="s">
        <v>1854</v>
      </c>
      <c r="L212" s="13" t="s">
        <v>1855</v>
      </c>
      <c r="M212" s="13" t="s">
        <v>1856</v>
      </c>
    </row>
    <row r="213" spans="1:13" x14ac:dyDescent="0.25">
      <c r="A213" s="1368">
        <v>0</v>
      </c>
      <c r="B213" s="13">
        <v>17.5</v>
      </c>
      <c r="C213" s="1378">
        <f>E213</f>
        <v>13</v>
      </c>
      <c r="D213" s="1378">
        <v>25.87</v>
      </c>
      <c r="E213" s="1378">
        <v>13</v>
      </c>
      <c r="F213" s="13">
        <v>25.87</v>
      </c>
      <c r="G213" s="13">
        <v>13</v>
      </c>
      <c r="H213" s="13">
        <v>26.59</v>
      </c>
      <c r="I213" s="1369">
        <v>25.67</v>
      </c>
      <c r="J213" s="13">
        <v>21.8</v>
      </c>
      <c r="K213" s="13">
        <v>19.302686663441381</v>
      </c>
      <c r="L213" s="13">
        <v>12.652695903578268</v>
      </c>
      <c r="M213" s="13">
        <v>12.652695903578268</v>
      </c>
    </row>
    <row r="214" spans="1:13" x14ac:dyDescent="0.25">
      <c r="A214" s="1368">
        <v>0.01</v>
      </c>
      <c r="B214" s="13">
        <v>17.7</v>
      </c>
      <c r="C214" s="1378">
        <f t="shared" ref="C214:C277" si="40">E214</f>
        <v>13.8</v>
      </c>
      <c r="D214" s="1378">
        <v>27.43</v>
      </c>
      <c r="E214" s="1378">
        <v>13.8</v>
      </c>
      <c r="F214" s="13">
        <v>27.43</v>
      </c>
      <c r="G214" s="13">
        <v>13.8</v>
      </c>
      <c r="H214" s="13">
        <v>28.27</v>
      </c>
      <c r="I214" s="1369">
        <v>25.95</v>
      </c>
      <c r="J214" s="13">
        <v>21.8</v>
      </c>
      <c r="K214" s="13">
        <v>19.302686663441381</v>
      </c>
      <c r="L214" s="13">
        <v>12.652695903578268</v>
      </c>
      <c r="M214" s="13">
        <v>12.652695903578268</v>
      </c>
    </row>
    <row r="215" spans="1:13" x14ac:dyDescent="0.25">
      <c r="A215" s="1368">
        <v>0.02</v>
      </c>
      <c r="B215" s="13">
        <v>19.399999999999999</v>
      </c>
      <c r="C215" s="1378">
        <f t="shared" si="40"/>
        <v>13.9</v>
      </c>
      <c r="D215" s="1378">
        <v>29.24</v>
      </c>
      <c r="E215" s="1378">
        <v>13.9</v>
      </c>
      <c r="F215" s="13">
        <v>29.24</v>
      </c>
      <c r="G215" s="13">
        <v>13.9</v>
      </c>
      <c r="H215" s="13">
        <v>31.79</v>
      </c>
      <c r="I215" s="1369">
        <v>26.35</v>
      </c>
      <c r="J215" s="13">
        <v>21.8</v>
      </c>
      <c r="K215" s="13">
        <v>19.902212443466571</v>
      </c>
      <c r="L215" s="13">
        <v>21.256977347397545</v>
      </c>
      <c r="M215" s="13">
        <v>21.256977347397545</v>
      </c>
    </row>
    <row r="216" spans="1:13" x14ac:dyDescent="0.25">
      <c r="A216" s="1368">
        <v>0.03</v>
      </c>
      <c r="B216" s="13">
        <v>20.7</v>
      </c>
      <c r="C216" s="1378">
        <f t="shared" si="40"/>
        <v>15.3</v>
      </c>
      <c r="D216" s="1378">
        <v>31.03</v>
      </c>
      <c r="E216" s="1378">
        <v>15.3</v>
      </c>
      <c r="F216" s="13">
        <v>31.03</v>
      </c>
      <c r="G216" s="13">
        <v>15.3</v>
      </c>
      <c r="H216" s="13">
        <v>34.49</v>
      </c>
      <c r="I216" s="1369">
        <v>26.67</v>
      </c>
      <c r="J216" s="13">
        <v>29.6</v>
      </c>
      <c r="K216" s="13">
        <v>21.826650150722426</v>
      </c>
      <c r="L216" s="13">
        <v>23.142820727040728</v>
      </c>
      <c r="M216" s="13">
        <v>23.142820727040728</v>
      </c>
    </row>
    <row r="217" spans="1:13" x14ac:dyDescent="0.25">
      <c r="A217" s="1368">
        <v>0.04</v>
      </c>
      <c r="B217" s="13">
        <v>23</v>
      </c>
      <c r="C217" s="1378">
        <f t="shared" si="40"/>
        <v>16.3</v>
      </c>
      <c r="D217" s="1378">
        <v>33.21</v>
      </c>
      <c r="E217" s="1378">
        <v>16.3</v>
      </c>
      <c r="F217" s="13">
        <v>33.21</v>
      </c>
      <c r="G217" s="13">
        <v>16.3</v>
      </c>
      <c r="H217" s="13">
        <v>37.229999999999997</v>
      </c>
      <c r="I217" s="1369">
        <v>27.34</v>
      </c>
      <c r="J217" s="13">
        <v>29.6</v>
      </c>
      <c r="K217" s="13">
        <v>23.154899745834509</v>
      </c>
      <c r="L217" s="13">
        <v>26.592787674317652</v>
      </c>
      <c r="M217" s="13">
        <v>26.592787674317652</v>
      </c>
    </row>
    <row r="218" spans="1:13" x14ac:dyDescent="0.25">
      <c r="A218" s="1368">
        <v>0.05</v>
      </c>
      <c r="B218" s="13">
        <v>24.4</v>
      </c>
      <c r="C218" s="1378">
        <f t="shared" si="40"/>
        <v>16.5</v>
      </c>
      <c r="D218" s="1378">
        <v>34.26</v>
      </c>
      <c r="E218" s="1378">
        <v>16.5</v>
      </c>
      <c r="F218" s="13">
        <v>34.26</v>
      </c>
      <c r="G218" s="13">
        <v>16.5</v>
      </c>
      <c r="H218" s="13">
        <v>39.659999999999997</v>
      </c>
      <c r="I218" s="1369">
        <v>27.62</v>
      </c>
      <c r="J218" s="13">
        <v>34.5</v>
      </c>
      <c r="K218" s="13">
        <v>26.023874749247742</v>
      </c>
      <c r="L218" s="13">
        <v>33.388413706599771</v>
      </c>
      <c r="M218" s="13">
        <v>33.388413706599771</v>
      </c>
    </row>
    <row r="219" spans="1:13" x14ac:dyDescent="0.25">
      <c r="A219" s="1368">
        <v>0.06</v>
      </c>
      <c r="B219" s="13">
        <v>26.9</v>
      </c>
      <c r="C219" s="1378">
        <f t="shared" si="40"/>
        <v>18.2</v>
      </c>
      <c r="D219" s="1378">
        <v>35.880000000000003</v>
      </c>
      <c r="E219" s="1378">
        <v>18.2</v>
      </c>
      <c r="F219" s="13">
        <v>35.880000000000003</v>
      </c>
      <c r="G219" s="13">
        <v>18.2</v>
      </c>
      <c r="H219" s="13">
        <v>41.32</v>
      </c>
      <c r="I219" s="1369">
        <v>28</v>
      </c>
      <c r="J219" s="13">
        <v>34.5</v>
      </c>
      <c r="K219" s="13">
        <v>26.997302214693516</v>
      </c>
      <c r="L219" s="13">
        <v>36.863434737256114</v>
      </c>
      <c r="M219" s="13">
        <v>36.863434737256114</v>
      </c>
    </row>
    <row r="220" spans="1:13" x14ac:dyDescent="0.25">
      <c r="A220" s="1368">
        <v>7.0000000000000007E-2</v>
      </c>
      <c r="B220" s="13">
        <v>26.9</v>
      </c>
      <c r="C220" s="1378">
        <f t="shared" si="40"/>
        <v>18.5</v>
      </c>
      <c r="D220" s="1378">
        <v>37.03</v>
      </c>
      <c r="E220" s="1378">
        <v>18.5</v>
      </c>
      <c r="F220" s="13">
        <v>37.03</v>
      </c>
      <c r="G220" s="13">
        <v>18.5</v>
      </c>
      <c r="H220" s="13">
        <v>42.39</v>
      </c>
      <c r="I220" s="1369">
        <v>28.35</v>
      </c>
      <c r="J220" s="13">
        <v>34.5</v>
      </c>
      <c r="K220" s="13">
        <v>27.957884492964652</v>
      </c>
      <c r="L220" s="13">
        <v>44.664575656634142</v>
      </c>
      <c r="M220" s="13">
        <v>44.664575656634142</v>
      </c>
    </row>
    <row r="221" spans="1:13" x14ac:dyDescent="0.25">
      <c r="A221" s="1368">
        <v>0.08</v>
      </c>
      <c r="B221" s="13">
        <v>29.8</v>
      </c>
      <c r="C221" s="1378">
        <f t="shared" si="40"/>
        <v>20.2</v>
      </c>
      <c r="D221" s="1378">
        <v>39.380000000000003</v>
      </c>
      <c r="E221" s="1378">
        <v>20.2</v>
      </c>
      <c r="F221" s="13">
        <v>39.380000000000003</v>
      </c>
      <c r="G221" s="13">
        <v>20.2</v>
      </c>
      <c r="H221" s="13">
        <v>43.32</v>
      </c>
      <c r="I221" s="1369">
        <v>28.99</v>
      </c>
      <c r="J221" s="13">
        <v>37.1</v>
      </c>
      <c r="K221" s="13">
        <v>28.202084405840274</v>
      </c>
      <c r="L221" s="13">
        <v>45.697145030237827</v>
      </c>
      <c r="M221" s="13">
        <v>45.697145030237827</v>
      </c>
    </row>
    <row r="222" spans="1:13" x14ac:dyDescent="0.25">
      <c r="A222" s="1368">
        <v>0.09</v>
      </c>
      <c r="B222" s="13">
        <v>29.8</v>
      </c>
      <c r="C222" s="1378">
        <f t="shared" si="40"/>
        <v>25.4</v>
      </c>
      <c r="D222" s="1378">
        <v>40.81</v>
      </c>
      <c r="E222" s="1378">
        <v>25.4</v>
      </c>
      <c r="F222" s="13">
        <v>40.81</v>
      </c>
      <c r="G222" s="13">
        <v>25.4</v>
      </c>
      <c r="H222" s="13">
        <v>44.07</v>
      </c>
      <c r="I222" s="1369">
        <v>29.36</v>
      </c>
      <c r="J222" s="13">
        <v>37.1</v>
      </c>
      <c r="K222" s="13">
        <v>28.69296645540269</v>
      </c>
      <c r="L222" s="13">
        <v>47.631190056167242</v>
      </c>
      <c r="M222" s="13">
        <v>47.631190056167242</v>
      </c>
    </row>
    <row r="223" spans="1:13" x14ac:dyDescent="0.25">
      <c r="A223" s="1368">
        <v>0.1</v>
      </c>
      <c r="B223" s="13">
        <v>33</v>
      </c>
      <c r="C223" s="1378">
        <f t="shared" si="40"/>
        <v>25.55</v>
      </c>
      <c r="D223" s="1378">
        <v>43.01</v>
      </c>
      <c r="E223" s="1378">
        <v>25.55</v>
      </c>
      <c r="F223" s="13">
        <v>43.01</v>
      </c>
      <c r="G223" s="13">
        <v>25.55</v>
      </c>
      <c r="H223" s="13">
        <v>44.99</v>
      </c>
      <c r="I223" s="1369">
        <v>29.59</v>
      </c>
      <c r="J223" s="13">
        <v>40.700000000000003</v>
      </c>
      <c r="K223" s="13">
        <v>29.386786638727969</v>
      </c>
      <c r="L223" s="13">
        <v>49.886683377516476</v>
      </c>
      <c r="M223" s="13">
        <v>49.886683377516476</v>
      </c>
    </row>
    <row r="224" spans="1:13" x14ac:dyDescent="0.25">
      <c r="A224" s="1368">
        <v>0.11</v>
      </c>
      <c r="B224" s="13">
        <v>33</v>
      </c>
      <c r="C224" s="1378">
        <f t="shared" si="40"/>
        <v>27</v>
      </c>
      <c r="D224" s="1378">
        <v>43.7</v>
      </c>
      <c r="E224" s="1378">
        <v>27</v>
      </c>
      <c r="F224" s="13">
        <v>43.7</v>
      </c>
      <c r="G224" s="13">
        <v>27</v>
      </c>
      <c r="H224" s="13">
        <v>46</v>
      </c>
      <c r="I224" s="1369">
        <v>30.02</v>
      </c>
      <c r="J224" s="13">
        <v>40.700000000000003</v>
      </c>
      <c r="K224" s="13">
        <v>30.859572346554398</v>
      </c>
      <c r="L224" s="13">
        <v>53.812123431310546</v>
      </c>
      <c r="M224" s="13">
        <v>53.812123431310546</v>
      </c>
    </row>
    <row r="225" spans="1:13" x14ac:dyDescent="0.25">
      <c r="A225" s="1368">
        <v>0.12</v>
      </c>
      <c r="B225" s="13">
        <v>36.700000000000003</v>
      </c>
      <c r="C225" s="1378">
        <f t="shared" si="40"/>
        <v>27.2</v>
      </c>
      <c r="D225" s="1378">
        <v>44.43</v>
      </c>
      <c r="E225" s="1378">
        <v>27.2</v>
      </c>
      <c r="F225" s="13">
        <v>44.43</v>
      </c>
      <c r="G225" s="13">
        <v>27.2</v>
      </c>
      <c r="H225" s="13">
        <v>46.8</v>
      </c>
      <c r="I225" s="1369">
        <v>30.36</v>
      </c>
      <c r="J225" s="13">
        <v>43.8</v>
      </c>
      <c r="K225" s="13">
        <v>31.334967525665199</v>
      </c>
      <c r="L225" s="13">
        <v>57.092073390712777</v>
      </c>
      <c r="M225" s="13">
        <v>56.897633608082955</v>
      </c>
    </row>
    <row r="226" spans="1:13" x14ac:dyDescent="0.25">
      <c r="A226" s="1368">
        <v>0.13</v>
      </c>
      <c r="B226" s="13">
        <v>36.700000000000003</v>
      </c>
      <c r="C226" s="1378">
        <f t="shared" si="40"/>
        <v>28.1</v>
      </c>
      <c r="D226" s="1378">
        <v>45.09</v>
      </c>
      <c r="E226" s="1378">
        <v>28.1</v>
      </c>
      <c r="F226" s="13">
        <v>45.09</v>
      </c>
      <c r="G226" s="13">
        <v>28.1</v>
      </c>
      <c r="H226" s="13">
        <v>47.38</v>
      </c>
      <c r="I226" s="1369">
        <v>30.58</v>
      </c>
      <c r="J226" s="13">
        <v>43.8</v>
      </c>
      <c r="K226" s="13">
        <v>31.933591400284485</v>
      </c>
      <c r="L226" s="13">
        <v>59.139134340088695</v>
      </c>
      <c r="M226" s="13">
        <v>57.819445386587795</v>
      </c>
    </row>
    <row r="227" spans="1:13" x14ac:dyDescent="0.25">
      <c r="A227" s="1368">
        <v>0.14000000000000001</v>
      </c>
      <c r="B227" s="13">
        <v>39.299999999999997</v>
      </c>
      <c r="C227" s="1378">
        <f t="shared" si="40"/>
        <v>28.5</v>
      </c>
      <c r="D227" s="1378">
        <v>46.65</v>
      </c>
      <c r="E227" s="1378">
        <v>28.5</v>
      </c>
      <c r="F227" s="13">
        <v>46.65</v>
      </c>
      <c r="G227" s="13">
        <v>28.5</v>
      </c>
      <c r="H227" s="13">
        <v>48.26</v>
      </c>
      <c r="I227" s="1369">
        <v>30.9</v>
      </c>
      <c r="J227" s="13">
        <v>45.6</v>
      </c>
      <c r="K227" s="13">
        <v>32.757638713057148</v>
      </c>
      <c r="L227" s="13">
        <v>60.084877326034004</v>
      </c>
      <c r="M227" s="13">
        <v>59.801812746556735</v>
      </c>
    </row>
    <row r="228" spans="1:13" x14ac:dyDescent="0.25">
      <c r="A228" s="1368">
        <v>0.15</v>
      </c>
      <c r="B228" s="13">
        <v>39.299999999999997</v>
      </c>
      <c r="C228" s="1378">
        <f t="shared" si="40"/>
        <v>28.6</v>
      </c>
      <c r="D228" s="1378">
        <v>48.2</v>
      </c>
      <c r="E228" s="1378">
        <v>28.6</v>
      </c>
      <c r="F228" s="13">
        <v>48.2</v>
      </c>
      <c r="G228" s="13">
        <v>28.6</v>
      </c>
      <c r="H228" s="13">
        <v>48.79</v>
      </c>
      <c r="I228" s="1369">
        <v>31.33</v>
      </c>
      <c r="J228" s="13">
        <v>45.6</v>
      </c>
      <c r="K228" s="13">
        <v>33.765216579536968</v>
      </c>
      <c r="L228" s="13">
        <v>61.928230022404776</v>
      </c>
      <c r="M228" s="13">
        <v>61.928230022404776</v>
      </c>
    </row>
    <row r="229" spans="1:13" x14ac:dyDescent="0.25">
      <c r="A229" s="1368">
        <v>0.16</v>
      </c>
      <c r="B229" s="13">
        <v>42.2</v>
      </c>
      <c r="C229" s="1378">
        <f t="shared" si="40"/>
        <v>28.7</v>
      </c>
      <c r="D229" s="1378">
        <v>49.74</v>
      </c>
      <c r="E229" s="1378">
        <v>28.7</v>
      </c>
      <c r="F229" s="13">
        <v>49.74</v>
      </c>
      <c r="G229" s="13">
        <v>28.7</v>
      </c>
      <c r="H229" s="13">
        <v>49.79</v>
      </c>
      <c r="I229" s="1369">
        <v>31.68</v>
      </c>
      <c r="J229" s="13">
        <v>47.4</v>
      </c>
      <c r="K229" s="13">
        <v>34.746847017448935</v>
      </c>
      <c r="L229" s="13">
        <v>63.309953442243597</v>
      </c>
      <c r="M229" s="13">
        <v>64.520453318942259</v>
      </c>
    </row>
    <row r="230" spans="1:13" x14ac:dyDescent="0.25">
      <c r="A230" s="1368">
        <v>0.17</v>
      </c>
      <c r="B230" s="13">
        <v>42.2</v>
      </c>
      <c r="C230" s="1378">
        <f t="shared" si="40"/>
        <v>30.2</v>
      </c>
      <c r="D230" s="1378">
        <v>50.41</v>
      </c>
      <c r="E230" s="1378">
        <v>30.2</v>
      </c>
      <c r="F230" s="13">
        <v>50.41</v>
      </c>
      <c r="G230" s="13">
        <v>30.2</v>
      </c>
      <c r="H230" s="13">
        <v>50.66</v>
      </c>
      <c r="I230" s="1369">
        <v>32.08</v>
      </c>
      <c r="J230" s="13">
        <v>47.4</v>
      </c>
      <c r="K230" s="13">
        <v>36.145625581704564</v>
      </c>
      <c r="L230" s="13">
        <v>64.658885772565029</v>
      </c>
      <c r="M230" s="13">
        <v>64.784788878634046</v>
      </c>
    </row>
    <row r="231" spans="1:13" x14ac:dyDescent="0.25">
      <c r="A231" s="1368">
        <v>0.18</v>
      </c>
      <c r="B231" s="13">
        <v>44.6</v>
      </c>
      <c r="C231" s="1378">
        <f t="shared" si="40"/>
        <v>31.2</v>
      </c>
      <c r="D231" s="1378">
        <v>51.37</v>
      </c>
      <c r="E231" s="1378">
        <v>31.2</v>
      </c>
      <c r="F231" s="13">
        <v>51.37</v>
      </c>
      <c r="G231" s="13">
        <v>31.2</v>
      </c>
      <c r="H231" s="13">
        <v>51.09</v>
      </c>
      <c r="I231" s="1369">
        <v>32.64</v>
      </c>
      <c r="J231" s="13">
        <v>49.4</v>
      </c>
      <c r="K231" s="13">
        <v>36.355215234162152</v>
      </c>
      <c r="L231" s="13">
        <v>65.188425581202949</v>
      </c>
      <c r="M231" s="13">
        <v>65.227500000000006</v>
      </c>
    </row>
    <row r="232" spans="1:13" x14ac:dyDescent="0.25">
      <c r="A232" s="1368">
        <v>0.19</v>
      </c>
      <c r="B232" s="13">
        <v>44.6</v>
      </c>
      <c r="C232" s="1378">
        <f t="shared" si="40"/>
        <v>31.9</v>
      </c>
      <c r="D232" s="1378">
        <v>52.03</v>
      </c>
      <c r="E232" s="1378">
        <v>31.9</v>
      </c>
      <c r="F232" s="13">
        <v>52.03</v>
      </c>
      <c r="G232" s="13">
        <v>31.9</v>
      </c>
      <c r="H232" s="13">
        <v>51.57</v>
      </c>
      <c r="I232" s="1369">
        <v>33.32</v>
      </c>
      <c r="J232" s="13">
        <v>49.4</v>
      </c>
      <c r="K232" s="13">
        <v>37.059246242955538</v>
      </c>
      <c r="L232" s="13">
        <v>66.355471562275014</v>
      </c>
      <c r="M232" s="13">
        <v>66.445253626180062</v>
      </c>
    </row>
    <row r="233" spans="1:13" x14ac:dyDescent="0.25">
      <c r="A233" s="1368">
        <v>0.2</v>
      </c>
      <c r="B233" s="13">
        <v>46</v>
      </c>
      <c r="C233" s="1378">
        <f t="shared" si="40"/>
        <v>32.4</v>
      </c>
      <c r="D233" s="1378">
        <v>53.09</v>
      </c>
      <c r="E233" s="1378">
        <v>32.4</v>
      </c>
      <c r="F233" s="13">
        <v>53.09</v>
      </c>
      <c r="G233" s="13">
        <v>32.4</v>
      </c>
      <c r="H233" s="13">
        <v>51.92</v>
      </c>
      <c r="I233" s="1369">
        <v>33.78</v>
      </c>
      <c r="J233" s="13">
        <v>51.7</v>
      </c>
      <c r="K233" s="13">
        <v>37.85368094328075</v>
      </c>
      <c r="L233" s="13">
        <v>67.755209969909203</v>
      </c>
      <c r="M233" s="13">
        <v>69.248618899273112</v>
      </c>
    </row>
    <row r="234" spans="1:13" x14ac:dyDescent="0.25">
      <c r="A234" s="1368">
        <v>0.21</v>
      </c>
      <c r="B234" s="13">
        <v>46</v>
      </c>
      <c r="C234" s="1378">
        <f t="shared" si="40"/>
        <v>33.299999999999997</v>
      </c>
      <c r="D234" s="1378">
        <v>53.56</v>
      </c>
      <c r="E234" s="1378">
        <v>33.299999999999997</v>
      </c>
      <c r="F234" s="13">
        <v>53.56</v>
      </c>
      <c r="G234" s="13">
        <v>33.299999999999997</v>
      </c>
      <c r="H234" s="13">
        <v>52.85</v>
      </c>
      <c r="I234" s="1369">
        <v>34.29</v>
      </c>
      <c r="J234" s="13">
        <v>51.7</v>
      </c>
      <c r="K234" s="13">
        <v>38.45562330933933</v>
      </c>
      <c r="L234" s="13">
        <v>69.335361381734543</v>
      </c>
      <c r="M234" s="13">
        <v>69.432407458184812</v>
      </c>
    </row>
    <row r="235" spans="1:13" x14ac:dyDescent="0.25">
      <c r="A235" s="1368">
        <v>0.22</v>
      </c>
      <c r="B235" s="13">
        <v>47.3</v>
      </c>
      <c r="C235" s="1378">
        <f t="shared" si="40"/>
        <v>33.4</v>
      </c>
      <c r="D235" s="1378">
        <v>54.36</v>
      </c>
      <c r="E235" s="1378">
        <v>33.4</v>
      </c>
      <c r="F235" s="13">
        <v>54.36</v>
      </c>
      <c r="G235" s="13">
        <v>33.4</v>
      </c>
      <c r="H235" s="13">
        <v>53.62</v>
      </c>
      <c r="I235" s="1369">
        <v>34.9</v>
      </c>
      <c r="J235" s="13">
        <v>54.2</v>
      </c>
      <c r="K235" s="13">
        <v>39.017669108877158</v>
      </c>
      <c r="L235" s="13">
        <v>69.523841089534031</v>
      </c>
      <c r="M235" s="13">
        <v>70.024383389574311</v>
      </c>
    </row>
    <row r="236" spans="1:13" x14ac:dyDescent="0.25">
      <c r="A236" s="1368">
        <v>0.23</v>
      </c>
      <c r="B236" s="13">
        <v>47.3</v>
      </c>
      <c r="C236" s="1378">
        <f t="shared" si="40"/>
        <v>33.700000000000003</v>
      </c>
      <c r="D236" s="1378">
        <v>55.19</v>
      </c>
      <c r="E236" s="1378">
        <v>33.700000000000003</v>
      </c>
      <c r="F236" s="13">
        <v>55.19</v>
      </c>
      <c r="G236" s="13">
        <v>33.700000000000003</v>
      </c>
      <c r="H236" s="13">
        <v>54.18</v>
      </c>
      <c r="I236" s="1369">
        <v>35.72</v>
      </c>
      <c r="J236" s="13">
        <v>54.2</v>
      </c>
      <c r="K236" s="13">
        <v>39.160289342315707</v>
      </c>
      <c r="L236" s="13">
        <v>71.016278695078796</v>
      </c>
      <c r="M236" s="13">
        <v>71.305321905521225</v>
      </c>
    </row>
    <row r="237" spans="1:13" x14ac:dyDescent="0.25">
      <c r="A237" s="1368">
        <v>0.24</v>
      </c>
      <c r="B237" s="13">
        <v>48.9</v>
      </c>
      <c r="C237" s="1378">
        <f t="shared" si="40"/>
        <v>34.5</v>
      </c>
      <c r="D237" s="1378">
        <v>56.04</v>
      </c>
      <c r="E237" s="1378">
        <v>34.5</v>
      </c>
      <c r="F237" s="13">
        <v>56.04</v>
      </c>
      <c r="G237" s="13">
        <v>34.5</v>
      </c>
      <c r="H237" s="13">
        <v>54.84</v>
      </c>
      <c r="I237" s="1369">
        <v>36.39</v>
      </c>
      <c r="J237" s="13">
        <v>55.8</v>
      </c>
      <c r="K237" s="13">
        <v>39.757334774224994</v>
      </c>
      <c r="L237" s="13">
        <v>73.133301702693416</v>
      </c>
      <c r="M237" s="13">
        <v>73.428162218791357</v>
      </c>
    </row>
    <row r="238" spans="1:13" x14ac:dyDescent="0.25">
      <c r="A238" s="1368">
        <v>0.25</v>
      </c>
      <c r="B238" s="13">
        <v>48.9</v>
      </c>
      <c r="C238" s="1378">
        <f t="shared" si="40"/>
        <v>34.799999999999997</v>
      </c>
      <c r="D238" s="1378">
        <v>57.15</v>
      </c>
      <c r="E238" s="1378">
        <v>34.799999999999997</v>
      </c>
      <c r="F238" s="13">
        <v>57.15</v>
      </c>
      <c r="G238" s="13">
        <v>34.799999999999997</v>
      </c>
      <c r="H238" s="13">
        <v>55.38</v>
      </c>
      <c r="I238" s="1369">
        <v>36.82</v>
      </c>
      <c r="J238" s="13">
        <v>55.8</v>
      </c>
      <c r="K238" s="13">
        <v>40.853815205758671</v>
      </c>
      <c r="L238" s="13">
        <v>73.751603357346596</v>
      </c>
      <c r="M238" s="13">
        <v>75.43063187695472</v>
      </c>
    </row>
    <row r="239" spans="1:13" x14ac:dyDescent="0.25">
      <c r="A239" s="1368">
        <v>0.26</v>
      </c>
      <c r="B239" s="13">
        <v>50.6</v>
      </c>
      <c r="C239" s="1378">
        <f t="shared" si="40"/>
        <v>34.799999999999997</v>
      </c>
      <c r="D239" s="1378">
        <v>57.82</v>
      </c>
      <c r="E239" s="1378">
        <v>34.799999999999997</v>
      </c>
      <c r="F239" s="13">
        <v>57.82</v>
      </c>
      <c r="G239" s="13">
        <v>34.799999999999997</v>
      </c>
      <c r="H239" s="13">
        <v>55.83</v>
      </c>
      <c r="I239" s="1369">
        <v>37.200000000000003</v>
      </c>
      <c r="J239" s="13">
        <v>57.5</v>
      </c>
      <c r="K239" s="13">
        <v>41.462009531838177</v>
      </c>
      <c r="L239" s="13">
        <v>75.43063187695472</v>
      </c>
      <c r="M239" s="13">
        <v>75.742859240119785</v>
      </c>
    </row>
    <row r="240" spans="1:13" x14ac:dyDescent="0.25">
      <c r="A240" s="1368">
        <v>0.27</v>
      </c>
      <c r="B240" s="13">
        <v>50.6</v>
      </c>
      <c r="C240" s="1378">
        <f t="shared" si="40"/>
        <v>35.299999999999997</v>
      </c>
      <c r="D240" s="1378">
        <v>58.72</v>
      </c>
      <c r="E240" s="1378">
        <v>35.299999999999997</v>
      </c>
      <c r="F240" s="13">
        <v>58.72</v>
      </c>
      <c r="G240" s="13">
        <v>35.299999999999997</v>
      </c>
      <c r="H240" s="13">
        <v>56.27</v>
      </c>
      <c r="I240" s="1369">
        <v>37.56</v>
      </c>
      <c r="J240" s="13">
        <v>57.5</v>
      </c>
      <c r="K240" s="13">
        <v>41.942001778480382</v>
      </c>
      <c r="L240" s="13">
        <v>75.742859240119785</v>
      </c>
      <c r="M240" s="13">
        <v>75.916901214886479</v>
      </c>
    </row>
    <row r="241" spans="1:13" x14ac:dyDescent="0.25">
      <c r="A241" s="1368">
        <v>0.28000000000000003</v>
      </c>
      <c r="B241" s="13">
        <v>52</v>
      </c>
      <c r="C241" s="1378">
        <f t="shared" si="40"/>
        <v>35.799999999999997</v>
      </c>
      <c r="D241" s="1378">
        <v>59.56</v>
      </c>
      <c r="E241" s="1378">
        <v>35.799999999999997</v>
      </c>
      <c r="F241" s="13">
        <v>59.56</v>
      </c>
      <c r="G241" s="13">
        <v>35.799999999999997</v>
      </c>
      <c r="H241" s="13">
        <v>56.72</v>
      </c>
      <c r="I241" s="1369">
        <v>37.840000000000003</v>
      </c>
      <c r="J241" s="13">
        <v>58.8</v>
      </c>
      <c r="K241" s="13">
        <v>42.763830168151706</v>
      </c>
      <c r="L241" s="13">
        <v>75.916901214886479</v>
      </c>
      <c r="M241" s="13">
        <v>77.124003201951652</v>
      </c>
    </row>
    <row r="242" spans="1:13" x14ac:dyDescent="0.25">
      <c r="A242" s="1368">
        <v>0.28999999999999998</v>
      </c>
      <c r="B242" s="13">
        <v>52</v>
      </c>
      <c r="C242" s="1378">
        <f t="shared" si="40"/>
        <v>35.9</v>
      </c>
      <c r="D242" s="1378">
        <v>60.39</v>
      </c>
      <c r="E242" s="1378">
        <v>35.9</v>
      </c>
      <c r="F242" s="13">
        <v>60.39</v>
      </c>
      <c r="G242" s="13">
        <v>35.9</v>
      </c>
      <c r="H242" s="13">
        <v>57.36</v>
      </c>
      <c r="I242" s="1369">
        <v>38.15</v>
      </c>
      <c r="J242" s="13">
        <v>58.8</v>
      </c>
      <c r="K242" s="13">
        <v>43.155322782108236</v>
      </c>
      <c r="L242" s="13">
        <v>77.124003201951652</v>
      </c>
      <c r="M242" s="13">
        <v>77.646568620291788</v>
      </c>
    </row>
    <row r="243" spans="1:13" x14ac:dyDescent="0.25">
      <c r="A243" s="1368">
        <v>0.3</v>
      </c>
      <c r="B243" s="13">
        <v>53.6</v>
      </c>
      <c r="C243" s="1378">
        <f t="shared" si="40"/>
        <v>36</v>
      </c>
      <c r="D243" s="1378">
        <v>61.46</v>
      </c>
      <c r="E243" s="1378">
        <v>36</v>
      </c>
      <c r="F243" s="13">
        <v>61.46</v>
      </c>
      <c r="G243" s="13">
        <v>36</v>
      </c>
      <c r="H243" s="13">
        <v>58</v>
      </c>
      <c r="I243" s="1369">
        <v>38.36</v>
      </c>
      <c r="J243" s="13">
        <v>60.2</v>
      </c>
      <c r="K243" s="13">
        <v>43.948756280885348</v>
      </c>
      <c r="L243" s="13">
        <v>77.646568620291788</v>
      </c>
      <c r="M243" s="13">
        <v>78.602232069588055</v>
      </c>
    </row>
    <row r="244" spans="1:13" x14ac:dyDescent="0.25">
      <c r="A244" s="1368">
        <v>0.31</v>
      </c>
      <c r="B244" s="13">
        <v>53.6</v>
      </c>
      <c r="C244" s="1378">
        <f t="shared" si="40"/>
        <v>36.4</v>
      </c>
      <c r="D244" s="1378">
        <v>62</v>
      </c>
      <c r="E244" s="1378">
        <v>36.4</v>
      </c>
      <c r="F244" s="13">
        <v>62</v>
      </c>
      <c r="G244" s="13">
        <v>36.4</v>
      </c>
      <c r="H244" s="13">
        <v>58.57</v>
      </c>
      <c r="I244" s="1369">
        <v>38.880000000000003</v>
      </c>
      <c r="J244" s="13">
        <v>60.2</v>
      </c>
      <c r="K244" s="13">
        <v>44.912760938580782</v>
      </c>
      <c r="L244" s="13">
        <v>78.602232069588055</v>
      </c>
      <c r="M244" s="13">
        <v>80.194226235124447</v>
      </c>
    </row>
    <row r="245" spans="1:13" x14ac:dyDescent="0.25">
      <c r="A245" s="1368">
        <v>0.32</v>
      </c>
      <c r="B245" s="13">
        <v>55.4</v>
      </c>
      <c r="C245" s="1378">
        <f t="shared" si="40"/>
        <v>36.799999999999997</v>
      </c>
      <c r="D245" s="1378">
        <v>62.74</v>
      </c>
      <c r="E245" s="1378">
        <v>36.799999999999997</v>
      </c>
      <c r="F245" s="13">
        <v>62.74</v>
      </c>
      <c r="G245" s="13">
        <v>36.799999999999997</v>
      </c>
      <c r="H245" s="13">
        <v>59.36</v>
      </c>
      <c r="I245" s="1369">
        <v>39.36</v>
      </c>
      <c r="J245" s="13">
        <v>62.2</v>
      </c>
      <c r="K245" s="13">
        <v>45.70347089909049</v>
      </c>
      <c r="L245" s="13">
        <v>80.194226235124447</v>
      </c>
      <c r="M245" s="13">
        <v>80.820751845676895</v>
      </c>
    </row>
    <row r="246" spans="1:13" x14ac:dyDescent="0.25">
      <c r="A246" s="1368">
        <v>0.33</v>
      </c>
      <c r="B246" s="13">
        <v>55.4</v>
      </c>
      <c r="C246" s="1378">
        <f t="shared" si="40"/>
        <v>37.4</v>
      </c>
      <c r="D246" s="1378">
        <v>63.41</v>
      </c>
      <c r="E246" s="1378">
        <v>37.4</v>
      </c>
      <c r="F246" s="13">
        <v>63.41</v>
      </c>
      <c r="G246" s="13">
        <v>37.4</v>
      </c>
      <c r="H246" s="13">
        <v>59.91</v>
      </c>
      <c r="I246" s="1369">
        <v>39.630000000000003</v>
      </c>
      <c r="J246" s="13">
        <v>62.2</v>
      </c>
      <c r="K246" s="13">
        <v>46.271712760795729</v>
      </c>
      <c r="L246" s="13">
        <v>80.820751845676895</v>
      </c>
      <c r="M246" s="13">
        <v>81.47643507413386</v>
      </c>
    </row>
    <row r="247" spans="1:13" x14ac:dyDescent="0.25">
      <c r="A247" s="1368">
        <v>0.34</v>
      </c>
      <c r="B247" s="13">
        <v>57.1</v>
      </c>
      <c r="C247" s="1378">
        <f t="shared" si="40"/>
        <v>37.5</v>
      </c>
      <c r="D247" s="1378">
        <v>64.209999999999994</v>
      </c>
      <c r="E247" s="1378">
        <v>37.5</v>
      </c>
      <c r="F247" s="13">
        <v>64.209999999999994</v>
      </c>
      <c r="G247" s="13">
        <v>37.5</v>
      </c>
      <c r="H247" s="13">
        <v>60.21</v>
      </c>
      <c r="I247" s="1369">
        <v>40.21</v>
      </c>
      <c r="J247" s="13">
        <v>63.5</v>
      </c>
      <c r="K247" s="13">
        <v>46.577453592814365</v>
      </c>
      <c r="L247" s="13">
        <v>81.652220026165168</v>
      </c>
      <c r="M247" s="13">
        <v>81.928578164536404</v>
      </c>
    </row>
    <row r="248" spans="1:13" x14ac:dyDescent="0.25">
      <c r="A248" s="1368">
        <v>0.35</v>
      </c>
      <c r="B248" s="13">
        <v>57.1</v>
      </c>
      <c r="C248" s="1378">
        <f t="shared" si="40"/>
        <v>38.6</v>
      </c>
      <c r="D248" s="1378">
        <v>64.930000000000007</v>
      </c>
      <c r="E248" s="1378">
        <v>38.6</v>
      </c>
      <c r="F248" s="13">
        <v>64.930000000000007</v>
      </c>
      <c r="G248" s="13">
        <v>38.6</v>
      </c>
      <c r="H248" s="13">
        <v>60.53</v>
      </c>
      <c r="I248" s="1369">
        <v>40.44</v>
      </c>
      <c r="J248" s="13">
        <v>63.5</v>
      </c>
      <c r="K248" s="13">
        <v>46.825801150369763</v>
      </c>
      <c r="L248" s="13">
        <v>81.928578164536404</v>
      </c>
      <c r="M248" s="13">
        <v>83.334184914841842</v>
      </c>
    </row>
    <row r="249" spans="1:13" x14ac:dyDescent="0.25">
      <c r="A249" s="1368">
        <v>0.36</v>
      </c>
      <c r="B249" s="13">
        <v>59.1</v>
      </c>
      <c r="C249" s="1378">
        <f t="shared" si="40"/>
        <v>41.2</v>
      </c>
      <c r="D249" s="1378">
        <v>65.72</v>
      </c>
      <c r="E249" s="1378">
        <v>41.2</v>
      </c>
      <c r="F249" s="13">
        <v>65.72</v>
      </c>
      <c r="G249" s="13">
        <v>41.2</v>
      </c>
      <c r="H249" s="13">
        <v>60.95</v>
      </c>
      <c r="I249" s="1369">
        <v>40.68</v>
      </c>
      <c r="J249" s="13">
        <v>65.5</v>
      </c>
      <c r="K249" s="13">
        <v>47.831567271054091</v>
      </c>
      <c r="L249" s="13">
        <v>83.334184914841842</v>
      </c>
      <c r="M249" s="13">
        <v>83.606197511397511</v>
      </c>
    </row>
    <row r="250" spans="1:13" x14ac:dyDescent="0.25">
      <c r="A250" s="1368">
        <v>0.37</v>
      </c>
      <c r="B250" s="13">
        <v>59.1</v>
      </c>
      <c r="C250" s="1378">
        <f t="shared" si="40"/>
        <v>41.5</v>
      </c>
      <c r="D250" s="1378">
        <v>66.61</v>
      </c>
      <c r="E250" s="1378">
        <v>41.5</v>
      </c>
      <c r="F250" s="13">
        <v>66.61</v>
      </c>
      <c r="G250" s="13">
        <v>41.5</v>
      </c>
      <c r="H250" s="13">
        <v>61.49</v>
      </c>
      <c r="I250" s="1369">
        <v>41.03</v>
      </c>
      <c r="J250" s="13">
        <v>65.5</v>
      </c>
      <c r="K250" s="13">
        <v>48.303738036477462</v>
      </c>
      <c r="L250" s="13">
        <v>83.606197511397511</v>
      </c>
      <c r="M250" s="13">
        <v>83.929475340310546</v>
      </c>
    </row>
    <row r="251" spans="1:13" x14ac:dyDescent="0.25">
      <c r="A251" s="1368">
        <v>0.38</v>
      </c>
      <c r="B251" s="13">
        <v>60.7</v>
      </c>
      <c r="C251" s="1378">
        <f t="shared" si="40"/>
        <v>42.8</v>
      </c>
      <c r="D251" s="1378">
        <v>67.7</v>
      </c>
      <c r="E251" s="1378">
        <v>42.8</v>
      </c>
      <c r="F251" s="13">
        <v>67.7</v>
      </c>
      <c r="G251" s="13">
        <v>42.8</v>
      </c>
      <c r="H251" s="13">
        <v>62.08</v>
      </c>
      <c r="I251" s="1369">
        <v>41.48</v>
      </c>
      <c r="J251" s="13">
        <v>67.2</v>
      </c>
      <c r="K251" s="13">
        <v>48.987777096576423</v>
      </c>
      <c r="L251" s="13">
        <v>83.929475340310546</v>
      </c>
      <c r="M251" s="13">
        <v>85.189002221183074</v>
      </c>
    </row>
    <row r="252" spans="1:13" x14ac:dyDescent="0.25">
      <c r="A252" s="1368">
        <v>0.39</v>
      </c>
      <c r="B252" s="13">
        <v>60.7</v>
      </c>
      <c r="C252" s="1378">
        <f t="shared" si="40"/>
        <v>44</v>
      </c>
      <c r="D252" s="1378">
        <v>68.63</v>
      </c>
      <c r="E252" s="1378">
        <v>44</v>
      </c>
      <c r="F252" s="13">
        <v>68.63</v>
      </c>
      <c r="G252" s="13">
        <v>44</v>
      </c>
      <c r="H252" s="13">
        <v>62.42</v>
      </c>
      <c r="I252" s="1369">
        <v>41.72</v>
      </c>
      <c r="J252" s="13">
        <v>67.2</v>
      </c>
      <c r="K252" s="13">
        <v>49.52472743930371</v>
      </c>
      <c r="L252" s="13">
        <v>85.189002221183074</v>
      </c>
      <c r="M252" s="13">
        <v>85.755096645110569</v>
      </c>
    </row>
    <row r="253" spans="1:13" x14ac:dyDescent="0.25">
      <c r="A253" s="1368">
        <v>0.4</v>
      </c>
      <c r="B253" s="13">
        <v>62</v>
      </c>
      <c r="C253" s="1378">
        <f t="shared" si="40"/>
        <v>44.4</v>
      </c>
      <c r="D253" s="1378">
        <v>69.569999999999993</v>
      </c>
      <c r="E253" s="1378">
        <v>44.4</v>
      </c>
      <c r="F253" s="13">
        <v>69.569999999999993</v>
      </c>
      <c r="G253" s="13">
        <v>44.4</v>
      </c>
      <c r="H253" s="13">
        <v>62.83</v>
      </c>
      <c r="I253" s="1369">
        <v>42.31</v>
      </c>
      <c r="J253" s="13">
        <v>68.900000000000006</v>
      </c>
      <c r="K253" s="13">
        <v>49.844309440559442</v>
      </c>
      <c r="L253" s="13">
        <v>85.477281776836108</v>
      </c>
      <c r="M253" s="13">
        <v>86.437983289995302</v>
      </c>
    </row>
    <row r="254" spans="1:13" x14ac:dyDescent="0.25">
      <c r="A254" s="1368">
        <v>0.41</v>
      </c>
      <c r="B254" s="13">
        <v>62</v>
      </c>
      <c r="C254" s="1378">
        <f t="shared" si="40"/>
        <v>44.7</v>
      </c>
      <c r="D254" s="1378">
        <v>70.239999999999995</v>
      </c>
      <c r="E254" s="1378">
        <v>44.7</v>
      </c>
      <c r="F254" s="13">
        <v>70.239999999999995</v>
      </c>
      <c r="G254" s="13">
        <v>44.7</v>
      </c>
      <c r="H254" s="13">
        <v>63.43</v>
      </c>
      <c r="I254" s="1369">
        <v>42.9</v>
      </c>
      <c r="J254" s="13">
        <v>68.900000000000006</v>
      </c>
      <c r="K254" s="13">
        <v>50.710849285615204</v>
      </c>
      <c r="L254" s="13">
        <v>86.256882341150515</v>
      </c>
      <c r="M254" s="13">
        <v>86.901048273395361</v>
      </c>
    </row>
    <row r="255" spans="1:13" x14ac:dyDescent="0.25">
      <c r="A255" s="1368">
        <v>0.42</v>
      </c>
      <c r="B255" s="13">
        <v>63</v>
      </c>
      <c r="C255" s="1378">
        <f t="shared" si="40"/>
        <v>44.8</v>
      </c>
      <c r="D255" s="1378">
        <v>70.819999999999993</v>
      </c>
      <c r="E255" s="1378">
        <v>44.8</v>
      </c>
      <c r="F255" s="13">
        <v>70.819999999999993</v>
      </c>
      <c r="G255" s="13">
        <v>44.8</v>
      </c>
      <c r="H255" s="13">
        <v>64.56</v>
      </c>
      <c r="I255" s="1369">
        <v>43.47</v>
      </c>
      <c r="J255" s="13">
        <v>70.3</v>
      </c>
      <c r="K255" s="13">
        <v>51.611718881170525</v>
      </c>
      <c r="L255" s="13">
        <v>86.658769307915293</v>
      </c>
      <c r="M255" s="13">
        <v>87.729716166186748</v>
      </c>
    </row>
    <row r="256" spans="1:13" x14ac:dyDescent="0.25">
      <c r="A256" s="1368">
        <v>0.43</v>
      </c>
      <c r="B256" s="13">
        <v>63</v>
      </c>
      <c r="C256" s="1378">
        <f t="shared" si="40"/>
        <v>45.6</v>
      </c>
      <c r="D256" s="1378">
        <v>71.33</v>
      </c>
      <c r="E256" s="1378">
        <v>45.6</v>
      </c>
      <c r="F256" s="13">
        <v>71.33</v>
      </c>
      <c r="G256" s="13">
        <v>45.6</v>
      </c>
      <c r="H256" s="13">
        <v>65.150000000000006</v>
      </c>
      <c r="I256" s="1369">
        <v>43.86</v>
      </c>
      <c r="J256" s="13">
        <v>70.3</v>
      </c>
      <c r="K256" s="13">
        <v>52.082072602090996</v>
      </c>
      <c r="L256" s="13">
        <v>87.6876954802608</v>
      </c>
      <c r="M256" s="13">
        <v>87.92171025767766</v>
      </c>
    </row>
    <row r="257" spans="1:13" x14ac:dyDescent="0.25">
      <c r="A257" s="1368">
        <v>0.44</v>
      </c>
      <c r="B257" s="13">
        <v>63.9</v>
      </c>
      <c r="C257" s="1378">
        <f t="shared" si="40"/>
        <v>45.9</v>
      </c>
      <c r="D257" s="1378">
        <v>72.319999999999993</v>
      </c>
      <c r="E257" s="1378">
        <v>45.9</v>
      </c>
      <c r="F257" s="13">
        <v>72.319999999999993</v>
      </c>
      <c r="G257" s="13">
        <v>45.9</v>
      </c>
      <c r="H257" s="13">
        <v>65.58</v>
      </c>
      <c r="I257" s="1369">
        <v>44.67</v>
      </c>
      <c r="J257" s="13">
        <v>71.400000000000006</v>
      </c>
      <c r="K257" s="13">
        <v>53.256807425164418</v>
      </c>
      <c r="L257" s="13">
        <v>87.748098383056245</v>
      </c>
      <c r="M257" s="13">
        <v>89.128095199448111</v>
      </c>
    </row>
    <row r="258" spans="1:13" x14ac:dyDescent="0.25">
      <c r="A258" s="1368">
        <v>0.45</v>
      </c>
      <c r="B258" s="13">
        <v>63.9</v>
      </c>
      <c r="C258" s="1378">
        <f t="shared" si="40"/>
        <v>47.1</v>
      </c>
      <c r="D258" s="1378">
        <v>72.989999999999995</v>
      </c>
      <c r="E258" s="1378">
        <v>47.1</v>
      </c>
      <c r="F258" s="13">
        <v>72.989999999999995</v>
      </c>
      <c r="G258" s="13">
        <v>47.1</v>
      </c>
      <c r="H258" s="13">
        <v>66.099999999999994</v>
      </c>
      <c r="I258" s="1369">
        <v>45.18</v>
      </c>
      <c r="J258" s="13">
        <v>71.400000000000006</v>
      </c>
      <c r="K258" s="13">
        <v>53.967517401392115</v>
      </c>
      <c r="L258" s="13">
        <v>88.833264730758401</v>
      </c>
      <c r="M258" s="13">
        <v>89.432722040886446</v>
      </c>
    </row>
    <row r="259" spans="1:13" x14ac:dyDescent="0.25">
      <c r="A259" s="1368">
        <v>0.46</v>
      </c>
      <c r="B259" s="13">
        <v>65.900000000000006</v>
      </c>
      <c r="C259" s="1378">
        <f t="shared" si="40"/>
        <v>47.9</v>
      </c>
      <c r="D259" s="1378">
        <v>73.47</v>
      </c>
      <c r="E259" s="1378">
        <v>47.9</v>
      </c>
      <c r="F259" s="13">
        <v>73.47</v>
      </c>
      <c r="G259" s="13">
        <v>47.9</v>
      </c>
      <c r="H259" s="13">
        <v>66.56</v>
      </c>
      <c r="I259" s="1369">
        <v>45.52</v>
      </c>
      <c r="J259" s="13">
        <v>72.8</v>
      </c>
      <c r="K259" s="13">
        <v>54.585664553027478</v>
      </c>
      <c r="L259" s="13">
        <v>89.317758446931506</v>
      </c>
      <c r="M259" s="13">
        <v>89.636554502438585</v>
      </c>
    </row>
    <row r="260" spans="1:13" x14ac:dyDescent="0.25">
      <c r="A260" s="1368">
        <v>0.47</v>
      </c>
      <c r="B260" s="13">
        <v>65.900000000000006</v>
      </c>
      <c r="C260" s="1378">
        <f t="shared" si="40"/>
        <v>48.8</v>
      </c>
      <c r="D260" s="1378">
        <v>74.53</v>
      </c>
      <c r="E260" s="1378">
        <v>48.8</v>
      </c>
      <c r="F260" s="13">
        <v>74.53</v>
      </c>
      <c r="G260" s="13">
        <v>48.8</v>
      </c>
      <c r="H260" s="13">
        <v>67.069999999999993</v>
      </c>
      <c r="I260" s="1369">
        <v>46.04</v>
      </c>
      <c r="J260" s="13">
        <v>72.8</v>
      </c>
      <c r="K260" s="13">
        <v>54.872543810877033</v>
      </c>
      <c r="L260" s="13">
        <v>89.628136550099512</v>
      </c>
      <c r="M260" s="13">
        <v>90.198936435396746</v>
      </c>
    </row>
    <row r="261" spans="1:13" x14ac:dyDescent="0.25">
      <c r="A261" s="1368">
        <v>0.48</v>
      </c>
      <c r="B261" s="13">
        <v>67.599999999999994</v>
      </c>
      <c r="C261" s="1378">
        <f t="shared" si="40"/>
        <v>49.5</v>
      </c>
      <c r="D261" s="1378">
        <v>75.37</v>
      </c>
      <c r="E261" s="1378">
        <v>49.5</v>
      </c>
      <c r="F261" s="13">
        <v>75.37</v>
      </c>
      <c r="G261" s="13">
        <v>49.5</v>
      </c>
      <c r="H261" s="13">
        <v>67.8</v>
      </c>
      <c r="I261" s="1369">
        <v>46.81</v>
      </c>
      <c r="J261" s="13">
        <v>74.3</v>
      </c>
      <c r="K261" s="13">
        <v>55.038358286557099</v>
      </c>
      <c r="L261" s="13">
        <v>89.804288580895033</v>
      </c>
      <c r="M261" s="13">
        <v>90.750477778464756</v>
      </c>
    </row>
    <row r="262" spans="1:13" x14ac:dyDescent="0.25">
      <c r="A262" s="1368">
        <v>0.49</v>
      </c>
      <c r="B262" s="13">
        <v>67.599999999999994</v>
      </c>
      <c r="C262" s="1378">
        <f t="shared" si="40"/>
        <v>49.7</v>
      </c>
      <c r="D262" s="1378">
        <v>76.069999999999993</v>
      </c>
      <c r="E262" s="1378">
        <v>49.7</v>
      </c>
      <c r="F262" s="13">
        <v>76.069999999999993</v>
      </c>
      <c r="G262" s="13">
        <v>49.7</v>
      </c>
      <c r="H262" s="13">
        <v>68.41</v>
      </c>
      <c r="I262" s="1369">
        <v>47.55</v>
      </c>
      <c r="J262" s="13">
        <v>74.3</v>
      </c>
      <c r="K262" s="13">
        <v>55.399357483106243</v>
      </c>
      <c r="L262" s="13">
        <v>90.409449431591725</v>
      </c>
      <c r="M262" s="13">
        <v>91.677121037094068</v>
      </c>
    </row>
    <row r="263" spans="1:13" x14ac:dyDescent="0.25">
      <c r="A263" s="1368">
        <v>0.5</v>
      </c>
      <c r="B263" s="13">
        <v>69.3</v>
      </c>
      <c r="C263" s="1378">
        <f t="shared" si="40"/>
        <v>49.8</v>
      </c>
      <c r="D263" s="1378">
        <v>76.81</v>
      </c>
      <c r="E263" s="1378">
        <v>49.8</v>
      </c>
      <c r="F263" s="13">
        <v>76.81</v>
      </c>
      <c r="G263" s="13">
        <v>49.8</v>
      </c>
      <c r="H263" s="13">
        <v>69.150000000000006</v>
      </c>
      <c r="I263" s="1369">
        <v>48.07</v>
      </c>
      <c r="J263" s="13">
        <v>75.2</v>
      </c>
      <c r="K263" s="13">
        <v>56.492116649872564</v>
      </c>
      <c r="L263" s="13">
        <v>91.445817593092286</v>
      </c>
      <c r="M263" s="13">
        <v>92.574834266352397</v>
      </c>
    </row>
    <row r="264" spans="1:13" x14ac:dyDescent="0.25">
      <c r="A264" s="1368">
        <v>0.51</v>
      </c>
      <c r="B264" s="13">
        <v>69.3</v>
      </c>
      <c r="C264" s="1378">
        <f t="shared" si="40"/>
        <v>49.9</v>
      </c>
      <c r="D264" s="1378">
        <v>77.44</v>
      </c>
      <c r="E264" s="1378">
        <v>49.9</v>
      </c>
      <c r="F264" s="13">
        <v>77.44</v>
      </c>
      <c r="G264" s="13">
        <v>49.9</v>
      </c>
      <c r="H264" s="13">
        <v>69.569999999999993</v>
      </c>
      <c r="I264" s="1369">
        <v>48.54</v>
      </c>
      <c r="J264" s="13">
        <v>75.2</v>
      </c>
      <c r="K264" s="13">
        <v>57.526099917911196</v>
      </c>
      <c r="L264" s="13">
        <v>91.679637848077633</v>
      </c>
      <c r="M264" s="13">
        <v>93.479349518720724</v>
      </c>
    </row>
    <row r="265" spans="1:13" x14ac:dyDescent="0.25">
      <c r="A265" s="1368">
        <v>0.52</v>
      </c>
      <c r="B265" s="13">
        <v>71.3</v>
      </c>
      <c r="C265" s="1378">
        <f t="shared" si="40"/>
        <v>49.9</v>
      </c>
      <c r="D265" s="1378">
        <v>77.94</v>
      </c>
      <c r="E265" s="1378">
        <v>49.9</v>
      </c>
      <c r="F265" s="13">
        <v>77.94</v>
      </c>
      <c r="G265" s="13">
        <v>49.9</v>
      </c>
      <c r="H265" s="13">
        <v>70.010000000000005</v>
      </c>
      <c r="I265" s="1369">
        <v>49.56</v>
      </c>
      <c r="J265" s="13">
        <v>76.400000000000006</v>
      </c>
      <c r="K265" s="13">
        <v>58.559664403740236</v>
      </c>
      <c r="L265" s="13">
        <v>92.599980258039025</v>
      </c>
      <c r="M265" s="13">
        <v>93.862924000355306</v>
      </c>
    </row>
    <row r="266" spans="1:13" x14ac:dyDescent="0.25">
      <c r="A266" s="1368">
        <v>0.53</v>
      </c>
      <c r="B266" s="13">
        <v>71.3</v>
      </c>
      <c r="C266" s="1378">
        <f t="shared" si="40"/>
        <v>50.05</v>
      </c>
      <c r="D266" s="1378">
        <v>79.3</v>
      </c>
      <c r="E266" s="1378">
        <v>50.05</v>
      </c>
      <c r="F266" s="13">
        <v>79.3</v>
      </c>
      <c r="G266" s="13">
        <v>50.05</v>
      </c>
      <c r="H266" s="13">
        <v>70.58</v>
      </c>
      <c r="I266" s="1369">
        <v>50.41</v>
      </c>
      <c r="J266" s="13">
        <v>76.400000000000006</v>
      </c>
      <c r="K266" s="13">
        <v>58.824078721865284</v>
      </c>
      <c r="L266" s="13">
        <v>93.624257933543745</v>
      </c>
      <c r="M266" s="13">
        <v>95.077194211100718</v>
      </c>
    </row>
    <row r="267" spans="1:13" x14ac:dyDescent="0.25">
      <c r="A267" s="1368">
        <v>0.54</v>
      </c>
      <c r="B267" s="13">
        <v>72.3</v>
      </c>
      <c r="C267" s="1378">
        <f t="shared" si="40"/>
        <v>50.5</v>
      </c>
      <c r="D267" s="1378">
        <v>79.900000000000006</v>
      </c>
      <c r="E267" s="1378">
        <v>50.5</v>
      </c>
      <c r="F267" s="13">
        <v>79.900000000000006</v>
      </c>
      <c r="G267" s="13">
        <v>50.5</v>
      </c>
      <c r="H267" s="13">
        <v>71.260000000000005</v>
      </c>
      <c r="I267" s="1369">
        <v>51</v>
      </c>
      <c r="J267" s="13">
        <v>78.5</v>
      </c>
      <c r="K267" s="13">
        <v>60.081948057391614</v>
      </c>
      <c r="L267" s="13">
        <v>94.659097736147899</v>
      </c>
      <c r="M267" s="13">
        <v>95.403428551062945</v>
      </c>
    </row>
    <row r="268" spans="1:13" x14ac:dyDescent="0.25">
      <c r="A268" s="1368">
        <v>0.55000000000000004</v>
      </c>
      <c r="B268" s="13">
        <v>72.3</v>
      </c>
      <c r="C268" s="1378">
        <f t="shared" si="40"/>
        <v>51.2</v>
      </c>
      <c r="D268" s="1378">
        <v>80.290000000000006</v>
      </c>
      <c r="E268" s="1378">
        <v>51.2</v>
      </c>
      <c r="F268" s="13">
        <v>80.290000000000006</v>
      </c>
      <c r="G268" s="13">
        <v>51.2</v>
      </c>
      <c r="H268" s="13">
        <v>71.760000000000005</v>
      </c>
      <c r="I268" s="1369">
        <v>51.63</v>
      </c>
      <c r="J268" s="13">
        <v>78.5</v>
      </c>
      <c r="K268" s="13">
        <v>61.580724959794715</v>
      </c>
      <c r="L268" s="13">
        <v>95.308592188220828</v>
      </c>
      <c r="M268" s="13">
        <v>95.772316524523205</v>
      </c>
    </row>
    <row r="269" spans="1:13" x14ac:dyDescent="0.25">
      <c r="A269" s="1368">
        <v>0.56000000000000005</v>
      </c>
      <c r="B269" s="13">
        <v>73.2</v>
      </c>
      <c r="C269" s="1378">
        <f t="shared" si="40"/>
        <v>52.3</v>
      </c>
      <c r="D269" s="1378">
        <v>81.44</v>
      </c>
      <c r="E269" s="1378">
        <v>52.3</v>
      </c>
      <c r="F269" s="13">
        <v>81.44</v>
      </c>
      <c r="G269" s="13">
        <v>52.3</v>
      </c>
      <c r="H269" s="13">
        <v>72.260000000000005</v>
      </c>
      <c r="I269" s="1369">
        <v>52.6</v>
      </c>
      <c r="J269" s="13">
        <v>80.599999999999994</v>
      </c>
      <c r="K269" s="13">
        <v>62.583273676111475</v>
      </c>
      <c r="L269" s="13">
        <v>95.772316524523205</v>
      </c>
      <c r="M269" s="13">
        <v>96.012537989617741</v>
      </c>
    </row>
    <row r="270" spans="1:13" x14ac:dyDescent="0.25">
      <c r="A270" s="1368">
        <v>0.56999999999999995</v>
      </c>
      <c r="B270" s="13">
        <v>73.2</v>
      </c>
      <c r="C270" s="1378">
        <f t="shared" si="40"/>
        <v>52.3</v>
      </c>
      <c r="D270" s="1378">
        <v>82.31</v>
      </c>
      <c r="E270" s="1378">
        <v>52.3</v>
      </c>
      <c r="F270" s="13">
        <v>82.31</v>
      </c>
      <c r="G270" s="13">
        <v>52.3</v>
      </c>
      <c r="H270" s="13">
        <v>72.989999999999995</v>
      </c>
      <c r="I270" s="1369">
        <v>53.9</v>
      </c>
      <c r="J270" s="13">
        <v>80.599999999999994</v>
      </c>
      <c r="K270" s="13">
        <v>62.906719837857835</v>
      </c>
      <c r="L270" s="13">
        <v>96.012537989617741</v>
      </c>
      <c r="M270" s="13">
        <v>96.451044263396895</v>
      </c>
    </row>
    <row r="271" spans="1:13" x14ac:dyDescent="0.25">
      <c r="A271" s="1368">
        <v>0.57999999999999996</v>
      </c>
      <c r="B271" s="13">
        <v>74.599999999999994</v>
      </c>
      <c r="C271" s="1378">
        <f t="shared" si="40"/>
        <v>52.7</v>
      </c>
      <c r="D271" s="1378">
        <v>83.58</v>
      </c>
      <c r="E271" s="1378">
        <v>52.7</v>
      </c>
      <c r="F271" s="13">
        <v>83.58</v>
      </c>
      <c r="G271" s="13">
        <v>52.7</v>
      </c>
      <c r="H271" s="13">
        <v>73.62</v>
      </c>
      <c r="I271" s="1369">
        <v>54.78</v>
      </c>
      <c r="J271" s="13">
        <v>83</v>
      </c>
      <c r="K271" s="13">
        <v>63.833846235828574</v>
      </c>
      <c r="L271" s="13">
        <v>96.451044263396895</v>
      </c>
      <c r="M271" s="13">
        <v>97.41291555215895</v>
      </c>
    </row>
    <row r="272" spans="1:13" x14ac:dyDescent="0.25">
      <c r="A272" s="1368">
        <v>0.59</v>
      </c>
      <c r="B272" s="13">
        <v>74.599999999999994</v>
      </c>
      <c r="C272" s="1378">
        <f t="shared" si="40"/>
        <v>53.8</v>
      </c>
      <c r="D272" s="1378">
        <v>84.68</v>
      </c>
      <c r="E272" s="1378">
        <v>53.8</v>
      </c>
      <c r="F272" s="13">
        <v>84.68</v>
      </c>
      <c r="G272" s="13">
        <v>53.8</v>
      </c>
      <c r="H272" s="13">
        <v>74</v>
      </c>
      <c r="I272" s="1369">
        <v>55.08</v>
      </c>
      <c r="J272" s="13">
        <v>83</v>
      </c>
      <c r="K272" s="13">
        <v>64.193682944337752</v>
      </c>
      <c r="L272" s="13">
        <v>97.41291555215895</v>
      </c>
      <c r="M272" s="13">
        <v>98.507752953051266</v>
      </c>
    </row>
    <row r="273" spans="1:13" x14ac:dyDescent="0.25">
      <c r="A273" s="1368">
        <v>0.6</v>
      </c>
      <c r="B273" s="13">
        <v>75.900000000000006</v>
      </c>
      <c r="C273" s="1378">
        <f t="shared" si="40"/>
        <v>54.2</v>
      </c>
      <c r="D273" s="1378">
        <v>85.33</v>
      </c>
      <c r="E273" s="1378">
        <v>54.2</v>
      </c>
      <c r="F273" s="13">
        <v>85.33</v>
      </c>
      <c r="G273" s="13">
        <v>54.2</v>
      </c>
      <c r="H273" s="13">
        <v>74.8</v>
      </c>
      <c r="I273" s="1369">
        <v>55.63</v>
      </c>
      <c r="J273" s="13">
        <v>84.9</v>
      </c>
      <c r="K273" s="13">
        <v>65.059106005151136</v>
      </c>
      <c r="L273" s="13">
        <v>98.507752953051266</v>
      </c>
      <c r="M273" s="13">
        <v>98.614600513352613</v>
      </c>
    </row>
    <row r="274" spans="1:13" x14ac:dyDescent="0.25">
      <c r="A274" s="1368">
        <v>0.61</v>
      </c>
      <c r="B274" s="13">
        <v>75.900000000000006</v>
      </c>
      <c r="C274" s="1378">
        <f t="shared" si="40"/>
        <v>54.7</v>
      </c>
      <c r="D274" s="1378">
        <v>86.8</v>
      </c>
      <c r="E274" s="1378">
        <v>54.7</v>
      </c>
      <c r="F274" s="13">
        <v>86.8</v>
      </c>
      <c r="G274" s="13">
        <v>54.7</v>
      </c>
      <c r="H274" s="13">
        <v>75.87</v>
      </c>
      <c r="I274" s="1369">
        <v>56.46</v>
      </c>
      <c r="J274" s="13">
        <v>84.9</v>
      </c>
      <c r="K274" s="13">
        <v>65.543542261699258</v>
      </c>
      <c r="L274" s="13">
        <v>98.614600513352613</v>
      </c>
      <c r="M274" s="13">
        <v>99.542508140996347</v>
      </c>
    </row>
    <row r="275" spans="1:13" x14ac:dyDescent="0.25">
      <c r="A275" s="1368">
        <v>0.62</v>
      </c>
      <c r="B275" s="13">
        <v>78.3</v>
      </c>
      <c r="C275" s="1378">
        <f t="shared" si="40"/>
        <v>55.2</v>
      </c>
      <c r="D275" s="1378">
        <v>87.41</v>
      </c>
      <c r="E275" s="1378">
        <v>55.2</v>
      </c>
      <c r="F275" s="13">
        <v>87.41</v>
      </c>
      <c r="G275" s="13">
        <v>55.2</v>
      </c>
      <c r="H275" s="13">
        <v>76.319999999999993</v>
      </c>
      <c r="I275" s="1369">
        <v>57.63</v>
      </c>
      <c r="J275" s="13">
        <v>86.4</v>
      </c>
      <c r="K275" s="13">
        <v>66.399165139033059</v>
      </c>
      <c r="L275" s="13">
        <v>99.542508140996347</v>
      </c>
      <c r="M275" s="13">
        <v>99.640303454212841</v>
      </c>
    </row>
    <row r="276" spans="1:13" x14ac:dyDescent="0.25">
      <c r="A276" s="1368">
        <v>0.63</v>
      </c>
      <c r="B276" s="13">
        <v>78.3</v>
      </c>
      <c r="C276" s="1378">
        <f t="shared" si="40"/>
        <v>55.4</v>
      </c>
      <c r="D276" s="1378">
        <v>88.18</v>
      </c>
      <c r="E276" s="1378">
        <v>55.4</v>
      </c>
      <c r="F276" s="13">
        <v>88.18</v>
      </c>
      <c r="G276" s="13">
        <v>55.4</v>
      </c>
      <c r="H276" s="13">
        <v>77.14</v>
      </c>
      <c r="I276" s="1369">
        <v>58.09</v>
      </c>
      <c r="J276" s="13">
        <v>86.4</v>
      </c>
      <c r="K276" s="13">
        <v>66.971683928442104</v>
      </c>
      <c r="L276" s="13">
        <v>99.640303454212841</v>
      </c>
      <c r="M276" s="13">
        <v>99.828924465568093</v>
      </c>
    </row>
    <row r="277" spans="1:13" x14ac:dyDescent="0.25">
      <c r="A277" s="1368">
        <v>0.64</v>
      </c>
      <c r="B277" s="13">
        <v>79.900000000000006</v>
      </c>
      <c r="C277" s="1378">
        <f t="shared" si="40"/>
        <v>56</v>
      </c>
      <c r="D277" s="1378">
        <v>89.28</v>
      </c>
      <c r="E277" s="1378">
        <v>56</v>
      </c>
      <c r="F277" s="13">
        <v>89.28</v>
      </c>
      <c r="G277" s="13">
        <v>56</v>
      </c>
      <c r="H277" s="13">
        <v>77.87</v>
      </c>
      <c r="I277" s="1369">
        <v>58.58</v>
      </c>
      <c r="J277" s="13">
        <v>87.9</v>
      </c>
      <c r="K277" s="13">
        <v>67.459018690279379</v>
      </c>
      <c r="L277" s="13">
        <v>99.828924465568093</v>
      </c>
      <c r="M277" s="13">
        <v>100.06387991011478</v>
      </c>
    </row>
    <row r="278" spans="1:13" x14ac:dyDescent="0.25">
      <c r="A278" s="1368">
        <v>0.65</v>
      </c>
      <c r="B278" s="13">
        <v>79.900000000000006</v>
      </c>
      <c r="C278" s="1378">
        <f t="shared" ref="C278:C313" si="41">E278</f>
        <v>56</v>
      </c>
      <c r="D278" s="1378">
        <v>89.76</v>
      </c>
      <c r="E278" s="1378">
        <v>56</v>
      </c>
      <c r="F278" s="13">
        <v>89.76</v>
      </c>
      <c r="G278" s="13">
        <v>56</v>
      </c>
      <c r="H278" s="13">
        <v>79.08</v>
      </c>
      <c r="I278" s="1369">
        <v>59.69</v>
      </c>
      <c r="J278" s="13">
        <v>87.9</v>
      </c>
      <c r="K278" s="13">
        <v>67.865982578298983</v>
      </c>
      <c r="L278" s="13">
        <v>100.06387991011478</v>
      </c>
      <c r="M278" s="13">
        <v>100.47487710568379</v>
      </c>
    </row>
    <row r="279" spans="1:13" x14ac:dyDescent="0.25">
      <c r="A279" s="1368">
        <v>0.66</v>
      </c>
      <c r="B279" s="13">
        <v>81.099999999999994</v>
      </c>
      <c r="C279" s="1378">
        <f t="shared" si="41"/>
        <v>56.3</v>
      </c>
      <c r="D279" s="1378">
        <v>90.28</v>
      </c>
      <c r="E279" s="1378">
        <v>56.3</v>
      </c>
      <c r="F279" s="13">
        <v>90.28</v>
      </c>
      <c r="G279" s="13">
        <v>56.3</v>
      </c>
      <c r="H279" s="13">
        <v>80.239999999999995</v>
      </c>
      <c r="I279" s="1369">
        <v>60.58</v>
      </c>
      <c r="J279" s="13">
        <v>89.6</v>
      </c>
      <c r="K279" s="13">
        <v>68.447798846750956</v>
      </c>
      <c r="L279" s="13">
        <v>100.47487710568379</v>
      </c>
      <c r="M279" s="13">
        <v>100.7955063527653</v>
      </c>
    </row>
    <row r="280" spans="1:13" x14ac:dyDescent="0.25">
      <c r="A280" s="1368">
        <v>0.67</v>
      </c>
      <c r="B280" s="13">
        <v>81.099999999999994</v>
      </c>
      <c r="C280" s="1378">
        <f t="shared" si="41"/>
        <v>57.45</v>
      </c>
      <c r="D280" s="1378">
        <v>90.82</v>
      </c>
      <c r="E280" s="1378">
        <v>57.45</v>
      </c>
      <c r="F280" s="13">
        <v>90.82</v>
      </c>
      <c r="G280" s="13">
        <v>57.45</v>
      </c>
      <c r="H280" s="13">
        <v>81.06</v>
      </c>
      <c r="I280" s="1369">
        <v>61.1</v>
      </c>
      <c r="J280" s="13">
        <v>89.6</v>
      </c>
      <c r="K280" s="13">
        <v>69.104643052004306</v>
      </c>
      <c r="L280" s="13">
        <v>102.44837696862514</v>
      </c>
      <c r="M280" s="13">
        <v>102.91336810517291</v>
      </c>
    </row>
    <row r="281" spans="1:13" x14ac:dyDescent="0.25">
      <c r="A281" s="1368">
        <v>0.68</v>
      </c>
      <c r="B281" s="13">
        <v>82.4</v>
      </c>
      <c r="C281" s="1378">
        <f t="shared" si="41"/>
        <v>58.2</v>
      </c>
      <c r="D281" s="1378">
        <v>91.79</v>
      </c>
      <c r="E281" s="1378">
        <v>58.2</v>
      </c>
      <c r="F281" s="13">
        <v>91.79</v>
      </c>
      <c r="G281" s="13">
        <v>58.2</v>
      </c>
      <c r="H281" s="13">
        <v>82.02</v>
      </c>
      <c r="I281" s="1369">
        <v>61.54</v>
      </c>
      <c r="J281" s="13">
        <v>91.3</v>
      </c>
      <c r="K281" s="13">
        <v>70.110246424683751</v>
      </c>
      <c r="L281" s="13">
        <v>102.91336810517291</v>
      </c>
      <c r="M281" s="13">
        <v>103.31981143954418</v>
      </c>
    </row>
    <row r="282" spans="1:13" x14ac:dyDescent="0.25">
      <c r="A282" s="1368">
        <v>0.69</v>
      </c>
      <c r="B282" s="13">
        <v>82.4</v>
      </c>
      <c r="C282" s="1378">
        <f t="shared" si="41"/>
        <v>58.4</v>
      </c>
      <c r="D282" s="1378">
        <v>92.34</v>
      </c>
      <c r="E282" s="1378">
        <v>58.4</v>
      </c>
      <c r="F282" s="13">
        <v>92.34</v>
      </c>
      <c r="G282" s="13">
        <v>58.4</v>
      </c>
      <c r="H282" s="13">
        <v>83.17</v>
      </c>
      <c r="I282" s="1369">
        <v>61.93</v>
      </c>
      <c r="J282" s="13">
        <v>91.3</v>
      </c>
      <c r="K282" s="13">
        <v>70.382211227616452</v>
      </c>
      <c r="L282" s="13">
        <v>103.31981143954418</v>
      </c>
      <c r="M282" s="13">
        <v>103.37731181826378</v>
      </c>
    </row>
    <row r="283" spans="1:13" x14ac:dyDescent="0.25">
      <c r="A283" s="1368">
        <v>0.7</v>
      </c>
      <c r="B283" s="13">
        <v>84.5</v>
      </c>
      <c r="C283" s="1378">
        <f t="shared" si="41"/>
        <v>58.8</v>
      </c>
      <c r="D283" s="1378">
        <v>93.47</v>
      </c>
      <c r="E283" s="1378">
        <v>58.8</v>
      </c>
      <c r="F283" s="13">
        <v>93.47</v>
      </c>
      <c r="G283" s="13">
        <v>58.8</v>
      </c>
      <c r="H283" s="13">
        <v>84.4</v>
      </c>
      <c r="I283" s="1369">
        <v>62.5</v>
      </c>
      <c r="J283" s="13">
        <v>92.7</v>
      </c>
      <c r="K283" s="13">
        <v>70.793464331482284</v>
      </c>
      <c r="L283" s="13">
        <v>103.37731181826378</v>
      </c>
      <c r="M283" s="13">
        <v>103.75114247241677</v>
      </c>
    </row>
    <row r="284" spans="1:13" x14ac:dyDescent="0.25">
      <c r="A284" s="1368">
        <v>0.71</v>
      </c>
      <c r="B284" s="13">
        <v>84.5</v>
      </c>
      <c r="C284" s="1378">
        <f t="shared" si="41"/>
        <v>59</v>
      </c>
      <c r="D284" s="1378">
        <v>94.31</v>
      </c>
      <c r="E284" s="1378">
        <v>59</v>
      </c>
      <c r="F284" s="13">
        <v>94.31</v>
      </c>
      <c r="G284" s="13">
        <v>59</v>
      </c>
      <c r="H284" s="13">
        <v>84.87</v>
      </c>
      <c r="I284" s="1369">
        <v>63.03</v>
      </c>
      <c r="J284" s="13">
        <v>92.7</v>
      </c>
      <c r="K284" s="13">
        <v>71.137118948805636</v>
      </c>
      <c r="L284" s="13">
        <v>103.75114247241677</v>
      </c>
      <c r="M284" s="13">
        <v>105.51207226664488</v>
      </c>
    </row>
    <row r="285" spans="1:13" x14ac:dyDescent="0.25">
      <c r="A285" s="1368">
        <v>0.72</v>
      </c>
      <c r="B285" s="13">
        <v>87</v>
      </c>
      <c r="C285" s="1378">
        <f t="shared" si="41"/>
        <v>59</v>
      </c>
      <c r="D285" s="1378">
        <v>95.45</v>
      </c>
      <c r="E285" s="1378">
        <v>59</v>
      </c>
      <c r="F285" s="13">
        <v>95.45</v>
      </c>
      <c r="G285" s="13">
        <v>59</v>
      </c>
      <c r="H285" s="13">
        <v>85.97</v>
      </c>
      <c r="I285" s="1369">
        <v>63.48</v>
      </c>
      <c r="J285" s="13">
        <v>94</v>
      </c>
      <c r="K285" s="13">
        <v>71.914845272359983</v>
      </c>
      <c r="L285" s="13">
        <v>105.32544797687862</v>
      </c>
      <c r="M285" s="13">
        <v>105.70844152800562</v>
      </c>
    </row>
    <row r="286" spans="1:13" x14ac:dyDescent="0.25">
      <c r="A286" s="1368">
        <v>0.73</v>
      </c>
      <c r="B286" s="13">
        <v>87</v>
      </c>
      <c r="C286" s="1378">
        <f t="shared" si="41"/>
        <v>59.7</v>
      </c>
      <c r="D286" s="1378">
        <v>96.45</v>
      </c>
      <c r="E286" s="1378">
        <v>59.7</v>
      </c>
      <c r="F286" s="13">
        <v>96.45</v>
      </c>
      <c r="G286" s="13">
        <v>59.7</v>
      </c>
      <c r="H286" s="13">
        <v>86.93</v>
      </c>
      <c r="I286" s="1369">
        <v>64.2</v>
      </c>
      <c r="J286" s="13">
        <v>94</v>
      </c>
      <c r="K286" s="13">
        <v>73.593136296276981</v>
      </c>
      <c r="L286" s="13">
        <v>105.55570106761566</v>
      </c>
      <c r="M286" s="13">
        <v>107.45330748468362</v>
      </c>
    </row>
    <row r="287" spans="1:13" x14ac:dyDescent="0.25">
      <c r="A287" s="1368">
        <v>0.74</v>
      </c>
      <c r="B287" s="13">
        <v>89.4</v>
      </c>
      <c r="C287" s="1378">
        <f t="shared" si="41"/>
        <v>61.4</v>
      </c>
      <c r="D287" s="1378">
        <v>97.7</v>
      </c>
      <c r="E287" s="1378">
        <v>61.4</v>
      </c>
      <c r="F287" s="13">
        <v>97.7</v>
      </c>
      <c r="G287" s="13">
        <v>61.4</v>
      </c>
      <c r="H287" s="13">
        <v>88.26</v>
      </c>
      <c r="I287" s="1369">
        <v>64.739999999999995</v>
      </c>
      <c r="J287" s="13">
        <v>95.7</v>
      </c>
      <c r="K287" s="13">
        <v>74.167187295700657</v>
      </c>
      <c r="L287" s="13">
        <v>106.47773148449537</v>
      </c>
      <c r="M287" s="13">
        <v>107.56863957441563</v>
      </c>
    </row>
    <row r="288" spans="1:13" x14ac:dyDescent="0.25">
      <c r="A288" s="1368">
        <v>0.75</v>
      </c>
      <c r="B288" s="13">
        <v>89.4</v>
      </c>
      <c r="C288" s="1378">
        <f t="shared" si="41"/>
        <v>62.3</v>
      </c>
      <c r="D288" s="1378">
        <v>98.6</v>
      </c>
      <c r="E288" s="1378">
        <v>62.3</v>
      </c>
      <c r="F288" s="13">
        <v>98.6</v>
      </c>
      <c r="G288" s="13">
        <v>62.3</v>
      </c>
      <c r="H288" s="13">
        <v>90.49</v>
      </c>
      <c r="I288" s="1369">
        <v>65.260000000000005</v>
      </c>
      <c r="J288" s="13">
        <v>95.7</v>
      </c>
      <c r="K288" s="13">
        <v>75.904157232134779</v>
      </c>
      <c r="L288" s="13">
        <v>107.5263028969043</v>
      </c>
      <c r="M288" s="13">
        <v>108.99494412303713</v>
      </c>
    </row>
    <row r="289" spans="1:13" x14ac:dyDescent="0.25">
      <c r="A289" s="1368">
        <v>0.76</v>
      </c>
      <c r="B289" s="13">
        <v>92.2</v>
      </c>
      <c r="C289" s="1378">
        <f t="shared" si="41"/>
        <v>63.2</v>
      </c>
      <c r="D289" s="1378">
        <v>99.28</v>
      </c>
      <c r="E289" s="1378">
        <v>63.2</v>
      </c>
      <c r="F289" s="13">
        <v>99.28</v>
      </c>
      <c r="G289" s="13">
        <v>63.2</v>
      </c>
      <c r="H289" s="13">
        <v>91.99</v>
      </c>
      <c r="I289" s="1369">
        <v>66.319999999999993</v>
      </c>
      <c r="J289" s="13">
        <v>97.4</v>
      </c>
      <c r="K289" s="13">
        <v>77.723710899967969</v>
      </c>
      <c r="L289" s="13">
        <v>107.77711720824378</v>
      </c>
      <c r="M289" s="13">
        <v>109.19202100130748</v>
      </c>
    </row>
    <row r="290" spans="1:13" x14ac:dyDescent="0.25">
      <c r="A290" s="1368">
        <v>0.77</v>
      </c>
      <c r="B290" s="13">
        <v>92.2</v>
      </c>
      <c r="C290" s="1378">
        <f t="shared" si="41"/>
        <v>63.9</v>
      </c>
      <c r="D290" s="1378">
        <v>99.79</v>
      </c>
      <c r="E290" s="1378">
        <v>63.9</v>
      </c>
      <c r="F290" s="13">
        <v>99.79</v>
      </c>
      <c r="G290" s="13">
        <v>63.9</v>
      </c>
      <c r="H290" s="13">
        <v>93.35</v>
      </c>
      <c r="I290" s="1369">
        <v>66.98</v>
      </c>
      <c r="J290" s="13">
        <v>97.4</v>
      </c>
      <c r="K290" s="13">
        <v>79.378564037517933</v>
      </c>
      <c r="L290" s="13">
        <v>109.1118536243726</v>
      </c>
      <c r="M290" s="13">
        <v>110.36270743395779</v>
      </c>
    </row>
    <row r="291" spans="1:13" x14ac:dyDescent="0.25">
      <c r="A291" s="1368">
        <v>0.78</v>
      </c>
      <c r="B291" s="13">
        <v>95.3</v>
      </c>
      <c r="C291" s="1378">
        <f t="shared" si="41"/>
        <v>64.3</v>
      </c>
      <c r="D291" s="1378">
        <v>100.66</v>
      </c>
      <c r="E291" s="1378">
        <v>64.3</v>
      </c>
      <c r="F291" s="13">
        <v>100.66</v>
      </c>
      <c r="G291" s="13">
        <v>64.3</v>
      </c>
      <c r="H291" s="13">
        <v>94.29</v>
      </c>
      <c r="I291" s="1369">
        <v>67.97</v>
      </c>
      <c r="J291" s="13">
        <v>99.2</v>
      </c>
      <c r="K291" s="13">
        <v>80.575966351209246</v>
      </c>
      <c r="L291" s="13">
        <v>110.36270743395779</v>
      </c>
      <c r="M291" s="13">
        <v>110.72664954509442</v>
      </c>
    </row>
    <row r="292" spans="1:13" x14ac:dyDescent="0.25">
      <c r="A292" s="1368">
        <v>0.79</v>
      </c>
      <c r="B292" s="13">
        <v>95.3</v>
      </c>
      <c r="C292" s="1378">
        <f t="shared" si="41"/>
        <v>64.7</v>
      </c>
      <c r="D292" s="1378">
        <v>101.62</v>
      </c>
      <c r="E292" s="1378">
        <v>64.7</v>
      </c>
      <c r="F292" s="13">
        <v>101.62</v>
      </c>
      <c r="G292" s="13">
        <v>64.7</v>
      </c>
      <c r="H292" s="13">
        <v>95.57</v>
      </c>
      <c r="I292" s="1369">
        <v>68.67</v>
      </c>
      <c r="J292" s="13">
        <v>99.2</v>
      </c>
      <c r="K292" s="13">
        <v>81.045429550603146</v>
      </c>
      <c r="L292" s="13">
        <v>110.72664954509442</v>
      </c>
      <c r="M292" s="13">
        <v>111.31754368172466</v>
      </c>
    </row>
    <row r="293" spans="1:13" x14ac:dyDescent="0.25">
      <c r="A293" s="1368">
        <v>0.8</v>
      </c>
      <c r="B293" s="13">
        <v>97.2</v>
      </c>
      <c r="C293" s="1378">
        <f t="shared" si="41"/>
        <v>66.5</v>
      </c>
      <c r="D293" s="1378">
        <v>103.15</v>
      </c>
      <c r="E293" s="1378">
        <v>66.5</v>
      </c>
      <c r="F293" s="13">
        <v>103.15</v>
      </c>
      <c r="G293" s="13">
        <v>66.5</v>
      </c>
      <c r="H293" s="13">
        <v>96.99</v>
      </c>
      <c r="I293" s="1369">
        <v>69.459999999999994</v>
      </c>
      <c r="J293" s="13">
        <v>101.4</v>
      </c>
      <c r="K293" s="13">
        <v>83.702644810714517</v>
      </c>
      <c r="L293" s="13">
        <v>111.31754368172466</v>
      </c>
      <c r="M293" s="13">
        <v>112.84494821092279</v>
      </c>
    </row>
    <row r="294" spans="1:13" x14ac:dyDescent="0.25">
      <c r="A294" s="1368">
        <v>0.81</v>
      </c>
      <c r="B294" s="13">
        <v>97.2</v>
      </c>
      <c r="C294" s="1378">
        <f t="shared" si="41"/>
        <v>67</v>
      </c>
      <c r="D294" s="1378">
        <v>104.11</v>
      </c>
      <c r="E294" s="1378">
        <v>67</v>
      </c>
      <c r="F294" s="13">
        <v>104.11</v>
      </c>
      <c r="G294" s="13">
        <v>67</v>
      </c>
      <c r="H294" s="13">
        <v>97.92</v>
      </c>
      <c r="I294" s="1369">
        <v>71.38</v>
      </c>
      <c r="J294" s="13">
        <v>101.4</v>
      </c>
      <c r="K294" s="13">
        <v>84.170371450594757</v>
      </c>
      <c r="L294" s="13">
        <v>112.84494821092279</v>
      </c>
      <c r="M294" s="13">
        <v>113.14760698623925</v>
      </c>
    </row>
    <row r="295" spans="1:13" x14ac:dyDescent="0.25">
      <c r="A295" s="1368">
        <v>0.82</v>
      </c>
      <c r="B295" s="13">
        <v>98</v>
      </c>
      <c r="C295" s="1378">
        <f t="shared" si="41"/>
        <v>67.8</v>
      </c>
      <c r="D295" s="1378">
        <v>104.89</v>
      </c>
      <c r="E295" s="1378">
        <v>67.8</v>
      </c>
      <c r="F295" s="13">
        <v>104.89</v>
      </c>
      <c r="G295" s="13">
        <v>67.8</v>
      </c>
      <c r="H295" s="13">
        <v>99.36</v>
      </c>
      <c r="I295" s="1369">
        <v>73.349999999999994</v>
      </c>
      <c r="J295" s="13">
        <v>102.8</v>
      </c>
      <c r="K295" s="13">
        <v>85.104457050243099</v>
      </c>
      <c r="L295" s="13">
        <v>113.14760698623925</v>
      </c>
      <c r="M295" s="13">
        <v>113.88050526048525</v>
      </c>
    </row>
    <row r="296" spans="1:13" x14ac:dyDescent="0.25">
      <c r="A296" s="1368">
        <v>0.83</v>
      </c>
      <c r="B296" s="13">
        <v>98</v>
      </c>
      <c r="C296" s="1378">
        <f t="shared" si="41"/>
        <v>70.7</v>
      </c>
      <c r="D296" s="1378">
        <v>106.81</v>
      </c>
      <c r="E296" s="1378">
        <v>70.7</v>
      </c>
      <c r="F296" s="13">
        <v>106.81</v>
      </c>
      <c r="G296" s="13">
        <v>70.7</v>
      </c>
      <c r="H296" s="13">
        <v>99.85</v>
      </c>
      <c r="I296" s="1369">
        <v>74.209999999999994</v>
      </c>
      <c r="J296" s="13">
        <v>102.8</v>
      </c>
      <c r="K296" s="13">
        <v>85.600769890777528</v>
      </c>
      <c r="L296" s="13">
        <v>113.88050526048525</v>
      </c>
      <c r="M296" s="13">
        <v>114.40831291879816</v>
      </c>
    </row>
    <row r="297" spans="1:13" x14ac:dyDescent="0.25">
      <c r="A297" s="1368">
        <v>0.84</v>
      </c>
      <c r="B297" s="13">
        <v>100.2</v>
      </c>
      <c r="C297" s="1378">
        <f t="shared" si="41"/>
        <v>71.099999999999994</v>
      </c>
      <c r="D297" s="1378">
        <v>107.89</v>
      </c>
      <c r="E297" s="1378">
        <v>71.099999999999994</v>
      </c>
      <c r="F297" s="13">
        <v>107.89</v>
      </c>
      <c r="G297" s="13">
        <v>71.099999999999994</v>
      </c>
      <c r="H297" s="13">
        <v>100.78</v>
      </c>
      <c r="I297" s="1369">
        <v>74.95</v>
      </c>
      <c r="J297" s="13">
        <v>104.2</v>
      </c>
      <c r="K297" s="13">
        <v>87.381649246697719</v>
      </c>
      <c r="L297" s="13">
        <v>114.40831291879816</v>
      </c>
      <c r="M297" s="13">
        <v>114.9209486166008</v>
      </c>
    </row>
    <row r="298" spans="1:13" x14ac:dyDescent="0.25">
      <c r="A298" s="1368">
        <v>0.85</v>
      </c>
      <c r="B298" s="13">
        <v>100.2</v>
      </c>
      <c r="C298" s="1378">
        <f t="shared" si="41"/>
        <v>72.5</v>
      </c>
      <c r="D298" s="1378">
        <v>109.03</v>
      </c>
      <c r="E298" s="1378">
        <v>72.5</v>
      </c>
      <c r="F298" s="13">
        <v>109.03</v>
      </c>
      <c r="G298" s="13">
        <v>72.5</v>
      </c>
      <c r="H298" s="13">
        <v>102.72</v>
      </c>
      <c r="I298" s="1369">
        <v>76.569999999999993</v>
      </c>
      <c r="J298" s="13">
        <v>104.2</v>
      </c>
      <c r="K298" s="13">
        <v>89.43742461569849</v>
      </c>
      <c r="L298" s="13">
        <v>114.9209486166008</v>
      </c>
      <c r="M298" s="13">
        <v>116.93676790415503</v>
      </c>
    </row>
    <row r="299" spans="1:13" x14ac:dyDescent="0.25">
      <c r="A299" s="1368">
        <v>0.86</v>
      </c>
      <c r="B299" s="13">
        <v>106.7</v>
      </c>
      <c r="C299" s="1378">
        <f t="shared" si="41"/>
        <v>74.2</v>
      </c>
      <c r="D299" s="1378">
        <v>110.59</v>
      </c>
      <c r="E299" s="1378">
        <v>74.2</v>
      </c>
      <c r="F299" s="13">
        <v>110.59</v>
      </c>
      <c r="G299" s="13">
        <v>74.2</v>
      </c>
      <c r="H299" s="13">
        <v>105.2</v>
      </c>
      <c r="I299" s="1369">
        <v>78.87</v>
      </c>
      <c r="J299" s="13">
        <v>105.7</v>
      </c>
      <c r="K299" s="13">
        <v>92.046980796931763</v>
      </c>
      <c r="L299" s="13">
        <v>116.93676790415503</v>
      </c>
      <c r="M299" s="13">
        <v>117.2304312094326</v>
      </c>
    </row>
    <row r="300" spans="1:13" x14ac:dyDescent="0.25">
      <c r="A300" s="1368">
        <v>0.87</v>
      </c>
      <c r="B300" s="13">
        <v>106.7</v>
      </c>
      <c r="C300" s="1378">
        <f t="shared" si="41"/>
        <v>74.3</v>
      </c>
      <c r="D300" s="1378">
        <v>111.79</v>
      </c>
      <c r="E300" s="1378">
        <v>74.3</v>
      </c>
      <c r="F300" s="13">
        <v>111.79</v>
      </c>
      <c r="G300" s="13">
        <v>74.3</v>
      </c>
      <c r="H300" s="13">
        <v>108</v>
      </c>
      <c r="I300" s="1369">
        <v>81.87</v>
      </c>
      <c r="J300" s="13">
        <v>105.7</v>
      </c>
      <c r="K300" s="13">
        <v>93.1875631297425</v>
      </c>
      <c r="L300" s="13">
        <v>117.2304312094326</v>
      </c>
      <c r="M300" s="13">
        <v>117.66968048587273</v>
      </c>
    </row>
    <row r="301" spans="1:13" x14ac:dyDescent="0.25">
      <c r="A301" s="1368">
        <v>0.88</v>
      </c>
      <c r="B301" s="13">
        <v>113.7</v>
      </c>
      <c r="C301" s="1378">
        <f t="shared" si="41"/>
        <v>77.400000000000006</v>
      </c>
      <c r="D301" s="1378">
        <v>113.71</v>
      </c>
      <c r="E301" s="1378">
        <v>77.400000000000006</v>
      </c>
      <c r="F301" s="13">
        <v>113.71</v>
      </c>
      <c r="G301" s="13">
        <v>77.400000000000006</v>
      </c>
      <c r="H301" s="13">
        <v>110.04</v>
      </c>
      <c r="I301" s="1369">
        <v>83.62</v>
      </c>
      <c r="J301" s="13">
        <v>107.7</v>
      </c>
      <c r="K301" s="13">
        <v>94.128153849576222</v>
      </c>
      <c r="L301" s="13">
        <v>117.66968048587273</v>
      </c>
      <c r="M301" s="13">
        <v>122.12375088014801</v>
      </c>
    </row>
    <row r="302" spans="1:13" x14ac:dyDescent="0.25">
      <c r="A302" s="1368">
        <v>0.89</v>
      </c>
      <c r="B302" s="13">
        <v>113.7</v>
      </c>
      <c r="C302" s="1378">
        <f t="shared" si="41"/>
        <v>86</v>
      </c>
      <c r="D302" s="1378">
        <v>115.95</v>
      </c>
      <c r="E302" s="1378">
        <v>86</v>
      </c>
      <c r="F302" s="13">
        <v>115.95</v>
      </c>
      <c r="G302" s="13">
        <v>86</v>
      </c>
      <c r="H302" s="13">
        <v>111.88</v>
      </c>
      <c r="I302" s="1369">
        <v>86.35</v>
      </c>
      <c r="J302" s="13">
        <v>107.7</v>
      </c>
      <c r="K302" s="13">
        <v>96.736816870144295</v>
      </c>
      <c r="L302" s="13">
        <v>122.66958265980897</v>
      </c>
      <c r="M302" s="13">
        <v>122.98617489813704</v>
      </c>
    </row>
    <row r="303" spans="1:13" x14ac:dyDescent="0.25">
      <c r="A303" s="1368">
        <v>0.9</v>
      </c>
      <c r="B303" s="13">
        <v>124.2</v>
      </c>
      <c r="C303" s="1378">
        <f t="shared" si="41"/>
        <v>89.1</v>
      </c>
      <c r="D303" s="1378">
        <v>117.64</v>
      </c>
      <c r="E303" s="1378">
        <v>89.1</v>
      </c>
      <c r="F303" s="13">
        <v>117.64</v>
      </c>
      <c r="G303" s="13">
        <v>89.1</v>
      </c>
      <c r="H303" s="13">
        <v>115.16</v>
      </c>
      <c r="I303" s="1369">
        <v>90.22</v>
      </c>
      <c r="J303" s="13">
        <v>109.6</v>
      </c>
      <c r="K303" s="13">
        <v>99.470000370961174</v>
      </c>
      <c r="L303" s="13">
        <v>123.90755647698028</v>
      </c>
      <c r="M303" s="13">
        <v>126.64676194154757</v>
      </c>
    </row>
    <row r="304" spans="1:13" x14ac:dyDescent="0.25">
      <c r="A304" s="1368">
        <v>0.91</v>
      </c>
      <c r="B304" s="13">
        <v>124.2</v>
      </c>
      <c r="C304" s="1378">
        <f t="shared" si="41"/>
        <v>91.3</v>
      </c>
      <c r="D304" s="1378">
        <v>118.82</v>
      </c>
      <c r="E304" s="1378">
        <v>91.3</v>
      </c>
      <c r="F304" s="13">
        <v>118.82</v>
      </c>
      <c r="G304" s="13">
        <v>91.3</v>
      </c>
      <c r="H304" s="13">
        <v>119.87</v>
      </c>
      <c r="I304" s="1369">
        <v>96.1</v>
      </c>
      <c r="J304" s="13">
        <v>109.6</v>
      </c>
      <c r="K304" s="13">
        <v>102.58010922895046</v>
      </c>
      <c r="L304" s="13">
        <v>127.91761563661967</v>
      </c>
      <c r="M304" s="13">
        <v>128.53185564778059</v>
      </c>
    </row>
    <row r="305" spans="1:14" x14ac:dyDescent="0.25">
      <c r="A305" s="1368">
        <v>0.92</v>
      </c>
      <c r="B305" s="13">
        <v>131.80000000000001</v>
      </c>
      <c r="C305" s="1378">
        <f t="shared" si="41"/>
        <v>95.1</v>
      </c>
      <c r="D305" s="1378">
        <v>120.76</v>
      </c>
      <c r="E305" s="1378">
        <v>95.1</v>
      </c>
      <c r="F305" s="13">
        <v>120.76</v>
      </c>
      <c r="G305" s="13">
        <v>95.1</v>
      </c>
      <c r="H305" s="13">
        <v>123.51</v>
      </c>
      <c r="I305" s="1369">
        <v>104.74</v>
      </c>
      <c r="J305" s="13">
        <v>113</v>
      </c>
      <c r="K305" s="13">
        <v>104.71783397706164</v>
      </c>
      <c r="L305" s="13">
        <v>131.45131262305839</v>
      </c>
      <c r="M305" s="13">
        <v>131.94241568500888</v>
      </c>
    </row>
    <row r="306" spans="1:14" x14ac:dyDescent="0.25">
      <c r="A306" s="1368">
        <v>0.93</v>
      </c>
      <c r="B306" s="13">
        <v>131.80000000000001</v>
      </c>
      <c r="C306" s="1378">
        <f t="shared" si="41"/>
        <v>105.4</v>
      </c>
      <c r="D306" s="1378">
        <v>123.68</v>
      </c>
      <c r="E306" s="1378">
        <v>105.4</v>
      </c>
      <c r="F306" s="13">
        <v>123.68</v>
      </c>
      <c r="G306" s="13">
        <v>105.4</v>
      </c>
      <c r="H306" s="13">
        <v>126.76</v>
      </c>
      <c r="I306" s="1369">
        <v>110.22</v>
      </c>
      <c r="J306" s="13">
        <v>113</v>
      </c>
      <c r="K306" s="13">
        <v>108.01434664056491</v>
      </c>
      <c r="L306" s="13">
        <v>133.63030100678037</v>
      </c>
      <c r="M306" s="13">
        <v>133.64339193492279</v>
      </c>
    </row>
    <row r="307" spans="1:14" x14ac:dyDescent="0.25">
      <c r="A307" s="1368">
        <v>0.94</v>
      </c>
      <c r="B307" s="13">
        <v>138.19999999999999</v>
      </c>
      <c r="C307" s="1378">
        <f t="shared" si="41"/>
        <v>106.3</v>
      </c>
      <c r="D307" s="1378">
        <v>127.3</v>
      </c>
      <c r="E307" s="1378">
        <v>106.3</v>
      </c>
      <c r="F307" s="13">
        <v>127.3</v>
      </c>
      <c r="G307" s="13">
        <v>106.3</v>
      </c>
      <c r="H307" s="13">
        <v>130.81</v>
      </c>
      <c r="I307" s="1369">
        <v>113.52</v>
      </c>
      <c r="J307" s="13">
        <v>117.8</v>
      </c>
      <c r="K307" s="13">
        <v>112.16248038802799</v>
      </c>
      <c r="L307" s="13">
        <v>133.81024472126512</v>
      </c>
      <c r="M307" s="13">
        <v>134.85030934099322</v>
      </c>
    </row>
    <row r="308" spans="1:14" x14ac:dyDescent="0.25">
      <c r="A308" s="1368">
        <v>0.95</v>
      </c>
      <c r="B308" s="13">
        <v>142</v>
      </c>
      <c r="C308" s="1378">
        <f t="shared" si="41"/>
        <v>147.30000000000001</v>
      </c>
      <c r="D308" s="1378">
        <v>132.15</v>
      </c>
      <c r="E308" s="1378">
        <v>147.30000000000001</v>
      </c>
      <c r="F308" s="13">
        <v>132.15</v>
      </c>
      <c r="G308" s="13">
        <v>147.30000000000001</v>
      </c>
      <c r="H308" s="13">
        <v>137.57</v>
      </c>
      <c r="I308" s="1369">
        <v>122.4</v>
      </c>
      <c r="J308" s="13">
        <v>124.3</v>
      </c>
      <c r="K308" s="13">
        <v>120.91545666198661</v>
      </c>
      <c r="L308" s="13">
        <v>139.45064148537733</v>
      </c>
      <c r="M308" s="13">
        <v>140.93350131836351</v>
      </c>
    </row>
    <row r="309" spans="1:14" x14ac:dyDescent="0.25">
      <c r="A309" s="1368">
        <v>0.96</v>
      </c>
      <c r="B309" s="13">
        <v>149.9</v>
      </c>
      <c r="C309" s="1378">
        <f t="shared" si="41"/>
        <v>179.6</v>
      </c>
      <c r="D309" s="1378">
        <v>140.19</v>
      </c>
      <c r="E309" s="1378">
        <v>179.6</v>
      </c>
      <c r="F309" s="13">
        <v>140.19</v>
      </c>
      <c r="G309" s="13">
        <v>179.6</v>
      </c>
      <c r="H309" s="13">
        <v>141.94</v>
      </c>
      <c r="I309" s="1369">
        <v>135.6</v>
      </c>
      <c r="J309" s="13">
        <v>124.3</v>
      </c>
      <c r="K309" s="13">
        <v>126.15288201160541</v>
      </c>
      <c r="L309" s="13">
        <v>141.66891637958034</v>
      </c>
      <c r="M309" s="13">
        <v>142.45973761912339</v>
      </c>
    </row>
    <row r="310" spans="1:14" x14ac:dyDescent="0.25">
      <c r="A310" s="1368">
        <v>0.97</v>
      </c>
      <c r="B310" s="13">
        <v>158.69999999999999</v>
      </c>
      <c r="C310" s="1378">
        <f t="shared" si="41"/>
        <v>192</v>
      </c>
      <c r="D310" s="1378">
        <v>145.26</v>
      </c>
      <c r="E310" s="1378">
        <v>192</v>
      </c>
      <c r="F310" s="13">
        <v>145.26</v>
      </c>
      <c r="G310" s="13">
        <v>192</v>
      </c>
      <c r="H310" s="13">
        <v>153.62</v>
      </c>
      <c r="I310" s="1369">
        <v>143.68</v>
      </c>
      <c r="J310" s="13">
        <v>140.9</v>
      </c>
      <c r="K310" s="13">
        <v>133.46637312057405</v>
      </c>
      <c r="L310" s="13">
        <v>147.50499506878862</v>
      </c>
      <c r="M310" s="13">
        <v>148.10401095206072</v>
      </c>
    </row>
    <row r="311" spans="1:14" x14ac:dyDescent="0.25">
      <c r="A311" s="1368">
        <v>0.98</v>
      </c>
      <c r="B311" s="13">
        <v>170.7</v>
      </c>
      <c r="C311" s="1378">
        <f t="shared" si="41"/>
        <v>206.8</v>
      </c>
      <c r="D311" s="1378">
        <v>155.91999999999999</v>
      </c>
      <c r="E311" s="1378">
        <v>206.8</v>
      </c>
      <c r="F311" s="13">
        <v>155.91999999999999</v>
      </c>
      <c r="G311" s="13">
        <v>206.8</v>
      </c>
      <c r="H311" s="13">
        <v>169.56</v>
      </c>
      <c r="I311" s="1369">
        <v>154.21</v>
      </c>
      <c r="J311" s="13">
        <v>140.9</v>
      </c>
      <c r="K311" s="13">
        <v>156.27196427833135</v>
      </c>
      <c r="L311" s="13">
        <v>169.55779052225031</v>
      </c>
      <c r="M311" s="13">
        <v>180.92197167483283</v>
      </c>
    </row>
    <row r="312" spans="1:14" x14ac:dyDescent="0.25">
      <c r="A312" s="1368">
        <v>0.99</v>
      </c>
      <c r="B312" s="13">
        <v>186.1</v>
      </c>
      <c r="C312" s="1378">
        <f t="shared" si="41"/>
        <v>216.5</v>
      </c>
      <c r="D312" s="1378">
        <v>175.85</v>
      </c>
      <c r="E312" s="1378">
        <v>216.5</v>
      </c>
      <c r="F312" s="13">
        <v>175.85</v>
      </c>
      <c r="G312" s="13">
        <v>216.5</v>
      </c>
      <c r="H312" s="13">
        <v>195.62</v>
      </c>
      <c r="I312" s="1369">
        <v>157.52000000000001</v>
      </c>
      <c r="J312" s="13">
        <v>179.6</v>
      </c>
      <c r="K312" s="13">
        <v>176.09318277176789</v>
      </c>
      <c r="L312" s="13">
        <v>188.32405924739791</v>
      </c>
      <c r="M312" s="13">
        <v>199.40034812880765</v>
      </c>
    </row>
    <row r="313" spans="1:14" x14ac:dyDescent="0.25">
      <c r="A313" s="1368">
        <v>1</v>
      </c>
      <c r="B313" s="13">
        <v>192.2</v>
      </c>
      <c r="C313" s="1378">
        <f t="shared" si="41"/>
        <v>250</v>
      </c>
      <c r="D313" s="1378">
        <v>241.52</v>
      </c>
      <c r="E313" s="1378">
        <v>250</v>
      </c>
      <c r="F313" s="13">
        <v>241.52</v>
      </c>
      <c r="G313" s="13">
        <v>250</v>
      </c>
      <c r="H313" s="13">
        <v>227.99</v>
      </c>
      <c r="I313" s="1369">
        <v>209.48</v>
      </c>
      <c r="J313" s="13">
        <v>179.6</v>
      </c>
      <c r="K313" s="13">
        <v>202.11355391533044</v>
      </c>
      <c r="L313" s="13">
        <v>201.91379093198992</v>
      </c>
      <c r="M313" s="13">
        <v>227.17235218464299</v>
      </c>
    </row>
    <row r="314" spans="1:14" x14ac:dyDescent="0.25">
      <c r="A314" s="1368" t="s">
        <v>1995</v>
      </c>
      <c r="B314" s="13">
        <f>кривые!B314</f>
        <v>110.32996078431376</v>
      </c>
      <c r="C314" s="13">
        <f>кривые!C314</f>
        <v>110.32996078431376</v>
      </c>
      <c r="D314" s="13">
        <f>кривые!D314</f>
        <v>115.17672549019609</v>
      </c>
      <c r="E314" s="13">
        <f>кривые!E314</f>
        <v>115.17672549019609</v>
      </c>
      <c r="F314" s="13">
        <f>кривые!F314</f>
        <v>131.62278431372548</v>
      </c>
      <c r="G314" s="13">
        <f>кривые!G314</f>
        <v>131.62278431372548</v>
      </c>
      <c r="H314" s="13">
        <f>кривые!H314</f>
        <v>136.5450392156863</v>
      </c>
      <c r="I314" s="13">
        <f>кривые!I314</f>
        <v>136.5450392156863</v>
      </c>
      <c r="J314" s="13">
        <f>кривые!J314</f>
        <v>136.46484313725492</v>
      </c>
      <c r="K314" s="13">
        <f>кривые!K314</f>
        <v>136.46484313725492</v>
      </c>
      <c r="L314" s="13">
        <f>кривые!L314</f>
        <v>136.38384313725487</v>
      </c>
      <c r="M314" s="13">
        <f>кривые!M314</f>
        <v>136.38384313725487</v>
      </c>
    </row>
    <row r="315" spans="1:14" x14ac:dyDescent="0.25">
      <c r="A315" s="13" t="s">
        <v>1859</v>
      </c>
      <c r="B315" s="13" t="e">
        <f>AVERAGE('классы ЭЭ и выбросы ПГ'!$Y$48)</f>
        <v>#VALUE!</v>
      </c>
      <c r="C315" s="13" t="e">
        <f>B315</f>
        <v>#VALUE!</v>
      </c>
      <c r="D315" s="13" t="e">
        <f>AVERAGE('классы ЭЭ и выбросы ПГ'!$Z$48:$AA$48)</f>
        <v>#VALUE!</v>
      </c>
      <c r="E315" s="13" t="e">
        <f>D315</f>
        <v>#VALUE!</v>
      </c>
      <c r="F315" s="13" t="e">
        <f>AVERAGE('классы ЭЭ и выбросы ПГ'!$AB$48:$AC$48)</f>
        <v>#VALUE!</v>
      </c>
      <c r="G315" s="13" t="e">
        <f>F315</f>
        <v>#VALUE!</v>
      </c>
      <c r="H315" s="13" t="e">
        <f>AVERAGE('классы ЭЭ и выбросы ПГ'!$AD$48:$AE$48)</f>
        <v>#VALUE!</v>
      </c>
      <c r="I315" s="13" t="e">
        <f>H315</f>
        <v>#VALUE!</v>
      </c>
      <c r="J315" s="13" t="e">
        <f>AVERAGE('классы ЭЭ и выбросы ПГ'!$AF$48:$AG$48)</f>
        <v>#VALUE!</v>
      </c>
      <c r="K315" s="13" t="e">
        <f>J315</f>
        <v>#VALUE!</v>
      </c>
      <c r="L315" s="13" t="e">
        <f>AVERAGE('классы ЭЭ и выбросы ПГ'!$AH$48:$AN$48)</f>
        <v>#VALUE!</v>
      </c>
      <c r="M315" s="13" t="e">
        <f>L315</f>
        <v>#VALUE!</v>
      </c>
    </row>
    <row r="316" spans="1:14" x14ac:dyDescent="0.25">
      <c r="A316" s="13" t="s">
        <v>1858</v>
      </c>
      <c r="B316" s="13" t="e">
        <f t="shared" ref="B316:M316" si="42">0.4*B315</f>
        <v>#VALUE!</v>
      </c>
      <c r="C316" s="13" t="e">
        <f t="shared" si="42"/>
        <v>#VALUE!</v>
      </c>
      <c r="D316" s="13" t="e">
        <f t="shared" si="42"/>
        <v>#VALUE!</v>
      </c>
      <c r="E316" s="13" t="e">
        <f t="shared" si="42"/>
        <v>#VALUE!</v>
      </c>
      <c r="F316" s="13" t="e">
        <f t="shared" si="42"/>
        <v>#VALUE!</v>
      </c>
      <c r="G316" s="13" t="e">
        <f t="shared" si="42"/>
        <v>#VALUE!</v>
      </c>
      <c r="H316" s="13" t="e">
        <f t="shared" si="42"/>
        <v>#VALUE!</v>
      </c>
      <c r="I316" s="13" t="e">
        <f t="shared" si="42"/>
        <v>#VALUE!</v>
      </c>
      <c r="J316" s="13" t="e">
        <f t="shared" si="42"/>
        <v>#VALUE!</v>
      </c>
      <c r="K316" s="13" t="e">
        <f t="shared" si="42"/>
        <v>#VALUE!</v>
      </c>
      <c r="L316" s="13" t="e">
        <f t="shared" si="42"/>
        <v>#VALUE!</v>
      </c>
      <c r="M316" s="13" t="e">
        <f t="shared" si="42"/>
        <v>#VALUE!</v>
      </c>
    </row>
    <row r="317" spans="1:14" x14ac:dyDescent="0.25">
      <c r="A317" s="13" t="s">
        <v>1844</v>
      </c>
      <c r="B317" s="13" t="s">
        <v>1845</v>
      </c>
      <c r="C317" s="13" t="s">
        <v>1846</v>
      </c>
      <c r="D317" s="13" t="s">
        <v>1847</v>
      </c>
      <c r="E317" s="13" t="s">
        <v>1848</v>
      </c>
      <c r="F317" s="13" t="s">
        <v>1849</v>
      </c>
      <c r="G317" s="13" t="s">
        <v>1850</v>
      </c>
      <c r="H317" s="13" t="s">
        <v>1851</v>
      </c>
      <c r="I317" s="1369" t="s">
        <v>1852</v>
      </c>
      <c r="J317" s="13" t="s">
        <v>1853</v>
      </c>
      <c r="K317" s="13" t="s">
        <v>1854</v>
      </c>
      <c r="L317" s="13" t="s">
        <v>1855</v>
      </c>
      <c r="M317" s="13" t="s">
        <v>1856</v>
      </c>
      <c r="N317" s="13" t="s">
        <v>1483</v>
      </c>
    </row>
    <row r="318" spans="1:14" x14ac:dyDescent="0.25">
      <c r="A318" s="1368">
        <v>0</v>
      </c>
      <c r="B318" s="13">
        <v>2.276803602669434E-2</v>
      </c>
      <c r="C318" s="13">
        <v>2.466377575598927E-2</v>
      </c>
      <c r="D318" s="1378">
        <v>2.5000000000000001E-2</v>
      </c>
      <c r="E318" s="1378">
        <v>0.02</v>
      </c>
      <c r="F318" s="13">
        <v>2.5000000000000001E-2</v>
      </c>
      <c r="G318" s="13">
        <v>0.02</v>
      </c>
      <c r="H318" s="13">
        <v>2.7699999999999999E-2</v>
      </c>
      <c r="I318" s="1369">
        <v>2.3099999999999999E-2</v>
      </c>
      <c r="J318" s="13">
        <v>2.8000000000000001E-2</v>
      </c>
      <c r="K318" s="13">
        <v>2.5336627345963699E-2</v>
      </c>
      <c r="L318" s="13">
        <v>2.4855550081424854E-2</v>
      </c>
      <c r="M318" s="13">
        <v>1.738077220915164E-2</v>
      </c>
      <c r="N318" s="13">
        <f>$B$106*B318+$C$106*C318+$D$106*D318+$E$106*E318+$F$106*F318+$G$106*G318+$H$106*H318+$I$106*I318+$J$106*J318+$K$106*K318+$L$106*L318+$M$106*M318</f>
        <v>0</v>
      </c>
    </row>
    <row r="319" spans="1:14" x14ac:dyDescent="0.25">
      <c r="A319" s="1368">
        <v>0.01</v>
      </c>
      <c r="B319" s="13">
        <v>2.6854543598449094E-2</v>
      </c>
      <c r="C319" s="13">
        <v>2.4879144504379846E-2</v>
      </c>
      <c r="D319" s="1378">
        <v>2.63E-2</v>
      </c>
      <c r="E319" s="1378">
        <v>0.02</v>
      </c>
      <c r="F319" s="13">
        <v>2.63E-2</v>
      </c>
      <c r="G319" s="13">
        <v>0.02</v>
      </c>
      <c r="H319" s="13">
        <v>3.1600000000000003E-2</v>
      </c>
      <c r="I319" s="1369">
        <v>2.3300000000000001E-2</v>
      </c>
      <c r="J319" s="13">
        <v>2.8000000000000001E-2</v>
      </c>
      <c r="K319" s="13">
        <v>2.8336627345963747E-2</v>
      </c>
      <c r="L319" s="13">
        <v>2.5855550081424854E-2</v>
      </c>
      <c r="M319" s="13">
        <v>1.738077220915164E-2</v>
      </c>
      <c r="N319" s="13">
        <f t="shared" ref="N319:N382" si="43">$B$106*B319+$C$106*C319+$D$106*D319+$E$106*E319+$F$106*F319+$G$106*G319+$H$106*H319+$I$106*I319+$J$106*J319+$K$106*K319+$L$106*L319+$M$106*M319</f>
        <v>0</v>
      </c>
    </row>
    <row r="320" spans="1:14" x14ac:dyDescent="0.25">
      <c r="A320" s="1368">
        <v>0.02</v>
      </c>
      <c r="B320" s="13">
        <v>3.1628884245603207E-2</v>
      </c>
      <c r="C320" s="13">
        <v>2.585736126909606E-2</v>
      </c>
      <c r="D320" s="1378">
        <v>2.8299999999999999E-2</v>
      </c>
      <c r="E320" s="1378">
        <v>0.02</v>
      </c>
      <c r="F320" s="13">
        <v>2.8299999999999999E-2</v>
      </c>
      <c r="G320" s="13">
        <v>0.02</v>
      </c>
      <c r="H320" s="13">
        <v>3.49E-2</v>
      </c>
      <c r="I320" s="1369">
        <v>2.3900000000000001E-2</v>
      </c>
      <c r="J320" s="13">
        <v>2.9000000000000001E-2</v>
      </c>
      <c r="K320" s="13">
        <v>2.9657547633598472E-2</v>
      </c>
      <c r="L320" s="13">
        <v>2.6520801497923803E-2</v>
      </c>
      <c r="M320" s="13">
        <v>2.0401009368571369E-2</v>
      </c>
      <c r="N320" s="13">
        <f t="shared" si="43"/>
        <v>0</v>
      </c>
    </row>
    <row r="321" spans="1:14" x14ac:dyDescent="0.25">
      <c r="A321" s="1368">
        <v>0.03</v>
      </c>
      <c r="B321" s="13">
        <v>3.4055039674645946E-2</v>
      </c>
      <c r="C321" s="13">
        <v>2.6028739750682886E-2</v>
      </c>
      <c r="D321" s="1378">
        <v>3.0499999999999999E-2</v>
      </c>
      <c r="E321" s="1378">
        <v>0.02</v>
      </c>
      <c r="F321" s="13">
        <v>3.0499999999999999E-2</v>
      </c>
      <c r="G321" s="13">
        <v>0.02</v>
      </c>
      <c r="H321" s="13">
        <v>3.5900000000000001E-2</v>
      </c>
      <c r="I321" s="1369">
        <v>2.46E-2</v>
      </c>
      <c r="J321" s="13">
        <v>2.9000000000000001E-2</v>
      </c>
      <c r="K321" s="13">
        <v>3.0316466540082108E-2</v>
      </c>
      <c r="L321" s="13">
        <v>2.735775789885006E-2</v>
      </c>
      <c r="M321" s="13">
        <v>2.0625337296124625E-2</v>
      </c>
      <c r="N321" s="13">
        <f t="shared" si="43"/>
        <v>0</v>
      </c>
    </row>
    <row r="322" spans="1:14" x14ac:dyDescent="0.25">
      <c r="A322" s="1368">
        <v>0.04</v>
      </c>
      <c r="B322" s="13">
        <v>3.500287853360888E-2</v>
      </c>
      <c r="C322" s="13">
        <v>2.6837581627409995E-2</v>
      </c>
      <c r="D322" s="1378">
        <v>3.8600000000000002E-2</v>
      </c>
      <c r="E322" s="1378">
        <v>2.1999999999999999E-2</v>
      </c>
      <c r="F322" s="13">
        <v>3.8600000000000002E-2</v>
      </c>
      <c r="G322" s="13">
        <v>2.1999999999999999E-2</v>
      </c>
      <c r="H322" s="13">
        <v>3.6999999999999998E-2</v>
      </c>
      <c r="I322" s="1369">
        <v>2.47E-2</v>
      </c>
      <c r="J322" s="13">
        <v>0.03</v>
      </c>
      <c r="K322" s="13">
        <v>3.0645836499607865E-2</v>
      </c>
      <c r="L322" s="13">
        <v>2.8416379592097529E-2</v>
      </c>
      <c r="M322" s="13">
        <v>2.2855622658100882E-2</v>
      </c>
      <c r="N322" s="13">
        <f t="shared" si="43"/>
        <v>0</v>
      </c>
    </row>
    <row r="323" spans="1:14" x14ac:dyDescent="0.25">
      <c r="A323" s="1368">
        <v>0.05</v>
      </c>
      <c r="B323" s="13">
        <v>3.7265248494630761E-2</v>
      </c>
      <c r="C323" s="13">
        <v>2.7524572782717804E-2</v>
      </c>
      <c r="D323" s="1378">
        <v>4.5699999999999998E-2</v>
      </c>
      <c r="E323" s="1378">
        <v>2.1999999999999999E-2</v>
      </c>
      <c r="F323" s="13">
        <v>4.5699999999999998E-2</v>
      </c>
      <c r="G323" s="13">
        <v>2.1999999999999999E-2</v>
      </c>
      <c r="H323" s="13">
        <v>3.85E-2</v>
      </c>
      <c r="I323" s="1369">
        <v>2.4899999999999999E-2</v>
      </c>
      <c r="J323" s="13">
        <v>3.1E-2</v>
      </c>
      <c r="K323" s="13">
        <v>3.0809295737553352E-2</v>
      </c>
      <c r="L323" s="13">
        <v>2.8956965167845041E-2</v>
      </c>
      <c r="M323" s="13">
        <v>2.2932838919307908E-2</v>
      </c>
      <c r="N323" s="13">
        <f t="shared" si="43"/>
        <v>0</v>
      </c>
    </row>
    <row r="324" spans="1:14" x14ac:dyDescent="0.25">
      <c r="A324" s="1368">
        <v>0.06</v>
      </c>
      <c r="B324" s="13">
        <v>3.850472255327294E-2</v>
      </c>
      <c r="C324" s="13">
        <v>2.7927805335289397E-2</v>
      </c>
      <c r="D324" s="1378">
        <v>4.7399999999999998E-2</v>
      </c>
      <c r="E324" s="1378">
        <v>2.1999999999999999E-2</v>
      </c>
      <c r="F324" s="13">
        <v>4.7399999999999998E-2</v>
      </c>
      <c r="G324" s="13">
        <v>2.1999999999999999E-2</v>
      </c>
      <c r="H324" s="13">
        <v>3.9800000000000002E-2</v>
      </c>
      <c r="I324" s="1369">
        <v>2.6599999999999999E-2</v>
      </c>
      <c r="J324" s="13">
        <v>3.2000000000000001E-2</v>
      </c>
      <c r="K324" s="13">
        <v>3.1202871224801913E-2</v>
      </c>
      <c r="L324" s="13">
        <v>2.9434852205144441E-2</v>
      </c>
      <c r="M324" s="13">
        <v>2.3063964108683443E-2</v>
      </c>
      <c r="N324" s="13">
        <f t="shared" si="43"/>
        <v>0</v>
      </c>
    </row>
    <row r="325" spans="1:14" x14ac:dyDescent="0.25">
      <c r="A325" s="1368">
        <v>7.0000000000000007E-2</v>
      </c>
      <c r="B325" s="13">
        <v>4.0197274274188372E-2</v>
      </c>
      <c r="C325" s="13">
        <v>2.8636204575150006E-2</v>
      </c>
      <c r="D325" s="1378">
        <v>4.8599999999999997E-2</v>
      </c>
      <c r="E325" s="1378">
        <v>2.1999999999999999E-2</v>
      </c>
      <c r="F325" s="13">
        <v>4.8599999999999997E-2</v>
      </c>
      <c r="G325" s="13">
        <v>2.1999999999999999E-2</v>
      </c>
      <c r="H325" s="13">
        <v>4.1399999999999999E-2</v>
      </c>
      <c r="I325" s="1369">
        <v>2.8299999999999999E-2</v>
      </c>
      <c r="J325" s="13">
        <v>3.2000000000000001E-2</v>
      </c>
      <c r="K325" s="13">
        <v>3.168619520549594E-2</v>
      </c>
      <c r="L325" s="13">
        <v>2.9866115877396703E-2</v>
      </c>
      <c r="M325" s="13">
        <v>2.4428200148704244E-2</v>
      </c>
      <c r="N325" s="13">
        <f t="shared" si="43"/>
        <v>0</v>
      </c>
    </row>
    <row r="326" spans="1:14" x14ac:dyDescent="0.25">
      <c r="A326" s="1368">
        <v>0.08</v>
      </c>
      <c r="B326" s="13">
        <v>4.1325054836774275E-2</v>
      </c>
      <c r="C326" s="13">
        <v>2.8788155404575137E-2</v>
      </c>
      <c r="D326" s="1378">
        <v>5.04E-2</v>
      </c>
      <c r="E326" s="1378">
        <v>2.4E-2</v>
      </c>
      <c r="F326" s="13">
        <v>5.04E-2</v>
      </c>
      <c r="G326" s="13">
        <v>2.4E-2</v>
      </c>
      <c r="H326" s="13">
        <v>4.19E-2</v>
      </c>
      <c r="I326" s="1369">
        <v>2.7199999999999998E-2</v>
      </c>
      <c r="J326" s="13">
        <v>3.3000000000000002E-2</v>
      </c>
      <c r="K326" s="13">
        <v>3.2649087505012026E-2</v>
      </c>
      <c r="L326" s="13">
        <v>3.0643500363092196E-2</v>
      </c>
      <c r="M326" s="13">
        <v>2.4610587465610793E-2</v>
      </c>
      <c r="N326" s="13">
        <f t="shared" si="43"/>
        <v>0</v>
      </c>
    </row>
    <row r="327" spans="1:14" x14ac:dyDescent="0.25">
      <c r="A327" s="1368">
        <v>0.09</v>
      </c>
      <c r="B327" s="13">
        <v>4.2628559477535022E-2</v>
      </c>
      <c r="C327" s="13">
        <v>2.8921742343383548E-2</v>
      </c>
      <c r="D327" s="1378">
        <v>5.0799999999999998E-2</v>
      </c>
      <c r="E327" s="1378">
        <v>2.4E-2</v>
      </c>
      <c r="F327" s="13">
        <v>5.0799999999999998E-2</v>
      </c>
      <c r="G327" s="13">
        <v>2.4E-2</v>
      </c>
      <c r="H327" s="13">
        <v>4.2299999999999997E-2</v>
      </c>
      <c r="I327" s="1369">
        <v>2.98E-2</v>
      </c>
      <c r="J327" s="13">
        <v>3.3000000000000002E-2</v>
      </c>
      <c r="K327" s="13">
        <v>3.3710373197130952E-2</v>
      </c>
      <c r="L327" s="13">
        <v>3.104570807979895E-2</v>
      </c>
      <c r="M327" s="13">
        <v>2.5523063403608021E-2</v>
      </c>
      <c r="N327" s="13">
        <f t="shared" si="43"/>
        <v>0</v>
      </c>
    </row>
    <row r="328" spans="1:14" x14ac:dyDescent="0.25">
      <c r="A328" s="1368">
        <v>0.1</v>
      </c>
      <c r="B328" s="13">
        <v>4.3830988497781748E-2</v>
      </c>
      <c r="C328" s="13">
        <v>2.971096078499311E-2</v>
      </c>
      <c r="D328" s="1378">
        <v>5.21E-2</v>
      </c>
      <c r="E328" s="1378">
        <v>2.5000000000000001E-2</v>
      </c>
      <c r="F328" s="13">
        <v>5.21E-2</v>
      </c>
      <c r="G328" s="13">
        <v>2.5000000000000001E-2</v>
      </c>
      <c r="H328" s="13">
        <v>4.3499999999999997E-2</v>
      </c>
      <c r="I328" s="1369">
        <v>0.03</v>
      </c>
      <c r="J328" s="13">
        <v>3.4000000000000002E-2</v>
      </c>
      <c r="K328" s="13">
        <v>3.392852198916832E-2</v>
      </c>
      <c r="L328" s="13">
        <v>3.1741475056143199E-2</v>
      </c>
      <c r="M328" s="13">
        <v>2.5724217861982181E-2</v>
      </c>
      <c r="N328" s="13">
        <f t="shared" si="43"/>
        <v>0</v>
      </c>
    </row>
    <row r="329" spans="1:14" x14ac:dyDescent="0.25">
      <c r="A329" s="1368">
        <v>0.11</v>
      </c>
      <c r="B329" s="13">
        <v>4.4863263259478696E-2</v>
      </c>
      <c r="C329" s="13">
        <v>2.971096078499311E-2</v>
      </c>
      <c r="D329" s="1378">
        <v>5.4100000000000002E-2</v>
      </c>
      <c r="E329" s="1378">
        <v>2.5000000000000001E-2</v>
      </c>
      <c r="F329" s="13">
        <v>5.4100000000000002E-2</v>
      </c>
      <c r="G329" s="13">
        <v>2.5000000000000001E-2</v>
      </c>
      <c r="H329" s="13">
        <v>4.4299999999999999E-2</v>
      </c>
      <c r="I329" s="1369">
        <v>3.0200000000000001E-2</v>
      </c>
      <c r="J329" s="13">
        <v>3.4000000000000002E-2</v>
      </c>
      <c r="K329" s="13">
        <v>3.4674004213223496E-2</v>
      </c>
      <c r="L329" s="13">
        <v>3.2218953847716954E-2</v>
      </c>
      <c r="M329" s="13">
        <v>2.590383356597202E-2</v>
      </c>
      <c r="N329" s="13">
        <f t="shared" si="43"/>
        <v>0</v>
      </c>
    </row>
    <row r="330" spans="1:14" x14ac:dyDescent="0.25">
      <c r="A330" s="1368">
        <v>0.12</v>
      </c>
      <c r="B330" s="13">
        <v>4.5719348755567525E-2</v>
      </c>
      <c r="C330" s="13">
        <v>3.0565965717981106E-2</v>
      </c>
      <c r="D330" s="1378">
        <v>5.4699999999999999E-2</v>
      </c>
      <c r="E330" s="1378">
        <v>2.5999999999999999E-2</v>
      </c>
      <c r="F330" s="13">
        <v>5.4699999999999999E-2</v>
      </c>
      <c r="G330" s="13">
        <v>2.5999999999999999E-2</v>
      </c>
      <c r="H330" s="13">
        <v>4.4400000000000002E-2</v>
      </c>
      <c r="I330" s="1369">
        <v>3.1E-2</v>
      </c>
      <c r="J330" s="13">
        <v>3.5000000000000003E-2</v>
      </c>
      <c r="K330" s="13">
        <v>3.5052174222263928E-2</v>
      </c>
      <c r="L330" s="13">
        <v>3.2905113045535214E-2</v>
      </c>
      <c r="M330" s="13">
        <v>2.6294700696430161E-2</v>
      </c>
      <c r="N330" s="13">
        <f t="shared" si="43"/>
        <v>0</v>
      </c>
    </row>
    <row r="331" spans="1:14" x14ac:dyDescent="0.25">
      <c r="A331" s="1368">
        <v>0.13</v>
      </c>
      <c r="B331" s="13">
        <v>4.6285677247981348E-2</v>
      </c>
      <c r="C331" s="13">
        <v>3.0756745241400155E-2</v>
      </c>
      <c r="D331" s="1378">
        <v>5.5500000000000001E-2</v>
      </c>
      <c r="E331" s="1378">
        <v>2.5999999999999999E-2</v>
      </c>
      <c r="F331" s="13">
        <v>5.5500000000000001E-2</v>
      </c>
      <c r="G331" s="13">
        <v>2.5999999999999999E-2</v>
      </c>
      <c r="H331" s="13">
        <v>4.53E-2</v>
      </c>
      <c r="I331" s="1369">
        <v>3.1600000000000003E-2</v>
      </c>
      <c r="J331" s="13">
        <v>3.5000000000000003E-2</v>
      </c>
      <c r="K331" s="13">
        <v>3.5337369600673907E-2</v>
      </c>
      <c r="L331" s="13">
        <v>3.3572476703404387E-2</v>
      </c>
      <c r="M331" s="13">
        <v>2.6295780421798573E-2</v>
      </c>
      <c r="N331" s="13">
        <f t="shared" si="43"/>
        <v>0</v>
      </c>
    </row>
    <row r="332" spans="1:14" x14ac:dyDescent="0.25">
      <c r="A332" s="1368">
        <v>0.14000000000000001</v>
      </c>
      <c r="B332" s="13">
        <v>4.6550109410928089E-2</v>
      </c>
      <c r="C332" s="13">
        <v>3.0958224698536672E-2</v>
      </c>
      <c r="D332" s="1378">
        <v>5.6099999999999997E-2</v>
      </c>
      <c r="E332" s="1378">
        <v>2.5999999999999999E-2</v>
      </c>
      <c r="F332" s="13">
        <v>5.6099999999999997E-2</v>
      </c>
      <c r="G332" s="13">
        <v>2.5999999999999999E-2</v>
      </c>
      <c r="H332" s="13">
        <v>4.5900000000000003E-2</v>
      </c>
      <c r="I332" s="1369">
        <v>3.2099999999999997E-2</v>
      </c>
      <c r="J332" s="13">
        <v>3.5999999999999997E-2</v>
      </c>
      <c r="K332" s="13">
        <v>3.5608689661467866E-2</v>
      </c>
      <c r="L332" s="13">
        <v>3.4034637831913919E-2</v>
      </c>
      <c r="M332" s="13">
        <v>2.6514430924318363E-2</v>
      </c>
      <c r="N332" s="13">
        <f t="shared" si="43"/>
        <v>0</v>
      </c>
    </row>
    <row r="333" spans="1:14" x14ac:dyDescent="0.25">
      <c r="A333" s="1368">
        <v>0.15</v>
      </c>
      <c r="B333" s="13">
        <v>4.6641748549768151E-2</v>
      </c>
      <c r="C333" s="13">
        <v>3.1072906134311074E-2</v>
      </c>
      <c r="D333" s="1378">
        <v>5.6099999999999997E-2</v>
      </c>
      <c r="E333" s="1378">
        <v>2.5999999999999999E-2</v>
      </c>
      <c r="F333" s="13">
        <v>5.6099999999999997E-2</v>
      </c>
      <c r="G333" s="13">
        <v>2.5999999999999999E-2</v>
      </c>
      <c r="H333" s="13">
        <v>4.5999999999999999E-2</v>
      </c>
      <c r="I333" s="1369">
        <v>3.2300000000000002E-2</v>
      </c>
      <c r="J333" s="13">
        <v>3.5999999999999997E-2</v>
      </c>
      <c r="K333" s="13">
        <v>3.5755190623575295E-2</v>
      </c>
      <c r="L333" s="13">
        <v>3.4212915869210443E-2</v>
      </c>
      <c r="M333" s="13">
        <v>2.6520801497923803E-2</v>
      </c>
      <c r="N333" s="13">
        <f t="shared" si="43"/>
        <v>0</v>
      </c>
    </row>
    <row r="334" spans="1:14" x14ac:dyDescent="0.25">
      <c r="A334" s="1368">
        <v>0.16</v>
      </c>
      <c r="B334" s="13">
        <v>4.6778639963027391E-2</v>
      </c>
      <c r="C334" s="13">
        <v>3.1447117368756494E-2</v>
      </c>
      <c r="D334" s="1378">
        <v>5.7299999999999997E-2</v>
      </c>
      <c r="E334" s="1378">
        <v>2.7E-2</v>
      </c>
      <c r="F334" s="13">
        <v>5.7299999999999997E-2</v>
      </c>
      <c r="G334" s="13">
        <v>2.7E-2</v>
      </c>
      <c r="H334" s="13">
        <v>4.6399999999999997E-2</v>
      </c>
      <c r="I334" s="1369">
        <v>3.3099999999999997E-2</v>
      </c>
      <c r="J334" s="13">
        <v>3.5999999999999997E-2</v>
      </c>
      <c r="K334" s="13">
        <v>3.6260211071831104E-2</v>
      </c>
      <c r="L334" s="13">
        <v>3.4758160545606286E-2</v>
      </c>
      <c r="M334" s="13">
        <v>2.6749737429961468E-2</v>
      </c>
      <c r="N334" s="13">
        <f t="shared" si="43"/>
        <v>0</v>
      </c>
    </row>
    <row r="335" spans="1:14" x14ac:dyDescent="0.25">
      <c r="A335" s="1368">
        <v>0.17</v>
      </c>
      <c r="B335" s="13">
        <v>4.7184805234955843E-2</v>
      </c>
      <c r="C335" s="13">
        <v>3.2023409571562668E-2</v>
      </c>
      <c r="D335" s="1378">
        <v>5.8599999999999999E-2</v>
      </c>
      <c r="E335" s="1378">
        <v>2.7E-2</v>
      </c>
      <c r="F335" s="13">
        <v>5.8599999999999999E-2</v>
      </c>
      <c r="G335" s="13">
        <v>2.7E-2</v>
      </c>
      <c r="H335" s="13">
        <v>4.65E-2</v>
      </c>
      <c r="I335" s="1369">
        <v>3.3799999999999997E-2</v>
      </c>
      <c r="J335" s="13">
        <v>3.5999999999999997E-2</v>
      </c>
      <c r="K335" s="13">
        <v>3.641620552976596E-2</v>
      </c>
      <c r="L335" s="13">
        <v>3.5227795129316175E-2</v>
      </c>
      <c r="M335" s="13">
        <v>2.7761189746955007E-2</v>
      </c>
      <c r="N335" s="13">
        <f t="shared" si="43"/>
        <v>0</v>
      </c>
    </row>
    <row r="336" spans="1:14" x14ac:dyDescent="0.25">
      <c r="A336" s="1368">
        <v>0.18</v>
      </c>
      <c r="B336" s="13">
        <v>4.7726020623430974E-2</v>
      </c>
      <c r="C336" s="13">
        <v>3.2435849370547228E-2</v>
      </c>
      <c r="D336" s="1378">
        <v>5.9400000000000001E-2</v>
      </c>
      <c r="E336" s="1378">
        <v>2.8000000000000001E-2</v>
      </c>
      <c r="F336" s="13">
        <v>5.9400000000000001E-2</v>
      </c>
      <c r="G336" s="13">
        <v>2.8000000000000001E-2</v>
      </c>
      <c r="H336" s="13">
        <v>4.6800000000000001E-2</v>
      </c>
      <c r="I336" s="1369">
        <v>3.4599999999999999E-2</v>
      </c>
      <c r="J336" s="13">
        <v>3.6999999999999998E-2</v>
      </c>
      <c r="K336" s="13">
        <v>3.6831501594811709E-2</v>
      </c>
      <c r="L336" s="13">
        <v>3.5766281805465018E-2</v>
      </c>
      <c r="M336" s="13">
        <v>2.7864222906225949E-2</v>
      </c>
      <c r="N336" s="13">
        <f t="shared" si="43"/>
        <v>0</v>
      </c>
    </row>
    <row r="337" spans="1:14" x14ac:dyDescent="0.25">
      <c r="A337" s="1368">
        <v>0.19</v>
      </c>
      <c r="B337" s="13">
        <v>4.8207417613442244E-2</v>
      </c>
      <c r="C337" s="13">
        <v>3.2617914082032656E-2</v>
      </c>
      <c r="D337" s="1378">
        <v>6.0199999999999997E-2</v>
      </c>
      <c r="E337" s="1378">
        <v>2.8000000000000001E-2</v>
      </c>
      <c r="F337" s="13">
        <v>6.0199999999999997E-2</v>
      </c>
      <c r="G337" s="13">
        <v>2.8000000000000001E-2</v>
      </c>
      <c r="H337" s="13">
        <v>4.7899999999999998E-2</v>
      </c>
      <c r="I337" s="1369">
        <v>3.4799999999999998E-2</v>
      </c>
      <c r="J337" s="13">
        <v>3.6999999999999998E-2</v>
      </c>
      <c r="K337" s="13">
        <v>3.7079642188684654E-2</v>
      </c>
      <c r="L337" s="13">
        <v>3.6069323213373812E-2</v>
      </c>
      <c r="M337" s="13">
        <v>2.800237213113629E-2</v>
      </c>
      <c r="N337" s="13">
        <f t="shared" si="43"/>
        <v>0</v>
      </c>
    </row>
    <row r="338" spans="1:14" x14ac:dyDescent="0.25">
      <c r="A338" s="1368">
        <v>0.2</v>
      </c>
      <c r="B338" s="13">
        <v>4.9057389662254675E-2</v>
      </c>
      <c r="C338" s="13">
        <v>3.2922766976607364E-2</v>
      </c>
      <c r="D338" s="1378">
        <v>6.0699999999999997E-2</v>
      </c>
      <c r="E338" s="1378">
        <v>2.8000000000000001E-2</v>
      </c>
      <c r="F338" s="13">
        <v>6.0699999999999997E-2</v>
      </c>
      <c r="G338" s="13">
        <v>2.8000000000000001E-2</v>
      </c>
      <c r="H338" s="13">
        <v>4.87E-2</v>
      </c>
      <c r="I338" s="1369">
        <v>3.5299999999999998E-2</v>
      </c>
      <c r="J338" s="13">
        <v>3.7999999999999999E-2</v>
      </c>
      <c r="K338" s="13">
        <v>3.7483150362418109E-2</v>
      </c>
      <c r="L338" s="13">
        <v>3.6666850769269045E-2</v>
      </c>
      <c r="M338" s="13">
        <v>2.8907372995198393E-2</v>
      </c>
      <c r="N338" s="13">
        <f t="shared" si="43"/>
        <v>0</v>
      </c>
    </row>
    <row r="339" spans="1:14" x14ac:dyDescent="0.25">
      <c r="A339" s="1368">
        <v>0.21</v>
      </c>
      <c r="B339" s="13">
        <v>4.9686212088958993E-2</v>
      </c>
      <c r="C339" s="13">
        <v>3.3159730219366405E-2</v>
      </c>
      <c r="D339" s="1378">
        <v>6.1100000000000002E-2</v>
      </c>
      <c r="E339" s="1378">
        <v>2.8000000000000001E-2</v>
      </c>
      <c r="F339" s="13">
        <v>6.1100000000000002E-2</v>
      </c>
      <c r="G339" s="13">
        <v>2.8000000000000001E-2</v>
      </c>
      <c r="H339" s="13">
        <v>4.9099999999999998E-2</v>
      </c>
      <c r="I339" s="1369">
        <v>3.56E-2</v>
      </c>
      <c r="J339" s="13">
        <v>3.7999999999999999E-2</v>
      </c>
      <c r="K339" s="13">
        <v>3.7978657859237278E-2</v>
      </c>
      <c r="L339" s="13">
        <v>3.7106043470988892E-2</v>
      </c>
      <c r="M339" s="13">
        <v>2.8966580642229827E-2</v>
      </c>
      <c r="N339" s="13">
        <f t="shared" si="43"/>
        <v>0</v>
      </c>
    </row>
    <row r="340" spans="1:14" x14ac:dyDescent="0.25">
      <c r="A340" s="1368">
        <v>0.22</v>
      </c>
      <c r="B340" s="13">
        <v>5.0347901290045072E-2</v>
      </c>
      <c r="C340" s="13">
        <v>3.3422410989305325E-2</v>
      </c>
      <c r="D340" s="1378">
        <v>6.1899999999999997E-2</v>
      </c>
      <c r="E340" s="1378">
        <v>2.9000000000000001E-2</v>
      </c>
      <c r="F340" s="13">
        <v>6.1899999999999997E-2</v>
      </c>
      <c r="G340" s="13">
        <v>2.9000000000000001E-2</v>
      </c>
      <c r="H340" s="13">
        <v>4.9500000000000002E-2</v>
      </c>
      <c r="I340" s="1369">
        <v>3.5999999999999997E-2</v>
      </c>
      <c r="J340" s="13">
        <v>3.9E-2</v>
      </c>
      <c r="K340" s="13">
        <v>3.8666908775230095E-2</v>
      </c>
      <c r="L340" s="13">
        <v>3.755995441111868E-2</v>
      </c>
      <c r="M340" s="13">
        <v>2.9476696173953872E-2</v>
      </c>
      <c r="N340" s="13">
        <f t="shared" si="43"/>
        <v>0</v>
      </c>
    </row>
    <row r="341" spans="1:14" x14ac:dyDescent="0.25">
      <c r="A341" s="1368">
        <v>0.23</v>
      </c>
      <c r="B341" s="13">
        <v>5.1113189498898218E-2</v>
      </c>
      <c r="C341" s="13">
        <v>3.3923069253708381E-2</v>
      </c>
      <c r="D341" s="1378">
        <v>6.2799999999999995E-2</v>
      </c>
      <c r="E341" s="1378">
        <v>2.9000000000000001E-2</v>
      </c>
      <c r="F341" s="13">
        <v>6.2799999999999995E-2</v>
      </c>
      <c r="G341" s="13">
        <v>2.9000000000000001E-2</v>
      </c>
      <c r="H341" s="13">
        <v>4.9799999999999997E-2</v>
      </c>
      <c r="I341" s="1369">
        <v>3.6900000000000002E-2</v>
      </c>
      <c r="J341" s="13">
        <v>3.9E-2</v>
      </c>
      <c r="K341" s="13">
        <v>3.9049198176728347E-2</v>
      </c>
      <c r="L341" s="13">
        <v>3.8016413038457542E-2</v>
      </c>
      <c r="M341" s="13">
        <v>3.1579992383025536E-2</v>
      </c>
      <c r="N341" s="13">
        <f t="shared" si="43"/>
        <v>0</v>
      </c>
    </row>
    <row r="342" spans="1:14" x14ac:dyDescent="0.25">
      <c r="A342" s="1368">
        <v>0.24</v>
      </c>
      <c r="B342" s="13">
        <v>5.1774274989533228E-2</v>
      </c>
      <c r="C342" s="13">
        <v>3.4093511912313162E-2</v>
      </c>
      <c r="D342" s="1378">
        <v>6.3E-2</v>
      </c>
      <c r="E342" s="1378">
        <v>0.03</v>
      </c>
      <c r="F342" s="13">
        <v>6.3E-2</v>
      </c>
      <c r="G342" s="13">
        <v>0.03</v>
      </c>
      <c r="H342" s="13">
        <v>5.0799999999999998E-2</v>
      </c>
      <c r="I342" s="1369">
        <v>3.7199999999999997E-2</v>
      </c>
      <c r="J342" s="13">
        <v>0.04</v>
      </c>
      <c r="K342" s="13">
        <v>3.9107691401299285E-2</v>
      </c>
      <c r="L342" s="13">
        <v>3.8457563433527436E-2</v>
      </c>
      <c r="M342" s="13">
        <v>3.1593529757394101E-2</v>
      </c>
      <c r="N342" s="13">
        <f t="shared" si="43"/>
        <v>0</v>
      </c>
    </row>
    <row r="343" spans="1:14" x14ac:dyDescent="0.25">
      <c r="A343" s="1368">
        <v>0.25</v>
      </c>
      <c r="B343" s="13">
        <v>5.2292564093619327E-2</v>
      </c>
      <c r="C343" s="13">
        <v>3.4397966331648253E-2</v>
      </c>
      <c r="D343" s="1378">
        <v>6.3500000000000001E-2</v>
      </c>
      <c r="E343" s="1378">
        <v>0.03</v>
      </c>
      <c r="F343" s="13">
        <v>6.3500000000000001E-2</v>
      </c>
      <c r="G343" s="13">
        <v>0.03</v>
      </c>
      <c r="H343" s="13">
        <v>5.0999999999999997E-2</v>
      </c>
      <c r="I343" s="1369">
        <v>3.7199999999999997E-2</v>
      </c>
      <c r="J343" s="13">
        <v>0.04</v>
      </c>
      <c r="K343" s="13">
        <v>3.9628760039039479E-2</v>
      </c>
      <c r="L343" s="13">
        <v>3.887682497146306E-2</v>
      </c>
      <c r="M343" s="13">
        <v>3.3572476703404387E-2</v>
      </c>
      <c r="N343" s="13">
        <f t="shared" si="43"/>
        <v>0</v>
      </c>
    </row>
    <row r="344" spans="1:14" x14ac:dyDescent="0.25">
      <c r="A344" s="1368">
        <v>0.26</v>
      </c>
      <c r="B344" s="13">
        <v>5.2598689770024999E-2</v>
      </c>
      <c r="C344" s="13">
        <v>3.4794599690973704E-2</v>
      </c>
      <c r="D344" s="1378">
        <v>6.3799999999999996E-2</v>
      </c>
      <c r="E344" s="1378">
        <v>3.3000000000000002E-2</v>
      </c>
      <c r="F344" s="13">
        <v>6.3799999999999996E-2</v>
      </c>
      <c r="G344" s="13">
        <v>3.3000000000000002E-2</v>
      </c>
      <c r="H344" s="13">
        <v>5.11E-2</v>
      </c>
      <c r="I344" s="1369">
        <v>3.7600000000000001E-2</v>
      </c>
      <c r="J344" s="13">
        <v>0.04</v>
      </c>
      <c r="K344" s="13">
        <v>3.9788428541651759E-2</v>
      </c>
      <c r="L344" s="13">
        <v>3.9194587711591546E-2</v>
      </c>
      <c r="M344" s="13">
        <v>3.3593014650897646E-2</v>
      </c>
      <c r="N344" s="13">
        <f t="shared" si="43"/>
        <v>0</v>
      </c>
    </row>
    <row r="345" spans="1:14" x14ac:dyDescent="0.25">
      <c r="A345" s="1368">
        <v>0.27</v>
      </c>
      <c r="B345" s="13">
        <v>5.2912662441862379E-2</v>
      </c>
      <c r="C345" s="13">
        <v>3.4941793649629009E-2</v>
      </c>
      <c r="D345" s="1378">
        <v>6.3799999999999996E-2</v>
      </c>
      <c r="E345" s="1378">
        <v>3.3000000000000002E-2</v>
      </c>
      <c r="F345" s="13">
        <v>6.3799999999999996E-2</v>
      </c>
      <c r="G345" s="13">
        <v>3.3000000000000002E-2</v>
      </c>
      <c r="H345" s="13">
        <v>5.1200000000000002E-2</v>
      </c>
      <c r="I345" s="1369">
        <v>3.8199999999999998E-2</v>
      </c>
      <c r="J345" s="13">
        <v>0.04</v>
      </c>
      <c r="K345" s="13">
        <v>3.9980255750964644E-2</v>
      </c>
      <c r="L345" s="13">
        <v>3.9564478483652604E-2</v>
      </c>
      <c r="M345" s="13">
        <v>3.5795143436248691E-2</v>
      </c>
      <c r="N345" s="13">
        <f t="shared" si="43"/>
        <v>0</v>
      </c>
    </row>
    <row r="346" spans="1:14" x14ac:dyDescent="0.25">
      <c r="A346" s="1368">
        <v>0.28000000000000003</v>
      </c>
      <c r="B346" s="13">
        <v>5.3228519281984216E-2</v>
      </c>
      <c r="C346" s="13">
        <v>3.5771846237205508E-2</v>
      </c>
      <c r="D346" s="1378">
        <v>6.4100000000000004E-2</v>
      </c>
      <c r="E346" s="1378">
        <v>3.3000000000000002E-2</v>
      </c>
      <c r="F346" s="13">
        <v>6.4100000000000004E-2</v>
      </c>
      <c r="G346" s="13">
        <v>3.3000000000000002E-2</v>
      </c>
      <c r="H346" s="13">
        <v>5.2299999999999999E-2</v>
      </c>
      <c r="I346" s="1369">
        <v>3.8399999999999997E-2</v>
      </c>
      <c r="J346" s="13">
        <v>4.1000000000000002E-2</v>
      </c>
      <c r="K346" s="13">
        <v>4.0484495616973183E-2</v>
      </c>
      <c r="L346" s="13">
        <v>4.0094885570126845E-2</v>
      </c>
      <c r="M346" s="13">
        <v>3.8238644855010093E-2</v>
      </c>
      <c r="N346" s="13">
        <f t="shared" si="43"/>
        <v>0</v>
      </c>
    </row>
    <row r="347" spans="1:14" x14ac:dyDescent="0.25">
      <c r="A347" s="1368">
        <v>0.28999999999999998</v>
      </c>
      <c r="B347" s="13">
        <v>5.3478846996483392E-2</v>
      </c>
      <c r="C347" s="13">
        <v>3.7278747406081107E-2</v>
      </c>
      <c r="D347" s="1378">
        <v>6.4600000000000005E-2</v>
      </c>
      <c r="E347" s="1378">
        <v>3.3000000000000002E-2</v>
      </c>
      <c r="F347" s="13">
        <v>6.4600000000000005E-2</v>
      </c>
      <c r="G347" s="13">
        <v>3.3000000000000002E-2</v>
      </c>
      <c r="H347" s="13">
        <v>5.2400000000000002E-2</v>
      </c>
      <c r="I347" s="1369">
        <v>3.8399999999999997E-2</v>
      </c>
      <c r="J347" s="13">
        <v>4.1000000000000002E-2</v>
      </c>
      <c r="K347" s="13">
        <v>4.0579373601313813E-2</v>
      </c>
      <c r="L347" s="13">
        <v>4.0476582309473229E-2</v>
      </c>
      <c r="M347" s="13">
        <v>4.0753662375161565E-2</v>
      </c>
      <c r="N347" s="13">
        <f t="shared" si="43"/>
        <v>0</v>
      </c>
    </row>
    <row r="348" spans="1:14" x14ac:dyDescent="0.25">
      <c r="A348" s="1368">
        <v>0.3</v>
      </c>
      <c r="B348" s="13">
        <v>5.3961291927271469E-2</v>
      </c>
      <c r="C348" s="13">
        <v>3.7631904695425565E-2</v>
      </c>
      <c r="D348" s="1378">
        <v>6.4799999999999996E-2</v>
      </c>
      <c r="E348" s="1378">
        <v>3.4000000000000002E-2</v>
      </c>
      <c r="F348" s="13">
        <v>6.4799999999999996E-2</v>
      </c>
      <c r="G348" s="13">
        <v>3.4000000000000002E-2</v>
      </c>
      <c r="H348" s="13">
        <v>5.2499999999999998E-2</v>
      </c>
      <c r="I348" s="1369">
        <v>3.8600000000000002E-2</v>
      </c>
      <c r="J348" s="13">
        <v>4.1000000000000002E-2</v>
      </c>
      <c r="K348" s="13">
        <v>4.0911046009596198E-2</v>
      </c>
      <c r="L348" s="13">
        <v>4.0753662375161565E-2</v>
      </c>
      <c r="M348" s="13">
        <v>4.1290784964519607E-2</v>
      </c>
      <c r="N348" s="13">
        <f t="shared" si="43"/>
        <v>0</v>
      </c>
    </row>
    <row r="349" spans="1:14" x14ac:dyDescent="0.25">
      <c r="A349" s="1368">
        <v>0.31</v>
      </c>
      <c r="B349" s="13">
        <v>5.4439127142429926E-2</v>
      </c>
      <c r="C349" s="13">
        <v>3.8136982536051911E-2</v>
      </c>
      <c r="D349" s="1378">
        <v>6.4899999999999999E-2</v>
      </c>
      <c r="E349" s="1378">
        <v>3.4000000000000002E-2</v>
      </c>
      <c r="F349" s="13">
        <v>6.4899999999999999E-2</v>
      </c>
      <c r="G349" s="13">
        <v>3.4000000000000002E-2</v>
      </c>
      <c r="H349" s="13">
        <v>5.2600000000000001E-2</v>
      </c>
      <c r="I349" s="1369">
        <v>3.8800000000000001E-2</v>
      </c>
      <c r="J349" s="13">
        <v>4.1000000000000002E-2</v>
      </c>
      <c r="K349" s="13">
        <v>4.1093455863445705E-2</v>
      </c>
      <c r="L349" s="13">
        <v>4.1127522812238276E-2</v>
      </c>
      <c r="M349" s="13">
        <v>4.1774207939250775E-2</v>
      </c>
      <c r="N349" s="13">
        <f t="shared" si="43"/>
        <v>0</v>
      </c>
    </row>
    <row r="350" spans="1:14" x14ac:dyDescent="0.25">
      <c r="A350" s="1368">
        <v>0.32</v>
      </c>
      <c r="B350" s="13">
        <v>5.4849449028207244E-2</v>
      </c>
      <c r="C350" s="13">
        <v>3.8435016350281126E-2</v>
      </c>
      <c r="D350" s="1378">
        <v>6.5299999999999997E-2</v>
      </c>
      <c r="E350" s="1378">
        <v>3.5999999999999997E-2</v>
      </c>
      <c r="F350" s="13">
        <v>6.5299999999999997E-2</v>
      </c>
      <c r="G350" s="13">
        <v>3.5999999999999997E-2</v>
      </c>
      <c r="H350" s="13">
        <v>5.3199999999999997E-2</v>
      </c>
      <c r="I350" s="1369">
        <v>3.9199999999999999E-2</v>
      </c>
      <c r="J350" s="13">
        <v>4.2000000000000003E-2</v>
      </c>
      <c r="K350" s="13">
        <v>4.1804775621237113E-2</v>
      </c>
      <c r="L350" s="13">
        <v>4.1607471781933796E-2</v>
      </c>
      <c r="M350" s="13">
        <v>4.2656848100384046E-2</v>
      </c>
      <c r="N350" s="13">
        <f t="shared" si="43"/>
        <v>0</v>
      </c>
    </row>
    <row r="351" spans="1:14" x14ac:dyDescent="0.25">
      <c r="A351" s="1368">
        <v>0.33</v>
      </c>
      <c r="B351" s="13">
        <v>5.5287441329522902E-2</v>
      </c>
      <c r="C351" s="13">
        <v>3.9178654212413525E-2</v>
      </c>
      <c r="D351" s="1378">
        <v>6.5500000000000003E-2</v>
      </c>
      <c r="E351" s="1378">
        <v>3.5999999999999997E-2</v>
      </c>
      <c r="F351" s="13">
        <v>6.5500000000000003E-2</v>
      </c>
      <c r="G351" s="13">
        <v>3.5999999999999997E-2</v>
      </c>
      <c r="H351" s="13">
        <v>5.3699999999999998E-2</v>
      </c>
      <c r="I351" s="1369">
        <v>3.9800000000000002E-2</v>
      </c>
      <c r="J351" s="13">
        <v>4.2000000000000003E-2</v>
      </c>
      <c r="K351" s="13">
        <v>4.216285653138048E-2</v>
      </c>
      <c r="L351" s="13">
        <v>4.1851591825251014E-2</v>
      </c>
      <c r="M351" s="13">
        <v>4.2770512184671969E-2</v>
      </c>
      <c r="N351" s="13">
        <f t="shared" si="43"/>
        <v>0</v>
      </c>
    </row>
    <row r="352" spans="1:14" x14ac:dyDescent="0.25">
      <c r="A352" s="1368">
        <v>0.34</v>
      </c>
      <c r="B352" s="13">
        <v>5.5534668714628282E-2</v>
      </c>
      <c r="C352" s="13">
        <v>3.9579277284946729E-2</v>
      </c>
      <c r="D352" s="1378">
        <v>6.5699999999999995E-2</v>
      </c>
      <c r="E352" s="1378">
        <v>3.6999999999999998E-2</v>
      </c>
      <c r="F352" s="13">
        <v>6.5699999999999995E-2</v>
      </c>
      <c r="G352" s="13">
        <v>3.6999999999999998E-2</v>
      </c>
      <c r="H352" s="13">
        <v>5.3800000000000001E-2</v>
      </c>
      <c r="I352" s="1369">
        <v>4.0300000000000002E-2</v>
      </c>
      <c r="J352" s="13">
        <v>4.2999999999999997E-2</v>
      </c>
      <c r="K352" s="13">
        <v>4.2258803742832904E-2</v>
      </c>
      <c r="L352" s="13">
        <v>4.2436908224832426E-2</v>
      </c>
      <c r="M352" s="13">
        <v>4.4554897571313888E-2</v>
      </c>
      <c r="N352" s="13">
        <f t="shared" si="43"/>
        <v>0</v>
      </c>
    </row>
    <row r="353" spans="1:14" x14ac:dyDescent="0.25">
      <c r="A353" s="1368">
        <v>0.35</v>
      </c>
      <c r="B353" s="13">
        <v>5.561264473604266E-2</v>
      </c>
      <c r="C353" s="13">
        <v>3.9765526657987542E-2</v>
      </c>
      <c r="D353" s="1378">
        <v>6.6000000000000003E-2</v>
      </c>
      <c r="E353" s="1378">
        <v>3.6999999999999998E-2</v>
      </c>
      <c r="F353" s="13">
        <v>6.6000000000000003E-2</v>
      </c>
      <c r="G353" s="13">
        <v>3.6999999999999998E-2</v>
      </c>
      <c r="H353" s="13">
        <v>5.3999999999999999E-2</v>
      </c>
      <c r="I353" s="1369">
        <v>4.0399999999999998E-2</v>
      </c>
      <c r="J353" s="13">
        <v>4.2999999999999997E-2</v>
      </c>
      <c r="K353" s="13">
        <v>4.245010641192392E-2</v>
      </c>
      <c r="L353" s="13">
        <v>4.2670963346650777E-2</v>
      </c>
      <c r="M353" s="13">
        <v>4.5634153631916904E-2</v>
      </c>
      <c r="N353" s="13">
        <f t="shared" si="43"/>
        <v>0</v>
      </c>
    </row>
    <row r="354" spans="1:14" x14ac:dyDescent="0.25">
      <c r="A354" s="1368">
        <v>0.36</v>
      </c>
      <c r="B354" s="13">
        <v>5.5754940328876228E-2</v>
      </c>
      <c r="C354" s="13">
        <v>4.0172014343707978E-2</v>
      </c>
      <c r="D354" s="1378">
        <v>6.6299999999999998E-2</v>
      </c>
      <c r="E354" s="1378">
        <v>3.7999999999999999E-2</v>
      </c>
      <c r="F354" s="13">
        <v>6.6299999999999998E-2</v>
      </c>
      <c r="G354" s="13">
        <v>3.7999999999999999E-2</v>
      </c>
      <c r="H354" s="13">
        <v>5.4100000000000002E-2</v>
      </c>
      <c r="I354" s="1369">
        <v>4.0500000000000001E-2</v>
      </c>
      <c r="J354" s="13">
        <v>4.2999999999999997E-2</v>
      </c>
      <c r="K354" s="13">
        <v>4.273267352646639E-2</v>
      </c>
      <c r="L354" s="13">
        <v>4.3076476087492641E-2</v>
      </c>
      <c r="M354" s="13">
        <v>4.5678971580426074E-2</v>
      </c>
      <c r="N354" s="13">
        <f t="shared" si="43"/>
        <v>0</v>
      </c>
    </row>
    <row r="355" spans="1:14" x14ac:dyDescent="0.25">
      <c r="A355" s="1368">
        <v>0.37</v>
      </c>
      <c r="B355" s="13">
        <v>5.5997734644881121E-2</v>
      </c>
      <c r="C355" s="13">
        <v>4.0212858809124924E-2</v>
      </c>
      <c r="D355" s="1378">
        <v>6.6400000000000001E-2</v>
      </c>
      <c r="E355" s="1378">
        <v>3.7999999999999999E-2</v>
      </c>
      <c r="F355" s="13">
        <v>6.6400000000000001E-2</v>
      </c>
      <c r="G355" s="13">
        <v>3.7999999999999999E-2</v>
      </c>
      <c r="H355" s="13">
        <v>5.4899999999999997E-2</v>
      </c>
      <c r="I355" s="1369">
        <v>4.0800000000000003E-2</v>
      </c>
      <c r="J355" s="13">
        <v>4.2999999999999997E-2</v>
      </c>
      <c r="K355" s="13">
        <v>4.3056487929111473E-2</v>
      </c>
      <c r="L355" s="13">
        <v>4.327874524995106E-2</v>
      </c>
      <c r="M355" s="13">
        <v>4.6123186148185537E-2</v>
      </c>
      <c r="N355" s="13">
        <f t="shared" si="43"/>
        <v>0</v>
      </c>
    </row>
    <row r="356" spans="1:14" x14ac:dyDescent="0.25">
      <c r="A356" s="1368">
        <v>0.38</v>
      </c>
      <c r="B356" s="13">
        <v>5.6197444051001577E-2</v>
      </c>
      <c r="C356" s="13">
        <v>4.0363803656989668E-2</v>
      </c>
      <c r="D356" s="1378">
        <v>6.6699999999999995E-2</v>
      </c>
      <c r="E356" s="1378">
        <v>3.9E-2</v>
      </c>
      <c r="F356" s="13">
        <v>6.6699999999999995E-2</v>
      </c>
      <c r="G356" s="13">
        <v>3.9E-2</v>
      </c>
      <c r="H356" s="13">
        <v>5.5800000000000002E-2</v>
      </c>
      <c r="I356" s="1369">
        <v>4.0899999999999999E-2</v>
      </c>
      <c r="J356" s="13">
        <v>4.3999999999999997E-2</v>
      </c>
      <c r="K356" s="13">
        <v>4.3549928939586167E-2</v>
      </c>
      <c r="L356" s="13">
        <v>4.3532821795503142E-2</v>
      </c>
      <c r="M356" s="13">
        <v>4.6207746703393553E-2</v>
      </c>
      <c r="N356" s="13">
        <f t="shared" si="43"/>
        <v>0</v>
      </c>
    </row>
    <row r="357" spans="1:14" x14ac:dyDescent="0.25">
      <c r="A357" s="1368">
        <v>0.39</v>
      </c>
      <c r="B357" s="13">
        <v>5.6308726898548003E-2</v>
      </c>
      <c r="C357" s="13">
        <v>4.0760809534507017E-2</v>
      </c>
      <c r="D357" s="1378">
        <v>6.7100000000000007E-2</v>
      </c>
      <c r="E357" s="1378">
        <v>3.9E-2</v>
      </c>
      <c r="F357" s="13">
        <v>6.7100000000000007E-2</v>
      </c>
      <c r="G357" s="13">
        <v>3.9E-2</v>
      </c>
      <c r="H357" s="13">
        <v>5.67E-2</v>
      </c>
      <c r="I357" s="1369">
        <v>4.1099999999999998E-2</v>
      </c>
      <c r="J357" s="13">
        <v>4.3999999999999997E-2</v>
      </c>
      <c r="K357" s="13">
        <v>4.3700325322565389E-2</v>
      </c>
      <c r="L357" s="13">
        <v>4.4055641520667745E-2</v>
      </c>
      <c r="M357" s="13">
        <v>5.0555060206744905E-2</v>
      </c>
      <c r="N357" s="13">
        <f t="shared" si="43"/>
        <v>0</v>
      </c>
    </row>
    <row r="358" spans="1:14" x14ac:dyDescent="0.25">
      <c r="A358" s="1368">
        <v>0.4</v>
      </c>
      <c r="B358" s="13">
        <v>5.6642315892142289E-2</v>
      </c>
      <c r="C358" s="13">
        <v>4.102512390016546E-2</v>
      </c>
      <c r="D358" s="1378">
        <v>6.7699999999999996E-2</v>
      </c>
      <c r="E358" s="1378">
        <v>0.04</v>
      </c>
      <c r="F358" s="13">
        <v>6.7699999999999996E-2</v>
      </c>
      <c r="G358" s="13">
        <v>0.04</v>
      </c>
      <c r="H358" s="13">
        <v>5.6899999999999999E-2</v>
      </c>
      <c r="I358" s="1369">
        <v>4.2000000000000003E-2</v>
      </c>
      <c r="J358" s="13">
        <v>4.4999999999999998E-2</v>
      </c>
      <c r="K358" s="13">
        <v>4.4339630492690713E-2</v>
      </c>
      <c r="L358" s="13">
        <v>4.4335774116182121E-2</v>
      </c>
      <c r="M358" s="13">
        <v>5.0995807852568312E-2</v>
      </c>
      <c r="N358" s="13">
        <f t="shared" si="43"/>
        <v>0</v>
      </c>
    </row>
    <row r="359" spans="1:14" x14ac:dyDescent="0.25">
      <c r="A359" s="1368">
        <v>0.41</v>
      </c>
      <c r="B359" s="13">
        <v>5.7127078126693404E-2</v>
      </c>
      <c r="C359" s="13">
        <v>4.1156234290507611E-2</v>
      </c>
      <c r="D359" s="1378">
        <v>6.8000000000000005E-2</v>
      </c>
      <c r="E359" s="1378">
        <v>0.04</v>
      </c>
      <c r="F359" s="13">
        <v>6.8000000000000005E-2</v>
      </c>
      <c r="G359" s="13">
        <v>0.04</v>
      </c>
      <c r="H359" s="13">
        <v>5.7099999999999998E-2</v>
      </c>
      <c r="I359" s="1369">
        <v>4.2099999999999999E-2</v>
      </c>
      <c r="J359" s="13">
        <v>4.4999999999999998E-2</v>
      </c>
      <c r="K359" s="13">
        <v>4.4437806569712787E-2</v>
      </c>
      <c r="L359" s="13">
        <v>4.4601467341110659E-2</v>
      </c>
      <c r="M359" s="13">
        <v>5.1942761844122609E-2</v>
      </c>
      <c r="N359" s="13">
        <f t="shared" si="43"/>
        <v>0</v>
      </c>
    </row>
    <row r="360" spans="1:14" x14ac:dyDescent="0.25">
      <c r="A360" s="1368">
        <v>0.42</v>
      </c>
      <c r="B360" s="13">
        <v>5.7391119680696039E-2</v>
      </c>
      <c r="C360" s="13">
        <v>4.115889700791845E-2</v>
      </c>
      <c r="D360" s="1378">
        <v>6.8400000000000002E-2</v>
      </c>
      <c r="E360" s="1378">
        <v>0.04</v>
      </c>
      <c r="F360" s="13">
        <v>6.8400000000000002E-2</v>
      </c>
      <c r="G360" s="13">
        <v>0.04</v>
      </c>
      <c r="H360" s="13">
        <v>5.7299999999999997E-2</v>
      </c>
      <c r="I360" s="1369">
        <v>4.2200000000000001E-2</v>
      </c>
      <c r="J360" s="13">
        <v>4.4999999999999998E-2</v>
      </c>
      <c r="K360" s="13">
        <v>4.4850196500406149E-2</v>
      </c>
      <c r="L360" s="13">
        <v>4.4941791588474049E-2</v>
      </c>
      <c r="M360" s="13">
        <v>5.4801262898611071E-2</v>
      </c>
      <c r="N360" s="13">
        <f t="shared" si="43"/>
        <v>0</v>
      </c>
    </row>
    <row r="361" spans="1:14" x14ac:dyDescent="0.25">
      <c r="A361" s="1368">
        <v>0.43</v>
      </c>
      <c r="B361" s="13">
        <v>5.7567274185278329E-2</v>
      </c>
      <c r="C361" s="13">
        <v>4.1165806979662371E-2</v>
      </c>
      <c r="D361" s="1378">
        <v>6.8699999999999997E-2</v>
      </c>
      <c r="E361" s="1378">
        <v>0.04</v>
      </c>
      <c r="F361" s="13">
        <v>6.8699999999999997E-2</v>
      </c>
      <c r="G361" s="13">
        <v>0.04</v>
      </c>
      <c r="H361" s="13">
        <v>5.7599999999999998E-2</v>
      </c>
      <c r="I361" s="1369">
        <v>4.2200000000000001E-2</v>
      </c>
      <c r="J361" s="13">
        <v>4.4999999999999998E-2</v>
      </c>
      <c r="K361" s="13">
        <v>4.5318758325262096E-2</v>
      </c>
      <c r="L361" s="13">
        <v>4.5076892082045183E-2</v>
      </c>
      <c r="M361" s="13">
        <v>5.4952712079263319E-2</v>
      </c>
      <c r="N361" s="13">
        <f t="shared" si="43"/>
        <v>0</v>
      </c>
    </row>
    <row r="362" spans="1:14" x14ac:dyDescent="0.25">
      <c r="A362" s="1368">
        <v>0.44</v>
      </c>
      <c r="B362" s="13">
        <v>5.7571052519687013E-2</v>
      </c>
      <c r="C362" s="13">
        <v>4.2109516990048459E-2</v>
      </c>
      <c r="D362" s="1378">
        <v>6.88E-2</v>
      </c>
      <c r="E362" s="1378">
        <v>4.1000000000000002E-2</v>
      </c>
      <c r="F362" s="13">
        <v>6.88E-2</v>
      </c>
      <c r="G362" s="13">
        <v>4.1000000000000002E-2</v>
      </c>
      <c r="H362" s="13">
        <v>5.8299999999999998E-2</v>
      </c>
      <c r="I362" s="1369">
        <v>4.24E-2</v>
      </c>
      <c r="J362" s="13">
        <v>4.5999999999999999E-2</v>
      </c>
      <c r="K362" s="13">
        <v>4.6103028903866618E-2</v>
      </c>
      <c r="L362" s="13">
        <v>4.5400319789394794E-2</v>
      </c>
      <c r="M362" s="13">
        <v>5.5362740191373071E-2</v>
      </c>
      <c r="N362" s="13">
        <f t="shared" si="43"/>
        <v>0</v>
      </c>
    </row>
    <row r="363" spans="1:14" x14ac:dyDescent="0.25">
      <c r="A363" s="1368">
        <v>0.45</v>
      </c>
      <c r="B363" s="13">
        <v>5.7574113088448689E-2</v>
      </c>
      <c r="C363" s="13">
        <v>4.2379840939049576E-2</v>
      </c>
      <c r="D363" s="1378">
        <v>6.9000000000000006E-2</v>
      </c>
      <c r="E363" s="1378">
        <v>4.1000000000000002E-2</v>
      </c>
      <c r="F363" s="13">
        <v>6.9000000000000006E-2</v>
      </c>
      <c r="G363" s="13">
        <v>4.1000000000000002E-2</v>
      </c>
      <c r="H363" s="13">
        <v>5.8500000000000003E-2</v>
      </c>
      <c r="I363" s="1369">
        <v>4.2599999999999999E-2</v>
      </c>
      <c r="J363" s="13">
        <v>4.5999999999999999E-2</v>
      </c>
      <c r="K363" s="13">
        <v>4.6425783207989103E-2</v>
      </c>
      <c r="L363" s="13">
        <v>4.552464342935203E-2</v>
      </c>
      <c r="M363" s="13">
        <v>5.6032662001165315E-2</v>
      </c>
      <c r="N363" s="13">
        <f t="shared" si="43"/>
        <v>0</v>
      </c>
    </row>
    <row r="364" spans="1:14" x14ac:dyDescent="0.25">
      <c r="A364" s="1368">
        <v>0.46</v>
      </c>
      <c r="B364" s="13">
        <v>5.775367982221901E-2</v>
      </c>
      <c r="C364" s="13">
        <v>4.3208382905026828E-2</v>
      </c>
      <c r="D364" s="1378">
        <v>6.9199999999999998E-2</v>
      </c>
      <c r="E364" s="1378">
        <v>4.1000000000000002E-2</v>
      </c>
      <c r="F364" s="13">
        <v>6.9199999999999998E-2</v>
      </c>
      <c r="G364" s="13">
        <v>4.1000000000000002E-2</v>
      </c>
      <c r="H364" s="13">
        <v>5.8700000000000002E-2</v>
      </c>
      <c r="I364" s="1369">
        <v>4.2700000000000002E-2</v>
      </c>
      <c r="J364" s="13">
        <v>4.5999999999999999E-2</v>
      </c>
      <c r="K364" s="13">
        <v>4.6819325477103962E-2</v>
      </c>
      <c r="L364" s="13">
        <v>4.5680036515335087E-2</v>
      </c>
      <c r="M364" s="13">
        <v>5.6323619326136248E-2</v>
      </c>
      <c r="N364" s="13">
        <f t="shared" si="43"/>
        <v>0</v>
      </c>
    </row>
    <row r="365" spans="1:14" x14ac:dyDescent="0.25">
      <c r="A365" s="1368">
        <v>0.47</v>
      </c>
      <c r="B365" s="13">
        <v>5.7932809081582048E-2</v>
      </c>
      <c r="C365" s="13">
        <v>4.3214194755505801E-2</v>
      </c>
      <c r="D365" s="1378">
        <v>6.93E-2</v>
      </c>
      <c r="E365" s="1378">
        <v>4.1000000000000002E-2</v>
      </c>
      <c r="F365" s="13">
        <v>6.93E-2</v>
      </c>
      <c r="G365" s="13">
        <v>4.1000000000000002E-2</v>
      </c>
      <c r="H365" s="13">
        <v>5.9200000000000003E-2</v>
      </c>
      <c r="I365" s="1369">
        <v>4.3700000000000003E-2</v>
      </c>
      <c r="J365" s="13">
        <v>4.5999999999999999E-2</v>
      </c>
      <c r="K365" s="13">
        <v>4.720140568206193E-2</v>
      </c>
      <c r="L365" s="13">
        <v>4.5945411854587857E-2</v>
      </c>
      <c r="M365" s="13">
        <v>5.6554541189981752E-2</v>
      </c>
      <c r="N365" s="13">
        <f t="shared" si="43"/>
        <v>0</v>
      </c>
    </row>
    <row r="366" spans="1:14" x14ac:dyDescent="0.25">
      <c r="A366" s="1368">
        <v>0.48</v>
      </c>
      <c r="B366" s="13">
        <v>5.8339217872693874E-2</v>
      </c>
      <c r="C366" s="13">
        <v>4.3608220790383977E-2</v>
      </c>
      <c r="D366" s="1378">
        <v>6.9800000000000001E-2</v>
      </c>
      <c r="E366" s="1378">
        <v>4.2999999999999997E-2</v>
      </c>
      <c r="F366" s="13">
        <v>6.9800000000000001E-2</v>
      </c>
      <c r="G366" s="13">
        <v>4.2999999999999997E-2</v>
      </c>
      <c r="H366" s="13">
        <v>5.96E-2</v>
      </c>
      <c r="I366" s="1369">
        <v>4.41E-2</v>
      </c>
      <c r="J366" s="13">
        <v>4.7E-2</v>
      </c>
      <c r="K366" s="13">
        <v>4.8325778394428073E-2</v>
      </c>
      <c r="L366" s="13">
        <v>4.6103918067686829E-2</v>
      </c>
      <c r="M366" s="13">
        <v>5.7878439908588014E-2</v>
      </c>
      <c r="N366" s="13">
        <f t="shared" si="43"/>
        <v>0</v>
      </c>
    </row>
    <row r="367" spans="1:14" x14ac:dyDescent="0.25">
      <c r="A367" s="1368">
        <v>0.49</v>
      </c>
      <c r="B367" s="13">
        <v>5.8661194698531163E-2</v>
      </c>
      <c r="C367" s="13">
        <v>4.4130006405636961E-2</v>
      </c>
      <c r="D367" s="1378">
        <v>6.9900000000000004E-2</v>
      </c>
      <c r="E367" s="1378">
        <v>4.2999999999999997E-2</v>
      </c>
      <c r="F367" s="13">
        <v>6.9900000000000004E-2</v>
      </c>
      <c r="G367" s="13">
        <v>4.2999999999999997E-2</v>
      </c>
      <c r="H367" s="13">
        <v>6.0299999999999999E-2</v>
      </c>
      <c r="I367" s="1369">
        <v>4.41E-2</v>
      </c>
      <c r="J367" s="13">
        <v>4.7E-2</v>
      </c>
      <c r="K367" s="13">
        <v>4.8971365668857118E-2</v>
      </c>
      <c r="L367" s="13">
        <v>4.6300394365783884E-2</v>
      </c>
      <c r="M367" s="13">
        <v>5.8004271381822202E-2</v>
      </c>
      <c r="N367" s="13">
        <f t="shared" si="43"/>
        <v>0</v>
      </c>
    </row>
    <row r="368" spans="1:14" x14ac:dyDescent="0.25">
      <c r="A368" s="1368">
        <v>0.5</v>
      </c>
      <c r="B368" s="13">
        <v>5.8960142652305807E-2</v>
      </c>
      <c r="C368" s="13">
        <v>4.4395062382433181E-2</v>
      </c>
      <c r="D368" s="1378">
        <v>7.0300000000000001E-2</v>
      </c>
      <c r="E368" s="1378">
        <v>4.3999999999999997E-2</v>
      </c>
      <c r="F368" s="13">
        <v>7.0300000000000001E-2</v>
      </c>
      <c r="G368" s="13">
        <v>4.3999999999999997E-2</v>
      </c>
      <c r="H368" s="13">
        <v>6.08E-2</v>
      </c>
      <c r="I368" s="1369">
        <v>4.4400000000000002E-2</v>
      </c>
      <c r="J368" s="13">
        <v>4.8000000000000001E-2</v>
      </c>
      <c r="K368" s="13">
        <v>4.9159785865213551E-2</v>
      </c>
      <c r="L368" s="13">
        <v>4.661593978471619E-2</v>
      </c>
      <c r="M368" s="13">
        <v>5.8671090076835457E-2</v>
      </c>
      <c r="N368" s="13">
        <f t="shared" si="43"/>
        <v>0</v>
      </c>
    </row>
    <row r="369" spans="1:14" x14ac:dyDescent="0.25">
      <c r="A369" s="1368">
        <v>0.51</v>
      </c>
      <c r="B369" s="13">
        <v>5.9520430823536266E-2</v>
      </c>
      <c r="C369" s="13">
        <v>4.4577121685262698E-2</v>
      </c>
      <c r="D369" s="1378">
        <v>7.0999999999999994E-2</v>
      </c>
      <c r="E369" s="1378">
        <v>4.3999999999999997E-2</v>
      </c>
      <c r="F369" s="13">
        <v>7.0999999999999994E-2</v>
      </c>
      <c r="G369" s="13">
        <v>4.3999999999999997E-2</v>
      </c>
      <c r="H369" s="13">
        <v>6.0900000000000003E-2</v>
      </c>
      <c r="I369" s="1369">
        <v>4.4699999999999997E-2</v>
      </c>
      <c r="J369" s="13">
        <v>4.8000000000000001E-2</v>
      </c>
      <c r="K369" s="13">
        <v>4.9647937327404482E-2</v>
      </c>
      <c r="L369" s="13">
        <v>4.6875999708278472E-2</v>
      </c>
      <c r="M369" s="13">
        <v>5.8957147505657601E-2</v>
      </c>
      <c r="N369" s="13">
        <f t="shared" si="43"/>
        <v>0</v>
      </c>
    </row>
    <row r="370" spans="1:14" x14ac:dyDescent="0.25">
      <c r="A370" s="1368">
        <v>0.52</v>
      </c>
      <c r="B370" s="13">
        <v>6.0218858919723318E-2</v>
      </c>
      <c r="C370" s="13">
        <v>4.4647293012378519E-2</v>
      </c>
      <c r="D370" s="1378">
        <v>7.1599999999999997E-2</v>
      </c>
      <c r="E370" s="1378">
        <v>4.3999999999999997E-2</v>
      </c>
      <c r="F370" s="13">
        <v>7.1599999999999997E-2</v>
      </c>
      <c r="G370" s="13">
        <v>4.3999999999999997E-2</v>
      </c>
      <c r="H370" s="13">
        <v>6.0999999999999999E-2</v>
      </c>
      <c r="I370" s="1369">
        <v>4.4900000000000002E-2</v>
      </c>
      <c r="J370" s="13">
        <v>4.8000000000000001E-2</v>
      </c>
      <c r="K370" s="13">
        <v>4.9923497351742271E-2</v>
      </c>
      <c r="L370" s="13">
        <v>4.7089476207817262E-2</v>
      </c>
      <c r="M370" s="13">
        <v>5.9745937139401108E-2</v>
      </c>
      <c r="N370" s="13">
        <f t="shared" si="43"/>
        <v>0</v>
      </c>
    </row>
    <row r="371" spans="1:14" x14ac:dyDescent="0.25">
      <c r="A371" s="1368">
        <v>0.53</v>
      </c>
      <c r="B371" s="13">
        <v>6.0666853588835681E-2</v>
      </c>
      <c r="C371" s="13">
        <v>4.4655299665020749E-2</v>
      </c>
      <c r="D371" s="1378">
        <v>7.17E-2</v>
      </c>
      <c r="E371" s="1378">
        <v>4.3999999999999997E-2</v>
      </c>
      <c r="F371" s="13">
        <v>7.17E-2</v>
      </c>
      <c r="G371" s="13">
        <v>4.3999999999999997E-2</v>
      </c>
      <c r="H371" s="13">
        <v>6.1199999999999997E-2</v>
      </c>
      <c r="I371" s="1369">
        <v>4.5900000000000003E-2</v>
      </c>
      <c r="J371" s="13">
        <v>4.8000000000000001E-2</v>
      </c>
      <c r="K371" s="13">
        <v>5.0608974665993005E-2</v>
      </c>
      <c r="L371" s="13">
        <v>4.7258780664003006E-2</v>
      </c>
      <c r="M371" s="13">
        <v>6.0431660492920009E-2</v>
      </c>
      <c r="N371" s="13">
        <f t="shared" si="43"/>
        <v>0</v>
      </c>
    </row>
    <row r="372" spans="1:14" x14ac:dyDescent="0.25">
      <c r="A372" s="1368">
        <v>0.54</v>
      </c>
      <c r="B372" s="13">
        <v>6.1191620832270782E-2</v>
      </c>
      <c r="C372" s="13">
        <v>4.4695146110560441E-2</v>
      </c>
      <c r="D372" s="1378">
        <v>7.17E-2</v>
      </c>
      <c r="E372" s="1378">
        <v>4.5999999999999999E-2</v>
      </c>
      <c r="F372" s="13">
        <v>7.17E-2</v>
      </c>
      <c r="G372" s="13">
        <v>4.5999999999999999E-2</v>
      </c>
      <c r="H372" s="13">
        <v>6.1400000000000003E-2</v>
      </c>
      <c r="I372" s="1369">
        <v>4.7199999999999999E-2</v>
      </c>
      <c r="J372" s="13">
        <v>4.9000000000000002E-2</v>
      </c>
      <c r="K372" s="13">
        <v>5.120708096025791E-2</v>
      </c>
      <c r="L372" s="13">
        <v>4.7543652950089277E-2</v>
      </c>
      <c r="M372" s="13">
        <v>6.1741082624414044E-2</v>
      </c>
      <c r="N372" s="13">
        <f t="shared" si="43"/>
        <v>0</v>
      </c>
    </row>
    <row r="373" spans="1:14" x14ac:dyDescent="0.25">
      <c r="A373" s="1368">
        <v>0.55000000000000004</v>
      </c>
      <c r="B373" s="13">
        <v>6.139158981977081E-2</v>
      </c>
      <c r="C373" s="13">
        <v>4.4772338776247145E-2</v>
      </c>
      <c r="D373" s="1378">
        <v>7.1800000000000003E-2</v>
      </c>
      <c r="E373" s="1378">
        <v>4.5999999999999999E-2</v>
      </c>
      <c r="F373" s="13">
        <v>7.1800000000000003E-2</v>
      </c>
      <c r="G373" s="13">
        <v>4.5999999999999999E-2</v>
      </c>
      <c r="H373" s="13">
        <v>6.1499999999999999E-2</v>
      </c>
      <c r="I373" s="1369">
        <v>4.7500000000000001E-2</v>
      </c>
      <c r="J373" s="13">
        <v>4.9000000000000002E-2</v>
      </c>
      <c r="K373" s="13">
        <v>5.1440264568808375E-2</v>
      </c>
      <c r="L373" s="13">
        <v>4.7930185142225606E-2</v>
      </c>
      <c r="M373" s="13">
        <v>6.2631785911313992E-2</v>
      </c>
      <c r="N373" s="13">
        <f t="shared" si="43"/>
        <v>0</v>
      </c>
    </row>
    <row r="374" spans="1:14" x14ac:dyDescent="0.25">
      <c r="A374" s="1368">
        <v>0.56000000000000005</v>
      </c>
      <c r="B374" s="13">
        <v>6.1407912731072684E-2</v>
      </c>
      <c r="C374" s="13">
        <v>4.485605648592516E-2</v>
      </c>
      <c r="D374" s="1378">
        <v>7.1900000000000006E-2</v>
      </c>
      <c r="E374" s="1378">
        <v>4.7E-2</v>
      </c>
      <c r="F374" s="13">
        <v>7.1900000000000006E-2</v>
      </c>
      <c r="G374" s="13">
        <v>4.7E-2</v>
      </c>
      <c r="H374" s="13">
        <v>6.3E-2</v>
      </c>
      <c r="I374" s="1369">
        <v>4.7899999999999998E-2</v>
      </c>
      <c r="J374" s="13">
        <v>4.9000000000000002E-2</v>
      </c>
      <c r="K374" s="13">
        <v>5.1640091495170189E-2</v>
      </c>
      <c r="L374" s="13">
        <v>4.8211349348980227E-2</v>
      </c>
      <c r="M374" s="13">
        <v>6.2745760822370031E-2</v>
      </c>
      <c r="N374" s="13">
        <f t="shared" si="43"/>
        <v>0</v>
      </c>
    </row>
    <row r="375" spans="1:14" x14ac:dyDescent="0.25">
      <c r="A375" s="1368">
        <v>0.56999999999999995</v>
      </c>
      <c r="B375" s="13">
        <v>6.1543464421818739E-2</v>
      </c>
      <c r="C375" s="13">
        <v>4.4915693023690681E-2</v>
      </c>
      <c r="D375" s="1378">
        <v>7.2099999999999997E-2</v>
      </c>
      <c r="E375" s="1378">
        <v>4.7E-2</v>
      </c>
      <c r="F375" s="13">
        <v>7.2099999999999997E-2</v>
      </c>
      <c r="G375" s="13">
        <v>4.7E-2</v>
      </c>
      <c r="H375" s="13">
        <v>6.4000000000000001E-2</v>
      </c>
      <c r="I375" s="1369">
        <v>4.8399999999999999E-2</v>
      </c>
      <c r="J375" s="13">
        <v>4.9000000000000002E-2</v>
      </c>
      <c r="K375" s="13">
        <v>5.2222131036174416E-2</v>
      </c>
      <c r="L375" s="13">
        <v>4.8480368156562974E-2</v>
      </c>
      <c r="M375" s="13">
        <v>6.2873979175326875E-2</v>
      </c>
      <c r="N375" s="13">
        <f t="shared" si="43"/>
        <v>0</v>
      </c>
    </row>
    <row r="376" spans="1:14" x14ac:dyDescent="0.25">
      <c r="A376" s="1368">
        <v>0.57999999999999996</v>
      </c>
      <c r="B376" s="13">
        <v>6.1774205666006818E-2</v>
      </c>
      <c r="C376" s="13">
        <v>4.5183164504347624E-2</v>
      </c>
      <c r="D376" s="1378">
        <v>7.22E-2</v>
      </c>
      <c r="E376" s="1378">
        <v>4.9000000000000002E-2</v>
      </c>
      <c r="F376" s="13">
        <v>7.22E-2</v>
      </c>
      <c r="G376" s="13">
        <v>4.9000000000000002E-2</v>
      </c>
      <c r="H376" s="13">
        <v>6.4199999999999993E-2</v>
      </c>
      <c r="I376" s="1369">
        <v>4.9299999999999997E-2</v>
      </c>
      <c r="J376" s="13">
        <v>0.05</v>
      </c>
      <c r="K376" s="13">
        <v>5.2591713345789042E-2</v>
      </c>
      <c r="L376" s="13">
        <v>4.8688566350089557E-2</v>
      </c>
      <c r="M376" s="13">
        <v>6.3164423709506132E-2</v>
      </c>
      <c r="N376" s="13">
        <f t="shared" si="43"/>
        <v>0</v>
      </c>
    </row>
    <row r="377" spans="1:14" x14ac:dyDescent="0.25">
      <c r="A377" s="1368">
        <v>0.59</v>
      </c>
      <c r="B377" s="13">
        <v>6.1939915575577528E-2</v>
      </c>
      <c r="C377" s="13">
        <v>4.5327024871906374E-2</v>
      </c>
      <c r="D377" s="1378">
        <v>7.2400000000000006E-2</v>
      </c>
      <c r="E377" s="1378">
        <v>4.9000000000000002E-2</v>
      </c>
      <c r="F377" s="13">
        <v>7.2400000000000006E-2</v>
      </c>
      <c r="G377" s="13">
        <v>4.9000000000000002E-2</v>
      </c>
      <c r="H377" s="13">
        <v>6.4399999999999999E-2</v>
      </c>
      <c r="I377" s="1369">
        <v>4.9500000000000002E-2</v>
      </c>
      <c r="J377" s="13">
        <v>0.05</v>
      </c>
      <c r="K377" s="13">
        <v>5.2734236125703791E-2</v>
      </c>
      <c r="L377" s="13">
        <v>4.9002214274632451E-2</v>
      </c>
      <c r="M377" s="13">
        <v>6.393230774965751E-2</v>
      </c>
      <c r="N377" s="13">
        <f t="shared" si="43"/>
        <v>0</v>
      </c>
    </row>
    <row r="378" spans="1:14" x14ac:dyDescent="0.25">
      <c r="A378" s="1368">
        <v>0.6</v>
      </c>
      <c r="B378" s="13">
        <v>6.1993925758270528E-2</v>
      </c>
      <c r="C378" s="13">
        <v>4.6004072971367903E-2</v>
      </c>
      <c r="D378" s="1378">
        <v>7.2800000000000004E-2</v>
      </c>
      <c r="E378" s="1378">
        <v>5.0999999999999997E-2</v>
      </c>
      <c r="F378" s="13">
        <v>7.2800000000000004E-2</v>
      </c>
      <c r="G378" s="13">
        <v>5.0999999999999997E-2</v>
      </c>
      <c r="H378" s="13">
        <v>6.5100000000000005E-2</v>
      </c>
      <c r="I378" s="1369">
        <v>4.9799999999999997E-2</v>
      </c>
      <c r="J378" s="13">
        <v>0.05</v>
      </c>
      <c r="K378" s="13">
        <v>5.3002351874441272E-2</v>
      </c>
      <c r="L378" s="13">
        <v>4.9139402258445763E-2</v>
      </c>
      <c r="M378" s="13">
        <v>6.4932030300165144E-2</v>
      </c>
      <c r="N378" s="13">
        <f t="shared" si="43"/>
        <v>0</v>
      </c>
    </row>
    <row r="379" spans="1:14" x14ac:dyDescent="0.25">
      <c r="A379" s="1368">
        <v>0.61</v>
      </c>
      <c r="B379" s="13">
        <v>6.2186384156759367E-2</v>
      </c>
      <c r="C379" s="13">
        <v>4.643708771103619E-2</v>
      </c>
      <c r="D379" s="1378">
        <v>7.2900000000000006E-2</v>
      </c>
      <c r="E379" s="1378">
        <v>5.0999999999999997E-2</v>
      </c>
      <c r="F379" s="13">
        <v>7.2900000000000006E-2</v>
      </c>
      <c r="G379" s="13">
        <v>5.0999999999999997E-2</v>
      </c>
      <c r="H379" s="13">
        <v>6.5600000000000006E-2</v>
      </c>
      <c r="I379" s="1369">
        <v>5.0599999999999999E-2</v>
      </c>
      <c r="J379" s="13">
        <v>0.05</v>
      </c>
      <c r="K379" s="13">
        <v>5.3444681264741375E-2</v>
      </c>
      <c r="L379" s="13">
        <v>4.9278026878497777E-2</v>
      </c>
      <c r="M379" s="13">
        <v>6.5821140333275116E-2</v>
      </c>
      <c r="N379" s="13">
        <f t="shared" si="43"/>
        <v>0</v>
      </c>
    </row>
    <row r="380" spans="1:14" x14ac:dyDescent="0.25">
      <c r="A380" s="1368">
        <v>0.62</v>
      </c>
      <c r="B380" s="13">
        <v>6.2342440006238967E-2</v>
      </c>
      <c r="C380" s="13">
        <v>4.721545298680447E-2</v>
      </c>
      <c r="D380" s="1378">
        <v>7.2999999999999995E-2</v>
      </c>
      <c r="E380" s="1378">
        <v>5.2999999999999999E-2</v>
      </c>
      <c r="F380" s="13">
        <v>7.2999999999999995E-2</v>
      </c>
      <c r="G380" s="13">
        <v>5.2999999999999999E-2</v>
      </c>
      <c r="H380" s="13">
        <v>6.5699999999999995E-2</v>
      </c>
      <c r="I380" s="1369">
        <v>5.0999999999999997E-2</v>
      </c>
      <c r="J380" s="13">
        <v>5.0999999999999997E-2</v>
      </c>
      <c r="K380" s="13">
        <v>5.3932821134279017E-2</v>
      </c>
      <c r="L380" s="13">
        <v>4.9379313217307638E-2</v>
      </c>
      <c r="M380" s="13">
        <v>6.5855203170441107E-2</v>
      </c>
      <c r="N380" s="13">
        <f t="shared" si="43"/>
        <v>0</v>
      </c>
    </row>
    <row r="381" spans="1:14" x14ac:dyDescent="0.25">
      <c r="A381" s="1368">
        <v>0.63</v>
      </c>
      <c r="B381" s="13">
        <v>6.2927239737997201E-2</v>
      </c>
      <c r="C381" s="13">
        <v>4.7767938300883571E-2</v>
      </c>
      <c r="D381" s="1378">
        <v>7.2999999999999995E-2</v>
      </c>
      <c r="E381" s="1378">
        <v>5.2999999999999999E-2</v>
      </c>
      <c r="F381" s="13">
        <v>7.2999999999999995E-2</v>
      </c>
      <c r="G381" s="13">
        <v>5.2999999999999999E-2</v>
      </c>
      <c r="H381" s="13">
        <v>6.6000000000000003E-2</v>
      </c>
      <c r="I381" s="1369">
        <v>5.0999999999999997E-2</v>
      </c>
      <c r="J381" s="13">
        <v>5.0999999999999997E-2</v>
      </c>
      <c r="K381" s="13">
        <v>5.501210284829066E-2</v>
      </c>
      <c r="L381" s="13">
        <v>4.9620269072410704E-2</v>
      </c>
      <c r="M381" s="13">
        <v>6.6075300813832116E-2</v>
      </c>
      <c r="N381" s="13">
        <f t="shared" si="43"/>
        <v>0</v>
      </c>
    </row>
    <row r="382" spans="1:14" x14ac:dyDescent="0.25">
      <c r="A382" s="1368">
        <v>0.64</v>
      </c>
      <c r="B382" s="13">
        <v>6.3524055637014659E-2</v>
      </c>
      <c r="C382" s="13">
        <v>4.8749942978221862E-2</v>
      </c>
      <c r="D382" s="1378">
        <v>7.3200000000000001E-2</v>
      </c>
      <c r="E382" s="1378">
        <v>5.3999999999999999E-2</v>
      </c>
      <c r="F382" s="13">
        <v>7.3200000000000001E-2</v>
      </c>
      <c r="G382" s="13">
        <v>5.3999999999999999E-2</v>
      </c>
      <c r="H382" s="13">
        <v>6.6299999999999998E-2</v>
      </c>
      <c r="I382" s="1369">
        <v>5.1799999999999999E-2</v>
      </c>
      <c r="J382" s="13">
        <v>5.0999999999999997E-2</v>
      </c>
      <c r="K382" s="13">
        <v>5.5090844069738375E-2</v>
      </c>
      <c r="L382" s="13">
        <v>4.9944075691687739E-2</v>
      </c>
      <c r="M382" s="13">
        <v>6.6206959795761453E-2</v>
      </c>
      <c r="N382" s="13">
        <f t="shared" si="43"/>
        <v>0</v>
      </c>
    </row>
    <row r="383" spans="1:14" x14ac:dyDescent="0.25">
      <c r="A383" s="1368">
        <v>0.65</v>
      </c>
      <c r="B383" s="13">
        <v>6.4042588961187405E-2</v>
      </c>
      <c r="C383" s="13">
        <v>4.9264909847434118E-2</v>
      </c>
      <c r="D383" s="1378">
        <v>7.3300000000000004E-2</v>
      </c>
      <c r="E383" s="1378">
        <v>5.3999999999999999E-2</v>
      </c>
      <c r="F383" s="13">
        <v>7.3300000000000004E-2</v>
      </c>
      <c r="G383" s="13">
        <v>5.3999999999999999E-2</v>
      </c>
      <c r="H383" s="13">
        <v>6.7000000000000004E-2</v>
      </c>
      <c r="I383" s="1369">
        <v>5.2900000000000003E-2</v>
      </c>
      <c r="J383" s="13">
        <v>5.0999999999999997E-2</v>
      </c>
      <c r="K383" s="13">
        <v>5.5471383966283094E-2</v>
      </c>
      <c r="L383" s="13">
        <v>5.0081108259965111E-2</v>
      </c>
      <c r="M383" s="13">
        <v>6.6576742289655932E-2</v>
      </c>
      <c r="N383" s="13">
        <f t="shared" ref="N383:N421" si="44">$B$106*B383+$C$106*C383+$D$106*D383+$E$106*E383+$F$106*F383+$G$106*G383+$H$106*H383+$I$106*I383+$J$106*J383+$K$106*K383+$L$106*L383+$M$106*M383</f>
        <v>0</v>
      </c>
    </row>
    <row r="384" spans="1:14" x14ac:dyDescent="0.25">
      <c r="A384" s="1368">
        <v>0.66</v>
      </c>
      <c r="B384" s="13">
        <v>6.4491099443865982E-2</v>
      </c>
      <c r="C384" s="13">
        <v>5.1366090075788372E-2</v>
      </c>
      <c r="D384" s="1378">
        <v>7.3499999999999996E-2</v>
      </c>
      <c r="E384" s="1378">
        <v>5.7000000000000002E-2</v>
      </c>
      <c r="F384" s="13">
        <v>7.3499999999999996E-2</v>
      </c>
      <c r="G384" s="13">
        <v>5.7000000000000002E-2</v>
      </c>
      <c r="H384" s="13">
        <v>6.7699999999999996E-2</v>
      </c>
      <c r="I384" s="1369">
        <v>5.3100000000000001E-2</v>
      </c>
      <c r="J384" s="13">
        <v>5.1999999999999998E-2</v>
      </c>
      <c r="K384" s="13">
        <v>5.5680815247002101E-2</v>
      </c>
      <c r="L384" s="13">
        <v>5.0320782820311612E-2</v>
      </c>
      <c r="M384" s="13">
        <v>6.7013514848077022E-2</v>
      </c>
      <c r="N384" s="13">
        <f t="shared" si="44"/>
        <v>0</v>
      </c>
    </row>
    <row r="385" spans="1:14" x14ac:dyDescent="0.25">
      <c r="A385" s="1368">
        <v>0.67</v>
      </c>
      <c r="B385" s="13">
        <v>6.5234279720903815E-2</v>
      </c>
      <c r="C385" s="13">
        <v>5.1740699531236715E-2</v>
      </c>
      <c r="D385" s="1378">
        <v>7.3700000000000002E-2</v>
      </c>
      <c r="E385" s="1378">
        <v>5.7000000000000002E-2</v>
      </c>
      <c r="F385" s="13">
        <v>7.3700000000000002E-2</v>
      </c>
      <c r="G385" s="13">
        <v>5.7000000000000002E-2</v>
      </c>
      <c r="H385" s="13">
        <v>6.8599999999999994E-2</v>
      </c>
      <c r="I385" s="1369">
        <v>5.4600000000000003E-2</v>
      </c>
      <c r="J385" s="13">
        <v>5.1999999999999998E-2</v>
      </c>
      <c r="K385" s="13">
        <v>5.631454841069513E-2</v>
      </c>
      <c r="L385" s="13">
        <v>5.0494028524765339E-2</v>
      </c>
      <c r="M385" s="13">
        <v>6.8112732248104421E-2</v>
      </c>
      <c r="N385" s="13">
        <f t="shared" si="44"/>
        <v>0</v>
      </c>
    </row>
    <row r="386" spans="1:14" x14ac:dyDescent="0.25">
      <c r="A386" s="1368">
        <v>0.68</v>
      </c>
      <c r="B386" s="13">
        <v>6.5386091365572191E-2</v>
      </c>
      <c r="C386" s="13">
        <v>5.1947832896599502E-2</v>
      </c>
      <c r="D386" s="1378">
        <v>7.3899999999999993E-2</v>
      </c>
      <c r="E386" s="1378">
        <v>5.8999999999999997E-2</v>
      </c>
      <c r="F386" s="13">
        <v>7.3899999999999993E-2</v>
      </c>
      <c r="G386" s="13">
        <v>5.8999999999999997E-2</v>
      </c>
      <c r="H386" s="13">
        <v>6.88E-2</v>
      </c>
      <c r="I386" s="1369">
        <v>5.4699999999999999E-2</v>
      </c>
      <c r="J386" s="13">
        <v>5.2999999999999999E-2</v>
      </c>
      <c r="K386" s="13">
        <v>5.705805026188461E-2</v>
      </c>
      <c r="L386" s="13">
        <v>5.094950879199947E-2</v>
      </c>
      <c r="M386" s="13">
        <v>6.8223173672242274E-2</v>
      </c>
      <c r="N386" s="13">
        <f t="shared" si="44"/>
        <v>0</v>
      </c>
    </row>
    <row r="387" spans="1:14" x14ac:dyDescent="0.25">
      <c r="A387" s="1368">
        <v>0.69</v>
      </c>
      <c r="B387" s="13">
        <v>6.5537903010240553E-2</v>
      </c>
      <c r="C387" s="13">
        <v>5.2330278152719546E-2</v>
      </c>
      <c r="D387" s="1378">
        <v>7.3999999999999996E-2</v>
      </c>
      <c r="E387" s="1378">
        <v>5.8999999999999997E-2</v>
      </c>
      <c r="F387" s="13">
        <v>7.3999999999999996E-2</v>
      </c>
      <c r="G387" s="13">
        <v>5.8999999999999997E-2</v>
      </c>
      <c r="H387" s="13">
        <v>6.88E-2</v>
      </c>
      <c r="I387" s="1369">
        <v>5.4899999999999997E-2</v>
      </c>
      <c r="J387" s="13">
        <v>5.2999999999999999E-2</v>
      </c>
      <c r="K387" s="13">
        <v>5.7464238769413575E-2</v>
      </c>
      <c r="L387" s="13">
        <v>5.1093692540879081E-2</v>
      </c>
      <c r="M387" s="13">
        <v>6.8932254391764813E-2</v>
      </c>
      <c r="N387" s="13">
        <f t="shared" si="44"/>
        <v>0</v>
      </c>
    </row>
    <row r="388" spans="1:14" x14ac:dyDescent="0.25">
      <c r="A388" s="1368">
        <v>0.7</v>
      </c>
      <c r="B388" s="13">
        <v>6.5834444712891113E-2</v>
      </c>
      <c r="C388" s="13">
        <v>5.2747100214346788E-2</v>
      </c>
      <c r="D388" s="1378">
        <v>7.4300000000000005E-2</v>
      </c>
      <c r="E388" s="1378">
        <v>6.0999999999999999E-2</v>
      </c>
      <c r="F388" s="13">
        <v>7.4300000000000005E-2</v>
      </c>
      <c r="G388" s="13">
        <v>6.0999999999999999E-2</v>
      </c>
      <c r="H388" s="13">
        <v>6.8900000000000003E-2</v>
      </c>
      <c r="I388" s="1369">
        <v>5.5E-2</v>
      </c>
      <c r="J388" s="13">
        <v>5.3999999999999999E-2</v>
      </c>
      <c r="K388" s="13">
        <v>5.799673931818327E-2</v>
      </c>
      <c r="L388" s="13">
        <v>5.1386316891839562E-2</v>
      </c>
      <c r="M388" s="13">
        <v>6.900667799206181E-2</v>
      </c>
      <c r="N388" s="13">
        <f t="shared" si="44"/>
        <v>0</v>
      </c>
    </row>
    <row r="389" spans="1:14" x14ac:dyDescent="0.25">
      <c r="A389" s="1368">
        <v>0.71</v>
      </c>
      <c r="B389" s="13">
        <v>6.6309411042600838E-2</v>
      </c>
      <c r="C389" s="13">
        <v>5.3171041567899015E-2</v>
      </c>
      <c r="D389" s="1378">
        <v>7.4499999999999997E-2</v>
      </c>
      <c r="E389" s="1378">
        <v>6.0999999999999999E-2</v>
      </c>
      <c r="F389" s="13">
        <v>7.4499999999999997E-2</v>
      </c>
      <c r="G389" s="13">
        <v>6.0999999999999999E-2</v>
      </c>
      <c r="H389" s="13">
        <v>6.9099999999999995E-2</v>
      </c>
      <c r="I389" s="1369">
        <v>5.6800000000000003E-2</v>
      </c>
      <c r="J389" s="13">
        <v>5.3999999999999999E-2</v>
      </c>
      <c r="K389" s="13">
        <v>5.8497074522364301E-2</v>
      </c>
      <c r="L389" s="13">
        <v>5.1657496644722613E-2</v>
      </c>
      <c r="M389" s="13">
        <v>7.015111425968748E-2</v>
      </c>
      <c r="N389" s="13">
        <f t="shared" si="44"/>
        <v>0</v>
      </c>
    </row>
    <row r="390" spans="1:14" x14ac:dyDescent="0.25">
      <c r="A390" s="1368">
        <v>0.72</v>
      </c>
      <c r="B390" s="13">
        <v>6.6807676162080318E-2</v>
      </c>
      <c r="C390" s="13">
        <v>5.4215956848340449E-2</v>
      </c>
      <c r="D390" s="1378">
        <v>7.4700000000000003E-2</v>
      </c>
      <c r="E390" s="1378">
        <v>6.5000000000000002E-2</v>
      </c>
      <c r="F390" s="13">
        <v>7.4700000000000003E-2</v>
      </c>
      <c r="G390" s="13">
        <v>6.5000000000000002E-2</v>
      </c>
      <c r="H390" s="13">
        <v>6.9699999999999998E-2</v>
      </c>
      <c r="I390" s="1369">
        <v>5.7200000000000001E-2</v>
      </c>
      <c r="J390" s="13">
        <v>5.3999999999999999E-2</v>
      </c>
      <c r="K390" s="13">
        <v>5.8785530283369025E-2</v>
      </c>
      <c r="L390" s="13">
        <v>5.1791677382411382E-2</v>
      </c>
      <c r="M390" s="13">
        <v>7.0151968223423303E-2</v>
      </c>
      <c r="N390" s="13">
        <f t="shared" si="44"/>
        <v>0</v>
      </c>
    </row>
    <row r="391" spans="1:14" x14ac:dyDescent="0.25">
      <c r="A391" s="1368">
        <v>0.73</v>
      </c>
      <c r="B391" s="13">
        <v>6.7263026243719229E-2</v>
      </c>
      <c r="C391" s="13">
        <v>5.4737022242585198E-2</v>
      </c>
      <c r="D391" s="1378">
        <v>7.4899999999999994E-2</v>
      </c>
      <c r="E391" s="1378">
        <v>6.5000000000000002E-2</v>
      </c>
      <c r="F391" s="13">
        <v>7.4899999999999994E-2</v>
      </c>
      <c r="G391" s="13">
        <v>6.5000000000000002E-2</v>
      </c>
      <c r="H391" s="13">
        <v>6.9800000000000001E-2</v>
      </c>
      <c r="I391" s="1369">
        <v>5.7599999999999998E-2</v>
      </c>
      <c r="J391" s="13">
        <v>5.3999999999999999E-2</v>
      </c>
      <c r="K391" s="13">
        <v>5.9651302839740947E-2</v>
      </c>
      <c r="L391" s="13">
        <v>5.2002054928136324E-2</v>
      </c>
      <c r="M391" s="13">
        <v>7.0664862438961806E-2</v>
      </c>
      <c r="N391" s="13">
        <f t="shared" si="44"/>
        <v>0</v>
      </c>
    </row>
    <row r="392" spans="1:14" x14ac:dyDescent="0.25">
      <c r="A392" s="1368">
        <v>0.74</v>
      </c>
      <c r="B392" s="13">
        <v>6.7519753309499275E-2</v>
      </c>
      <c r="C392" s="13">
        <v>5.5677446998567248E-2</v>
      </c>
      <c r="D392" s="1378">
        <v>7.5200000000000003E-2</v>
      </c>
      <c r="E392" s="1378">
        <v>6.6000000000000003E-2</v>
      </c>
      <c r="F392" s="13">
        <v>7.5200000000000003E-2</v>
      </c>
      <c r="G392" s="13">
        <v>6.6000000000000003E-2</v>
      </c>
      <c r="H392" s="13">
        <v>7.0000000000000007E-2</v>
      </c>
      <c r="I392" s="1369">
        <v>5.8400000000000001E-2</v>
      </c>
      <c r="J392" s="13">
        <v>5.5E-2</v>
      </c>
      <c r="K392" s="13">
        <v>6.0475046557134225E-2</v>
      </c>
      <c r="L392" s="13">
        <v>5.2280959284592809E-2</v>
      </c>
      <c r="M392" s="13">
        <v>7.0758333556098243E-2</v>
      </c>
      <c r="N392" s="13">
        <f t="shared" si="44"/>
        <v>0</v>
      </c>
    </row>
    <row r="393" spans="1:14" x14ac:dyDescent="0.25">
      <c r="A393" s="1368">
        <v>0.75</v>
      </c>
      <c r="B393" s="13">
        <v>6.8349768318160184E-2</v>
      </c>
      <c r="C393" s="13">
        <v>5.6487905757467705E-2</v>
      </c>
      <c r="D393" s="1378">
        <v>7.5499999999999998E-2</v>
      </c>
      <c r="E393" s="1378">
        <v>6.6000000000000003E-2</v>
      </c>
      <c r="F393" s="13">
        <v>7.5499999999999998E-2</v>
      </c>
      <c r="G393" s="13">
        <v>6.6000000000000003E-2</v>
      </c>
      <c r="H393" s="13">
        <v>7.0300000000000001E-2</v>
      </c>
      <c r="I393" s="1369">
        <v>5.8500000000000003E-2</v>
      </c>
      <c r="J393" s="13">
        <v>5.5E-2</v>
      </c>
      <c r="K393" s="13">
        <v>6.0988388339712242E-2</v>
      </c>
      <c r="L393" s="13">
        <v>5.2741333383053583E-2</v>
      </c>
      <c r="M393" s="13">
        <v>7.1580686877456071E-2</v>
      </c>
      <c r="N393" s="13">
        <f t="shared" si="44"/>
        <v>0</v>
      </c>
    </row>
    <row r="394" spans="1:14" x14ac:dyDescent="0.25">
      <c r="A394" s="1368">
        <v>0.76</v>
      </c>
      <c r="B394" s="13">
        <v>6.9526934147364342E-2</v>
      </c>
      <c r="C394" s="13">
        <v>5.7201600083459814E-2</v>
      </c>
      <c r="D394" s="1378">
        <v>7.5700000000000003E-2</v>
      </c>
      <c r="E394" s="1378">
        <v>6.7000000000000004E-2</v>
      </c>
      <c r="F394" s="13">
        <v>7.5700000000000003E-2</v>
      </c>
      <c r="G394" s="13">
        <v>6.7000000000000004E-2</v>
      </c>
      <c r="H394" s="13">
        <v>7.0599999999999996E-2</v>
      </c>
      <c r="I394" s="1369">
        <v>5.8799999999999998E-2</v>
      </c>
      <c r="J394" s="13">
        <v>5.6000000000000001E-2</v>
      </c>
      <c r="K394" s="13">
        <v>6.2225982248819006E-2</v>
      </c>
      <c r="L394" s="13">
        <v>5.3130503404853952E-2</v>
      </c>
      <c r="M394" s="13">
        <v>7.2195860514925048E-2</v>
      </c>
      <c r="N394" s="13">
        <f t="shared" si="44"/>
        <v>0</v>
      </c>
    </row>
    <row r="395" spans="1:14" x14ac:dyDescent="0.25">
      <c r="A395" s="1368">
        <v>0.77</v>
      </c>
      <c r="B395" s="13">
        <v>6.9944272856261328E-2</v>
      </c>
      <c r="C395" s="13">
        <v>5.7302030739530746E-2</v>
      </c>
      <c r="D395" s="1378">
        <v>7.5899999999999995E-2</v>
      </c>
      <c r="E395" s="1378">
        <v>6.7000000000000004E-2</v>
      </c>
      <c r="F395" s="13">
        <v>7.5899999999999995E-2</v>
      </c>
      <c r="G395" s="13">
        <v>6.7000000000000004E-2</v>
      </c>
      <c r="H395" s="13">
        <v>7.1400000000000005E-2</v>
      </c>
      <c r="I395" s="1369">
        <v>5.9299999999999999E-2</v>
      </c>
      <c r="J395" s="13">
        <v>5.6000000000000001E-2</v>
      </c>
      <c r="K395" s="13">
        <v>6.232600114961822E-2</v>
      </c>
      <c r="L395" s="13">
        <v>5.344237664558122E-2</v>
      </c>
      <c r="M395" s="13">
        <v>7.2243483840483264E-2</v>
      </c>
      <c r="N395" s="13">
        <f t="shared" si="44"/>
        <v>0</v>
      </c>
    </row>
    <row r="396" spans="1:14" x14ac:dyDescent="0.25">
      <c r="A396" s="1368">
        <v>0.78</v>
      </c>
      <c r="B396" s="13">
        <v>7.0569739482007565E-2</v>
      </c>
      <c r="C396" s="13">
        <v>5.7570579437147509E-2</v>
      </c>
      <c r="D396" s="1378">
        <v>7.6200000000000004E-2</v>
      </c>
      <c r="E396" s="1378">
        <v>7.1999999999999995E-2</v>
      </c>
      <c r="F396" s="13">
        <v>7.6200000000000004E-2</v>
      </c>
      <c r="G396" s="13">
        <v>7.1999999999999995E-2</v>
      </c>
      <c r="H396" s="13">
        <v>7.2999999999999995E-2</v>
      </c>
      <c r="I396" s="1369">
        <v>5.96E-2</v>
      </c>
      <c r="J396" s="13">
        <v>5.8000000000000003E-2</v>
      </c>
      <c r="K396" s="13">
        <v>6.3512252724869031E-2</v>
      </c>
      <c r="L396" s="13">
        <v>5.4074275095339151E-2</v>
      </c>
      <c r="M396" s="13">
        <v>7.2331641027570684E-2</v>
      </c>
      <c r="N396" s="13">
        <f t="shared" si="44"/>
        <v>0</v>
      </c>
    </row>
    <row r="397" spans="1:14" x14ac:dyDescent="0.25">
      <c r="A397" s="1368">
        <v>0.79</v>
      </c>
      <c r="B397" s="13">
        <v>7.1835351614450454E-2</v>
      </c>
      <c r="C397" s="13">
        <v>5.7571792991735669E-2</v>
      </c>
      <c r="D397" s="1378">
        <v>7.6499999999999999E-2</v>
      </c>
      <c r="E397" s="1378">
        <v>7.1999999999999995E-2</v>
      </c>
      <c r="F397" s="13">
        <v>7.6499999999999999E-2</v>
      </c>
      <c r="G397" s="13">
        <v>7.1999999999999995E-2</v>
      </c>
      <c r="H397" s="13">
        <v>7.3499999999999996E-2</v>
      </c>
      <c r="I397" s="1369">
        <v>6.2E-2</v>
      </c>
      <c r="J397" s="13">
        <v>5.8000000000000003E-2</v>
      </c>
      <c r="K397" s="13">
        <v>6.374841701956406E-2</v>
      </c>
      <c r="L397" s="13">
        <v>5.4845459312620422E-2</v>
      </c>
      <c r="M397" s="13">
        <v>7.3686593231157227E-2</v>
      </c>
      <c r="N397" s="13">
        <f t="shared" si="44"/>
        <v>0</v>
      </c>
    </row>
    <row r="398" spans="1:14" x14ac:dyDescent="0.25">
      <c r="A398" s="1368">
        <v>0.8</v>
      </c>
      <c r="B398" s="13">
        <v>7.3318821187959571E-2</v>
      </c>
      <c r="C398" s="13">
        <v>5.7746596838690198E-2</v>
      </c>
      <c r="D398" s="1378">
        <v>7.6700000000000004E-2</v>
      </c>
      <c r="E398" s="1378">
        <v>7.9000000000000001E-2</v>
      </c>
      <c r="F398" s="13">
        <v>7.6700000000000004E-2</v>
      </c>
      <c r="G398" s="13">
        <v>7.9000000000000001E-2</v>
      </c>
      <c r="H398" s="13">
        <v>7.4499999999999997E-2</v>
      </c>
      <c r="I398" s="1369">
        <v>6.4000000000000001E-2</v>
      </c>
      <c r="J398" s="13">
        <v>5.8000000000000003E-2</v>
      </c>
      <c r="K398" s="13">
        <v>6.4396069103546089E-2</v>
      </c>
      <c r="L398" s="13">
        <v>5.5215033841479154E-2</v>
      </c>
      <c r="M398" s="13">
        <v>7.4197133493800485E-2</v>
      </c>
      <c r="N398" s="13">
        <f t="shared" si="44"/>
        <v>0</v>
      </c>
    </row>
    <row r="399" spans="1:14" x14ac:dyDescent="0.25">
      <c r="A399" s="1368">
        <v>0.81</v>
      </c>
      <c r="B399" s="13">
        <v>7.456336231958885E-2</v>
      </c>
      <c r="C399" s="13">
        <v>5.8700886770003083E-2</v>
      </c>
      <c r="D399" s="1378">
        <v>7.7200000000000005E-2</v>
      </c>
      <c r="E399" s="1378">
        <v>7.9000000000000001E-2</v>
      </c>
      <c r="F399" s="13">
        <v>7.7200000000000005E-2</v>
      </c>
      <c r="G399" s="13">
        <v>7.9000000000000001E-2</v>
      </c>
      <c r="H399" s="13">
        <v>7.4999999999999997E-2</v>
      </c>
      <c r="I399" s="1369">
        <v>6.6100000000000006E-2</v>
      </c>
      <c r="J399" s="13">
        <v>5.8000000000000003E-2</v>
      </c>
      <c r="K399" s="13">
        <v>6.4831366700613985E-2</v>
      </c>
      <c r="L399" s="13">
        <v>5.57246334791393E-2</v>
      </c>
      <c r="M399" s="13">
        <v>7.4839620265650247E-2</v>
      </c>
      <c r="N399" s="13">
        <f t="shared" si="44"/>
        <v>0</v>
      </c>
    </row>
    <row r="400" spans="1:14" x14ac:dyDescent="0.25">
      <c r="A400" s="1368">
        <v>0.82</v>
      </c>
      <c r="B400" s="13">
        <v>7.546792825035456E-2</v>
      </c>
      <c r="C400" s="13">
        <v>5.9397273977741645E-2</v>
      </c>
      <c r="D400" s="1378">
        <v>7.7499999999999999E-2</v>
      </c>
      <c r="E400" s="1378">
        <v>9.0999999999999998E-2</v>
      </c>
      <c r="F400" s="13">
        <v>7.7499999999999999E-2</v>
      </c>
      <c r="G400" s="13">
        <v>9.0999999999999998E-2</v>
      </c>
      <c r="H400" s="13">
        <v>7.5200000000000003E-2</v>
      </c>
      <c r="I400" s="1369">
        <v>6.7599999999999993E-2</v>
      </c>
      <c r="J400" s="13">
        <v>5.8999999999999997E-2</v>
      </c>
      <c r="K400" s="13">
        <v>6.5251265149407864E-2</v>
      </c>
      <c r="L400" s="13">
        <v>5.6146245369921931E-2</v>
      </c>
      <c r="M400" s="13">
        <v>7.5036109714589627E-2</v>
      </c>
      <c r="N400" s="13">
        <f t="shared" si="44"/>
        <v>0</v>
      </c>
    </row>
    <row r="401" spans="1:14" x14ac:dyDescent="0.25">
      <c r="A401" s="1368">
        <v>0.83</v>
      </c>
      <c r="B401" s="13">
        <v>7.6786068680727446E-2</v>
      </c>
      <c r="C401" s="13">
        <v>6.1225213056564504E-2</v>
      </c>
      <c r="D401" s="1378">
        <v>7.7700000000000005E-2</v>
      </c>
      <c r="E401" s="1378">
        <v>9.0999999999999998E-2</v>
      </c>
      <c r="F401" s="13">
        <v>7.7700000000000005E-2</v>
      </c>
      <c r="G401" s="13">
        <v>9.0999999999999998E-2</v>
      </c>
      <c r="H401" s="13">
        <v>7.5899999999999995E-2</v>
      </c>
      <c r="I401" s="1369">
        <v>6.93E-2</v>
      </c>
      <c r="J401" s="13">
        <v>5.8999999999999997E-2</v>
      </c>
      <c r="K401" s="13">
        <v>6.5534250951235481E-2</v>
      </c>
      <c r="L401" s="13">
        <v>5.6476884503660826E-2</v>
      </c>
      <c r="M401" s="13">
        <v>7.6484238108261812E-2</v>
      </c>
      <c r="N401" s="13">
        <f t="shared" si="44"/>
        <v>0</v>
      </c>
    </row>
    <row r="402" spans="1:14" x14ac:dyDescent="0.25">
      <c r="A402" s="1368">
        <v>0.84</v>
      </c>
      <c r="B402" s="13">
        <v>7.779102862596432E-2</v>
      </c>
      <c r="C402" s="13">
        <v>6.1403813647852884E-2</v>
      </c>
      <c r="D402" s="1378">
        <v>7.8E-2</v>
      </c>
      <c r="E402" s="1378">
        <v>0.127</v>
      </c>
      <c r="F402" s="13">
        <v>7.8E-2</v>
      </c>
      <c r="G402" s="13">
        <v>0.127</v>
      </c>
      <c r="H402" s="13">
        <v>7.5999999999999998E-2</v>
      </c>
      <c r="I402" s="1369">
        <v>7.1199999999999999E-2</v>
      </c>
      <c r="J402" s="13">
        <v>0.06</v>
      </c>
      <c r="K402" s="13">
        <v>6.6243486792298065E-2</v>
      </c>
      <c r="L402" s="13">
        <v>5.689821487178448E-2</v>
      </c>
      <c r="M402" s="13">
        <v>7.8010502268406182E-2</v>
      </c>
      <c r="N402" s="13">
        <f t="shared" si="44"/>
        <v>0</v>
      </c>
    </row>
    <row r="403" spans="1:14" x14ac:dyDescent="0.25">
      <c r="A403" s="1368">
        <v>0.85</v>
      </c>
      <c r="B403" s="13">
        <v>7.9082518335924099E-2</v>
      </c>
      <c r="C403" s="13">
        <v>6.1404255913513887E-2</v>
      </c>
      <c r="D403" s="1378">
        <v>7.9000000000000001E-2</v>
      </c>
      <c r="E403" s="1378">
        <v>0.127</v>
      </c>
      <c r="F403" s="13">
        <v>7.9000000000000001E-2</v>
      </c>
      <c r="G403" s="13">
        <v>0.127</v>
      </c>
      <c r="H403" s="13">
        <v>7.8E-2</v>
      </c>
      <c r="I403" s="1369">
        <v>7.1900000000000006E-2</v>
      </c>
      <c r="J403" s="13">
        <v>0.06</v>
      </c>
      <c r="K403" s="13">
        <v>6.7298888481425956E-2</v>
      </c>
      <c r="L403" s="13">
        <v>5.7515999847886315E-2</v>
      </c>
      <c r="M403" s="13">
        <v>7.8135428493981016E-2</v>
      </c>
      <c r="N403" s="13">
        <f t="shared" si="44"/>
        <v>0</v>
      </c>
    </row>
    <row r="404" spans="1:14" x14ac:dyDescent="0.25">
      <c r="A404" s="1368">
        <v>0.86</v>
      </c>
      <c r="B404" s="13">
        <v>8.021838071126243E-2</v>
      </c>
      <c r="C404" s="13">
        <v>6.1465478117159474E-2</v>
      </c>
      <c r="D404" s="1378">
        <v>7.9100000000000004E-2</v>
      </c>
      <c r="E404" s="1378">
        <v>0.129</v>
      </c>
      <c r="F404" s="13">
        <v>7.9100000000000004E-2</v>
      </c>
      <c r="G404" s="13">
        <v>0.129</v>
      </c>
      <c r="H404" s="13">
        <v>7.8399999999999997E-2</v>
      </c>
      <c r="I404" s="1369">
        <v>7.1900000000000006E-2</v>
      </c>
      <c r="J404" s="13">
        <v>6.2E-2</v>
      </c>
      <c r="K404" s="13">
        <v>6.9072317960505891E-2</v>
      </c>
      <c r="L404" s="13">
        <v>5.8016816830537096E-2</v>
      </c>
      <c r="M404" s="13">
        <v>7.8750659382053251E-2</v>
      </c>
      <c r="N404" s="13">
        <f t="shared" si="44"/>
        <v>0</v>
      </c>
    </row>
    <row r="405" spans="1:14" x14ac:dyDescent="0.25">
      <c r="A405" s="1368">
        <v>0.87</v>
      </c>
      <c r="B405" s="13">
        <v>8.1918047339357716E-2</v>
      </c>
      <c r="C405" s="13">
        <v>6.3171468325796093E-2</v>
      </c>
      <c r="D405" s="1378">
        <v>7.9699999999999993E-2</v>
      </c>
      <c r="E405" s="1378">
        <v>0.129</v>
      </c>
      <c r="F405" s="13">
        <v>7.9699999999999993E-2</v>
      </c>
      <c r="G405" s="13">
        <v>0.129</v>
      </c>
      <c r="H405" s="13">
        <v>8.14E-2</v>
      </c>
      <c r="I405" s="1369">
        <v>7.3800000000000004E-2</v>
      </c>
      <c r="J405" s="13">
        <v>6.2E-2</v>
      </c>
      <c r="K405" s="13">
        <v>6.9471665301592059E-2</v>
      </c>
      <c r="L405" s="13">
        <v>5.863598462278384E-2</v>
      </c>
      <c r="M405" s="13">
        <v>7.959392530864362E-2</v>
      </c>
      <c r="N405" s="13">
        <f t="shared" si="44"/>
        <v>0</v>
      </c>
    </row>
    <row r="406" spans="1:14" x14ac:dyDescent="0.25">
      <c r="A406" s="1368">
        <v>0.88</v>
      </c>
      <c r="B406" s="13">
        <v>8.493755845983128E-2</v>
      </c>
      <c r="C406" s="13">
        <v>6.3448041894502608E-2</v>
      </c>
      <c r="D406" s="1378">
        <v>8.0399999999999999E-2</v>
      </c>
      <c r="E406" s="1378">
        <v>0.13600000000000001</v>
      </c>
      <c r="F406" s="13">
        <v>8.0399999999999999E-2</v>
      </c>
      <c r="G406" s="13">
        <v>0.13600000000000001</v>
      </c>
      <c r="H406" s="13">
        <v>8.1699999999999995E-2</v>
      </c>
      <c r="I406" s="1369">
        <v>7.5200000000000003E-2</v>
      </c>
      <c r="J406" s="13">
        <v>6.4000000000000001E-2</v>
      </c>
      <c r="K406" s="13">
        <v>7.0276315829456315E-2</v>
      </c>
      <c r="L406" s="13">
        <v>5.8995386075688827E-2</v>
      </c>
      <c r="M406" s="13">
        <v>7.9895031102273931E-2</v>
      </c>
      <c r="N406" s="13">
        <f t="shared" si="44"/>
        <v>0</v>
      </c>
    </row>
    <row r="407" spans="1:14" x14ac:dyDescent="0.25">
      <c r="A407" s="1368">
        <v>0.89</v>
      </c>
      <c r="B407" s="13">
        <v>8.5956957901898237E-2</v>
      </c>
      <c r="C407" s="13">
        <v>6.5407324667621808E-2</v>
      </c>
      <c r="D407" s="1378">
        <v>8.1299999999999997E-2</v>
      </c>
      <c r="E407" s="1378">
        <v>0.13600000000000001</v>
      </c>
      <c r="F407" s="13">
        <v>8.1299999999999997E-2</v>
      </c>
      <c r="G407" s="13">
        <v>0.13600000000000001</v>
      </c>
      <c r="H407" s="13">
        <v>8.4699999999999998E-2</v>
      </c>
      <c r="I407" s="1369">
        <v>7.9799999999999996E-2</v>
      </c>
      <c r="J407" s="13">
        <v>6.4000000000000001E-2</v>
      </c>
      <c r="K407" s="13">
        <v>7.1079794716608177E-2</v>
      </c>
      <c r="L407" s="13">
        <v>5.9759127698825382E-2</v>
      </c>
      <c r="M407" s="13">
        <v>8.0077036539599689E-2</v>
      </c>
      <c r="N407" s="13">
        <f t="shared" si="44"/>
        <v>0</v>
      </c>
    </row>
    <row r="408" spans="1:14" x14ac:dyDescent="0.25">
      <c r="A408" s="1368">
        <v>0.9</v>
      </c>
      <c r="B408" s="13">
        <v>8.8866737986844815E-2</v>
      </c>
      <c r="C408" s="13">
        <v>6.6983958048912731E-2</v>
      </c>
      <c r="D408" s="1378">
        <v>8.2299999999999998E-2</v>
      </c>
      <c r="E408" s="1378">
        <v>0.15</v>
      </c>
      <c r="F408" s="13">
        <v>8.2299999999999998E-2</v>
      </c>
      <c r="G408" s="13">
        <v>0.15</v>
      </c>
      <c r="H408" s="13">
        <v>8.6199999999999999E-2</v>
      </c>
      <c r="I408" s="1369">
        <v>8.43E-2</v>
      </c>
      <c r="J408" s="13">
        <v>6.6000000000000003E-2</v>
      </c>
      <c r="K408" s="13">
        <v>7.2831119380381643E-2</v>
      </c>
      <c r="L408" s="13">
        <v>6.0697400246521538E-2</v>
      </c>
      <c r="M408" s="13">
        <v>8.0335033689528212E-2</v>
      </c>
      <c r="N408" s="13">
        <f t="shared" si="44"/>
        <v>0</v>
      </c>
    </row>
    <row r="409" spans="1:14" x14ac:dyDescent="0.25">
      <c r="A409" s="1368">
        <v>0.91</v>
      </c>
      <c r="B409" s="13">
        <v>9.2438078194799975E-2</v>
      </c>
      <c r="C409" s="13">
        <v>6.9596642802092462E-2</v>
      </c>
      <c r="D409" s="1378">
        <v>8.3400000000000002E-2</v>
      </c>
      <c r="E409" s="1378">
        <v>0.15</v>
      </c>
      <c r="F409" s="13">
        <v>8.3400000000000002E-2</v>
      </c>
      <c r="G409" s="13">
        <v>0.15</v>
      </c>
      <c r="H409" s="13">
        <v>0.09</v>
      </c>
      <c r="I409" s="1369">
        <v>8.9800000000000005E-2</v>
      </c>
      <c r="J409" s="13">
        <v>6.6000000000000003E-2</v>
      </c>
      <c r="K409" s="13">
        <v>7.3087201971581639E-2</v>
      </c>
      <c r="L409" s="13">
        <v>6.2341367051995784E-2</v>
      </c>
      <c r="M409" s="13">
        <v>8.0947491697909102E-2</v>
      </c>
      <c r="N409" s="13">
        <f t="shared" si="44"/>
        <v>0</v>
      </c>
    </row>
    <row r="410" spans="1:14" x14ac:dyDescent="0.25">
      <c r="A410" s="1368">
        <v>0.92</v>
      </c>
      <c r="B410" s="13">
        <v>9.3759488916092662E-2</v>
      </c>
      <c r="C410" s="13">
        <v>7.1298069493638164E-2</v>
      </c>
      <c r="D410" s="1378">
        <v>8.3599999999999994E-2</v>
      </c>
      <c r="E410" s="1378">
        <v>0.17299999999999999</v>
      </c>
      <c r="F410" s="13">
        <v>8.3599999999999994E-2</v>
      </c>
      <c r="G410" s="13">
        <v>0.17299999999999999</v>
      </c>
      <c r="H410" s="13">
        <v>9.2100000000000001E-2</v>
      </c>
      <c r="I410" s="1369">
        <v>9.01E-2</v>
      </c>
      <c r="J410" s="13">
        <v>6.9000000000000006E-2</v>
      </c>
      <c r="K410" s="13">
        <v>7.3948960411485895E-2</v>
      </c>
      <c r="L410" s="13">
        <v>6.3084849485628064E-2</v>
      </c>
      <c r="M410" s="13">
        <v>8.1517807775567191E-2</v>
      </c>
      <c r="N410" s="13">
        <f t="shared" si="44"/>
        <v>0</v>
      </c>
    </row>
    <row r="411" spans="1:14" x14ac:dyDescent="0.25">
      <c r="A411" s="1368">
        <v>0.93</v>
      </c>
      <c r="B411" s="13">
        <v>9.3766233537097746E-2</v>
      </c>
      <c r="C411" s="13">
        <v>7.2279408769824985E-2</v>
      </c>
      <c r="D411" s="1378">
        <v>8.4699999999999998E-2</v>
      </c>
      <c r="E411" s="1378">
        <v>0.17299999999999999</v>
      </c>
      <c r="F411" s="13">
        <v>8.4699999999999998E-2</v>
      </c>
      <c r="G411" s="13">
        <v>0.17299999999999999</v>
      </c>
      <c r="H411" s="13">
        <v>9.6600000000000005E-2</v>
      </c>
      <c r="I411" s="1369">
        <v>9.0200000000000002E-2</v>
      </c>
      <c r="J411" s="13">
        <v>6.9000000000000006E-2</v>
      </c>
      <c r="K411" s="13">
        <v>7.550791398012173E-2</v>
      </c>
      <c r="L411" s="13">
        <v>6.38778247719477E-2</v>
      </c>
      <c r="M411" s="13">
        <v>8.1934165768493772E-2</v>
      </c>
      <c r="N411" s="13">
        <f t="shared" si="44"/>
        <v>0</v>
      </c>
    </row>
    <row r="412" spans="1:14" x14ac:dyDescent="0.25">
      <c r="A412" s="1368">
        <v>0.94</v>
      </c>
      <c r="B412" s="13">
        <v>9.5161923305407847E-2</v>
      </c>
      <c r="C412" s="13">
        <v>7.436830945816629E-2</v>
      </c>
      <c r="D412" s="1378">
        <v>8.5900000000000004E-2</v>
      </c>
      <c r="E412" s="1378">
        <v>0.20200000000000001</v>
      </c>
      <c r="F412" s="13">
        <v>8.5900000000000004E-2</v>
      </c>
      <c r="G412" s="13">
        <v>0.20200000000000001</v>
      </c>
      <c r="H412" s="13">
        <v>9.7900000000000001E-2</v>
      </c>
      <c r="I412" s="1369">
        <v>9.0899999999999995E-2</v>
      </c>
      <c r="J412" s="13">
        <v>7.0999999999999994E-2</v>
      </c>
      <c r="K412" s="13">
        <v>7.703745572012638E-2</v>
      </c>
      <c r="L412" s="13">
        <v>6.4686396958777329E-2</v>
      </c>
      <c r="M412" s="13">
        <v>8.2788005890371982E-2</v>
      </c>
      <c r="N412" s="13">
        <f t="shared" si="44"/>
        <v>0</v>
      </c>
    </row>
    <row r="413" spans="1:14" x14ac:dyDescent="0.25">
      <c r="A413" s="1368">
        <v>0.95</v>
      </c>
      <c r="B413" s="13">
        <v>9.6729733071243912E-2</v>
      </c>
      <c r="C413" s="13">
        <v>7.4684376163716634E-2</v>
      </c>
      <c r="D413" s="1378">
        <v>8.8300000000000003E-2</v>
      </c>
      <c r="E413" s="1378">
        <v>0.20200000000000001</v>
      </c>
      <c r="F413" s="13">
        <v>8.8300000000000003E-2</v>
      </c>
      <c r="G413" s="13">
        <v>0.20200000000000001</v>
      </c>
      <c r="H413" s="13">
        <v>9.8199999999999996E-2</v>
      </c>
      <c r="I413" s="1369">
        <v>0.1019</v>
      </c>
      <c r="J413" s="13">
        <v>7.1999999999999995E-2</v>
      </c>
      <c r="K413" s="13">
        <v>7.9921822537374163E-2</v>
      </c>
      <c r="L413" s="13">
        <v>6.5855203170441107E-2</v>
      </c>
      <c r="M413" s="13">
        <v>8.3007125120572137E-2</v>
      </c>
      <c r="N413" s="13">
        <f t="shared" si="44"/>
        <v>0</v>
      </c>
    </row>
    <row r="414" spans="1:14" x14ac:dyDescent="0.25">
      <c r="A414" s="1368">
        <v>0.96</v>
      </c>
      <c r="B414" s="13">
        <v>0.10271632464427888</v>
      </c>
      <c r="C414" s="13">
        <v>7.9082928687387588E-2</v>
      </c>
      <c r="D414" s="1378">
        <v>8.8599999999999998E-2</v>
      </c>
      <c r="E414" s="1378">
        <v>0.23200000000000001</v>
      </c>
      <c r="F414" s="13">
        <v>8.8599999999999998E-2</v>
      </c>
      <c r="G414" s="13">
        <v>0.23200000000000001</v>
      </c>
      <c r="H414" s="13">
        <v>0.107</v>
      </c>
      <c r="I414" s="1369">
        <v>0.12570000000000001</v>
      </c>
      <c r="J414" s="13">
        <v>7.2999999999999995E-2</v>
      </c>
      <c r="K414" s="13">
        <v>8.0757683881645462E-2</v>
      </c>
      <c r="L414" s="13">
        <v>6.7074884421271949E-2</v>
      </c>
      <c r="M414" s="13">
        <v>8.4553139281628331E-2</v>
      </c>
      <c r="N414" s="13">
        <f t="shared" si="44"/>
        <v>0</v>
      </c>
    </row>
    <row r="415" spans="1:14" x14ac:dyDescent="0.25">
      <c r="A415" s="1368">
        <v>0.97</v>
      </c>
      <c r="B415" s="13">
        <v>0.10829698002532144</v>
      </c>
      <c r="C415" s="13">
        <v>8.6975370551938547E-2</v>
      </c>
      <c r="D415" s="1378">
        <v>9.0300000000000005E-2</v>
      </c>
      <c r="E415" s="1378">
        <v>0.23200000000000001</v>
      </c>
      <c r="F415" s="13">
        <v>9.0300000000000005E-2</v>
      </c>
      <c r="G415" s="13">
        <v>0.23200000000000001</v>
      </c>
      <c r="H415" s="13">
        <v>0.1166</v>
      </c>
      <c r="I415" s="1369">
        <v>0.1356</v>
      </c>
      <c r="J415" s="13">
        <v>7.4999999999999997E-2</v>
      </c>
      <c r="K415" s="13">
        <v>8.8217612849514612E-2</v>
      </c>
      <c r="L415" s="13">
        <v>7.1580686877456071E-2</v>
      </c>
      <c r="M415" s="13">
        <v>8.5401322880950481E-2</v>
      </c>
      <c r="N415" s="13">
        <f t="shared" si="44"/>
        <v>0</v>
      </c>
    </row>
    <row r="416" spans="1:14" x14ac:dyDescent="0.25">
      <c r="A416" s="1368">
        <v>0.98</v>
      </c>
      <c r="B416" s="13">
        <v>0.11334344869830724</v>
      </c>
      <c r="C416" s="13">
        <v>9.8435266557093934E-2</v>
      </c>
      <c r="D416" s="1378">
        <v>9.1999999999999998E-2</v>
      </c>
      <c r="E416" s="1378">
        <v>0.28899999999999998</v>
      </c>
      <c r="F416" s="13">
        <v>9.1999999999999998E-2</v>
      </c>
      <c r="G416" s="13">
        <v>0.28899999999999998</v>
      </c>
      <c r="H416" s="13">
        <v>0.11799999999999999</v>
      </c>
      <c r="I416" s="1369">
        <v>0.13569999999999999</v>
      </c>
      <c r="J416" s="13">
        <v>7.8E-2</v>
      </c>
      <c r="K416" s="13">
        <v>9.4577579393877662E-2</v>
      </c>
      <c r="L416" s="13">
        <v>7.7026362919195762E-2</v>
      </c>
      <c r="M416" s="13">
        <v>8.6801984216314021E-2</v>
      </c>
      <c r="N416" s="13">
        <f t="shared" si="44"/>
        <v>0</v>
      </c>
    </row>
    <row r="417" spans="1:14" x14ac:dyDescent="0.25">
      <c r="A417" s="1368">
        <v>0.99</v>
      </c>
      <c r="B417" s="13">
        <v>0.12949946153696373</v>
      </c>
      <c r="C417" s="13">
        <v>0.1071553376948601</v>
      </c>
      <c r="D417" s="1378">
        <v>0.11310000000000001</v>
      </c>
      <c r="E417" s="1378">
        <v>0.28899999999999998</v>
      </c>
      <c r="F417" s="13">
        <v>0.11310000000000001</v>
      </c>
      <c r="G417" s="13">
        <v>0.28899999999999998</v>
      </c>
      <c r="H417" s="13">
        <v>0.12089999999999999</v>
      </c>
      <c r="I417" s="1369">
        <v>0.14230000000000001</v>
      </c>
      <c r="J417" s="13">
        <v>9.4E-2</v>
      </c>
      <c r="K417" s="13">
        <v>0.10807441632085323</v>
      </c>
      <c r="L417" s="13">
        <v>9.4124770917749803E-2</v>
      </c>
      <c r="M417" s="13">
        <v>8.7045279428524913E-2</v>
      </c>
      <c r="N417" s="13">
        <f t="shared" si="44"/>
        <v>0</v>
      </c>
    </row>
    <row r="418" spans="1:14" x14ac:dyDescent="0.25">
      <c r="A418" s="1368">
        <v>1</v>
      </c>
      <c r="B418" s="13">
        <v>0.17871892647258461</v>
      </c>
      <c r="C418" s="13">
        <v>0.19841051492367284</v>
      </c>
      <c r="D418" s="1378">
        <v>0.1363</v>
      </c>
      <c r="E418" s="1378">
        <v>0.32600000000000001</v>
      </c>
      <c r="F418" s="13">
        <v>0.1363</v>
      </c>
      <c r="G418" s="13">
        <v>0.32600000000000001</v>
      </c>
      <c r="H418" s="13">
        <v>0.14990000000000001</v>
      </c>
      <c r="I418" s="1369">
        <v>0.1449</v>
      </c>
      <c r="J418" s="13">
        <v>0.12</v>
      </c>
      <c r="K418" s="13">
        <v>0.13449091855561235</v>
      </c>
      <c r="L418" s="13">
        <v>0.11093769653409177</v>
      </c>
      <c r="M418" s="13">
        <v>9.3667747469695278E-2</v>
      </c>
      <c r="N418" s="13">
        <f t="shared" si="44"/>
        <v>0</v>
      </c>
    </row>
    <row r="419" spans="1:14" x14ac:dyDescent="0.25">
      <c r="A419" s="1368" t="s">
        <v>1995</v>
      </c>
      <c r="B419" s="13">
        <f>кривые!B419</f>
        <v>5.7902903781744876E-2</v>
      </c>
      <c r="C419" s="13">
        <f>кривые!C419</f>
        <v>5.7902903781744876E-2</v>
      </c>
      <c r="D419" s="13">
        <f>кривые!D419</f>
        <v>5.4785073813936852E-2</v>
      </c>
      <c r="E419" s="13">
        <f>кривые!E419</f>
        <v>5.4785073813936852E-2</v>
      </c>
      <c r="F419" s="13">
        <f>кривые!F419</f>
        <v>5.2713690534256813E-2</v>
      </c>
      <c r="G419" s="13">
        <f>кривые!G419</f>
        <v>5.2713690534256813E-2</v>
      </c>
      <c r="H419" s="13">
        <f>кривые!H419</f>
        <v>5.1521384092608855E-2</v>
      </c>
      <c r="I419" s="13">
        <f>кривые!I419</f>
        <v>5.1521384092608855E-2</v>
      </c>
      <c r="J419" s="13">
        <f>кривые!J419</f>
        <v>5.0411866321984848E-2</v>
      </c>
      <c r="K419" s="13">
        <f>кривые!K419</f>
        <v>5.0411866321984848E-2</v>
      </c>
      <c r="L419" s="13">
        <f>кривые!L419</f>
        <v>4.9026761616752831E-2</v>
      </c>
      <c r="M419" s="13">
        <f>кривые!M419</f>
        <v>4.9026761616752831E-2</v>
      </c>
      <c r="N419" s="13">
        <f t="shared" si="44"/>
        <v>0</v>
      </c>
    </row>
    <row r="420" spans="1:14" x14ac:dyDescent="0.25">
      <c r="A420" s="13" t="s">
        <v>1859</v>
      </c>
      <c r="B420" s="13" t="e">
        <f>AVERAGE('классы ЭЭ и выбросы ПГ'!$Y$45)</f>
        <v>#VALUE!</v>
      </c>
      <c r="C420" s="13" t="e">
        <f>B420</f>
        <v>#VALUE!</v>
      </c>
      <c r="D420" s="13" t="e">
        <f>AVERAGE('классы ЭЭ и выбросы ПГ'!$Z$45:$AA$45)</f>
        <v>#VALUE!</v>
      </c>
      <c r="E420" s="13" t="e">
        <f>D420</f>
        <v>#VALUE!</v>
      </c>
      <c r="F420" s="13" t="e">
        <f>AVERAGE('классы ЭЭ и выбросы ПГ'!$AB$45:$AC$45)</f>
        <v>#VALUE!</v>
      </c>
      <c r="G420" s="13" t="e">
        <f>F420</f>
        <v>#VALUE!</v>
      </c>
      <c r="H420" s="13" t="e">
        <f>AVERAGE('классы ЭЭ и выбросы ПГ'!$AD$45:$AE$45)</f>
        <v>#VALUE!</v>
      </c>
      <c r="I420" s="13" t="e">
        <f>H420</f>
        <v>#VALUE!</v>
      </c>
      <c r="J420" s="13" t="e">
        <f>AVERAGE('классы ЭЭ и выбросы ПГ'!$AF$45:$AG$45)</f>
        <v>#VALUE!</v>
      </c>
      <c r="K420" s="13" t="e">
        <f>J420</f>
        <v>#VALUE!</v>
      </c>
      <c r="L420" s="13" t="e">
        <f>AVERAGE('классы ЭЭ и выбросы ПГ'!$AH$45:$AN$45)</f>
        <v>#VALUE!</v>
      </c>
      <c r="M420" s="13" t="e">
        <f>L420</f>
        <v>#VALUE!</v>
      </c>
      <c r="N420" s="13" t="e">
        <f t="shared" si="44"/>
        <v>#VALUE!</v>
      </c>
    </row>
    <row r="421" spans="1:14" x14ac:dyDescent="0.25">
      <c r="A421" s="13" t="s">
        <v>1858</v>
      </c>
      <c r="B421" s="13" t="e">
        <f t="shared" ref="B421:M421" si="45">0.4*B420</f>
        <v>#VALUE!</v>
      </c>
      <c r="C421" s="13" t="e">
        <f t="shared" si="45"/>
        <v>#VALUE!</v>
      </c>
      <c r="D421" s="13" t="e">
        <f t="shared" si="45"/>
        <v>#VALUE!</v>
      </c>
      <c r="E421" s="13" t="e">
        <f t="shared" si="45"/>
        <v>#VALUE!</v>
      </c>
      <c r="F421" s="13" t="e">
        <f t="shared" si="45"/>
        <v>#VALUE!</v>
      </c>
      <c r="G421" s="13" t="e">
        <f t="shared" si="45"/>
        <v>#VALUE!</v>
      </c>
      <c r="H421" s="13" t="e">
        <f t="shared" si="45"/>
        <v>#VALUE!</v>
      </c>
      <c r="I421" s="13" t="e">
        <f t="shared" si="45"/>
        <v>#VALUE!</v>
      </c>
      <c r="J421" s="13" t="e">
        <f t="shared" si="45"/>
        <v>#VALUE!</v>
      </c>
      <c r="K421" s="13" t="e">
        <f t="shared" si="45"/>
        <v>#VALUE!</v>
      </c>
      <c r="L421" s="13" t="e">
        <f t="shared" si="45"/>
        <v>#VALUE!</v>
      </c>
      <c r="M421" s="13" t="e">
        <f t="shared" si="45"/>
        <v>#VALUE!</v>
      </c>
      <c r="N421" s="13" t="e">
        <f t="shared" si="44"/>
        <v>#VALUE!</v>
      </c>
    </row>
    <row r="422" spans="1:14" x14ac:dyDescent="0.25">
      <c r="B422" s="13" t="s">
        <v>1845</v>
      </c>
      <c r="C422" s="13" t="s">
        <v>1846</v>
      </c>
      <c r="D422" s="13" t="s">
        <v>1847</v>
      </c>
      <c r="E422" s="13" t="s">
        <v>1848</v>
      </c>
      <c r="F422" s="13" t="s">
        <v>1849</v>
      </c>
      <c r="G422" s="13" t="s">
        <v>1850</v>
      </c>
      <c r="H422" s="13" t="s">
        <v>1851</v>
      </c>
      <c r="I422" s="1369" t="s">
        <v>1852</v>
      </c>
      <c r="J422" s="13" t="s">
        <v>1853</v>
      </c>
      <c r="K422" s="13" t="s">
        <v>1854</v>
      </c>
      <c r="L422" s="13" t="s">
        <v>1855</v>
      </c>
      <c r="M422" s="13" t="s">
        <v>1856</v>
      </c>
      <c r="N422" s="13" t="s">
        <v>1483</v>
      </c>
    </row>
    <row r="423" spans="1:14" x14ac:dyDescent="0.25">
      <c r="A423" s="13" t="s">
        <v>1858</v>
      </c>
      <c r="B423" s="13" t="e">
        <f t="shared" ref="B423:M423" si="46">0.4*B420</f>
        <v>#VALUE!</v>
      </c>
      <c r="C423" s="13" t="e">
        <f t="shared" si="46"/>
        <v>#VALUE!</v>
      </c>
      <c r="D423" s="13" t="e">
        <f t="shared" si="46"/>
        <v>#VALUE!</v>
      </c>
      <c r="E423" s="13" t="e">
        <f t="shared" si="46"/>
        <v>#VALUE!</v>
      </c>
      <c r="F423" s="13" t="e">
        <f t="shared" si="46"/>
        <v>#VALUE!</v>
      </c>
      <c r="G423" s="13" t="e">
        <f t="shared" si="46"/>
        <v>#VALUE!</v>
      </c>
      <c r="H423" s="13" t="e">
        <f t="shared" si="46"/>
        <v>#VALUE!</v>
      </c>
      <c r="I423" s="13" t="e">
        <f t="shared" si="46"/>
        <v>#VALUE!</v>
      </c>
      <c r="J423" s="13" t="e">
        <f t="shared" si="46"/>
        <v>#VALUE!</v>
      </c>
      <c r="K423" s="13" t="e">
        <f t="shared" si="46"/>
        <v>#VALUE!</v>
      </c>
      <c r="L423" s="13" t="e">
        <f t="shared" si="46"/>
        <v>#VALUE!</v>
      </c>
      <c r="M423" s="13" t="e">
        <f t="shared" si="46"/>
        <v>#VALUE!</v>
      </c>
      <c r="N423" s="13" t="e">
        <f>($B$106*B423+$C$106*C423+$D$106*D423+$E$106*E423+$F$106*F423+$G$106*G423+$H$106*H423+$I$106*I423+$J$106*J423+$K$106*K423+$L$106*L423+$M$106*M423)*'Рейтинг МКД'!D11</f>
        <v>#VALUE!</v>
      </c>
    </row>
    <row r="424" spans="1:14" x14ac:dyDescent="0.25">
      <c r="A424" s="13" t="s">
        <v>1861</v>
      </c>
      <c r="B424" s="13" t="e">
        <f t="shared" ref="B424:M424" si="47">0.5*B420</f>
        <v>#VALUE!</v>
      </c>
      <c r="C424" s="13" t="e">
        <f t="shared" si="47"/>
        <v>#VALUE!</v>
      </c>
      <c r="D424" s="13" t="e">
        <f t="shared" si="47"/>
        <v>#VALUE!</v>
      </c>
      <c r="E424" s="13" t="e">
        <f t="shared" si="47"/>
        <v>#VALUE!</v>
      </c>
      <c r="F424" s="13" t="e">
        <f t="shared" si="47"/>
        <v>#VALUE!</v>
      </c>
      <c r="G424" s="13" t="e">
        <f t="shared" si="47"/>
        <v>#VALUE!</v>
      </c>
      <c r="H424" s="13" t="e">
        <f t="shared" si="47"/>
        <v>#VALUE!</v>
      </c>
      <c r="I424" s="13" t="e">
        <f t="shared" si="47"/>
        <v>#VALUE!</v>
      </c>
      <c r="J424" s="13" t="e">
        <f t="shared" si="47"/>
        <v>#VALUE!</v>
      </c>
      <c r="K424" s="13" t="e">
        <f t="shared" si="47"/>
        <v>#VALUE!</v>
      </c>
      <c r="L424" s="13" t="e">
        <f t="shared" si="47"/>
        <v>#VALUE!</v>
      </c>
      <c r="M424" s="13" t="e">
        <f t="shared" si="47"/>
        <v>#VALUE!</v>
      </c>
      <c r="N424" s="13" t="e">
        <f>($B$106*B424+$C$106*C424+$D$106*D424+$E$106*E424+$F$106*F424+$G$106*G424+$H$106*H424+$I$106*I424+$J$106*J424+$K$106*K424+$L$106*L424+$M$106*M424)*'Рейтинг МКД'!D11</f>
        <v>#VALUE!</v>
      </c>
    </row>
    <row r="425" spans="1:14" x14ac:dyDescent="0.25">
      <c r="A425" s="13" t="s">
        <v>563</v>
      </c>
      <c r="B425" s="13" t="e">
        <f t="shared" ref="B425:M425" si="48">0.6*B420</f>
        <v>#VALUE!</v>
      </c>
      <c r="C425" s="13" t="e">
        <f t="shared" si="48"/>
        <v>#VALUE!</v>
      </c>
      <c r="D425" s="13" t="e">
        <f t="shared" si="48"/>
        <v>#VALUE!</v>
      </c>
      <c r="E425" s="13" t="e">
        <f t="shared" si="48"/>
        <v>#VALUE!</v>
      </c>
      <c r="F425" s="13" t="e">
        <f t="shared" si="48"/>
        <v>#VALUE!</v>
      </c>
      <c r="G425" s="13" t="e">
        <f t="shared" si="48"/>
        <v>#VALUE!</v>
      </c>
      <c r="H425" s="13" t="e">
        <f t="shared" si="48"/>
        <v>#VALUE!</v>
      </c>
      <c r="I425" s="13" t="e">
        <f t="shared" si="48"/>
        <v>#VALUE!</v>
      </c>
      <c r="J425" s="13" t="e">
        <f t="shared" si="48"/>
        <v>#VALUE!</v>
      </c>
      <c r="K425" s="13" t="e">
        <f t="shared" si="48"/>
        <v>#VALUE!</v>
      </c>
      <c r="L425" s="13" t="e">
        <f t="shared" si="48"/>
        <v>#VALUE!</v>
      </c>
      <c r="M425" s="13" t="e">
        <f t="shared" si="48"/>
        <v>#VALUE!</v>
      </c>
      <c r="N425" s="13" t="e">
        <f>($B$106*B425+$C$106*C425+$D$106*D425+$E$106*E425+$F$106*F425+$G$106*G425+$H$106*H425+$I$106*I425+$J$106*J425+$K$106*K425+$L$106*L425+$M$106*M425)*'Рейтинг МКД'!D11</f>
        <v>#VALUE!</v>
      </c>
    </row>
    <row r="426" spans="1:14" x14ac:dyDescent="0.25">
      <c r="A426" s="13" t="s">
        <v>1792</v>
      </c>
      <c r="B426" s="13" t="e">
        <f t="shared" ref="B426:M426" si="49">0.7*B420</f>
        <v>#VALUE!</v>
      </c>
      <c r="C426" s="13" t="e">
        <f t="shared" si="49"/>
        <v>#VALUE!</v>
      </c>
      <c r="D426" s="13" t="e">
        <f t="shared" si="49"/>
        <v>#VALUE!</v>
      </c>
      <c r="E426" s="13" t="e">
        <f t="shared" si="49"/>
        <v>#VALUE!</v>
      </c>
      <c r="F426" s="13" t="e">
        <f t="shared" si="49"/>
        <v>#VALUE!</v>
      </c>
      <c r="G426" s="13" t="e">
        <f t="shared" si="49"/>
        <v>#VALUE!</v>
      </c>
      <c r="H426" s="13" t="e">
        <f t="shared" si="49"/>
        <v>#VALUE!</v>
      </c>
      <c r="I426" s="13" t="e">
        <f t="shared" si="49"/>
        <v>#VALUE!</v>
      </c>
      <c r="J426" s="13" t="e">
        <f t="shared" si="49"/>
        <v>#VALUE!</v>
      </c>
      <c r="K426" s="13" t="e">
        <f t="shared" si="49"/>
        <v>#VALUE!</v>
      </c>
      <c r="L426" s="13" t="e">
        <f t="shared" si="49"/>
        <v>#VALUE!</v>
      </c>
      <c r="M426" s="13" t="e">
        <f t="shared" si="49"/>
        <v>#VALUE!</v>
      </c>
      <c r="N426" s="13" t="e">
        <f>($B$106*B426+$C$106*C426+$D$106*D426+$E$106*E426+$F$106*F426+$G$106*G426+$H$106*H426+$I$106*I426+$J$106*J426+$K$106*K426+$L$106*L426+$M$106*M426)*'Рейтинг МКД'!D11</f>
        <v>#VALUE!</v>
      </c>
    </row>
    <row r="427" spans="1:14" x14ac:dyDescent="0.25">
      <c r="A427" s="13" t="s">
        <v>1793</v>
      </c>
      <c r="B427" s="13" t="e">
        <f t="shared" ref="B427:M427" si="50">0.85*B420</f>
        <v>#VALUE!</v>
      </c>
      <c r="C427" s="13" t="e">
        <f t="shared" si="50"/>
        <v>#VALUE!</v>
      </c>
      <c r="D427" s="13" t="e">
        <f t="shared" si="50"/>
        <v>#VALUE!</v>
      </c>
      <c r="E427" s="13" t="e">
        <f t="shared" si="50"/>
        <v>#VALUE!</v>
      </c>
      <c r="F427" s="13" t="e">
        <f t="shared" si="50"/>
        <v>#VALUE!</v>
      </c>
      <c r="G427" s="13" t="e">
        <f t="shared" si="50"/>
        <v>#VALUE!</v>
      </c>
      <c r="H427" s="13" t="e">
        <f t="shared" si="50"/>
        <v>#VALUE!</v>
      </c>
      <c r="I427" s="13" t="e">
        <f t="shared" si="50"/>
        <v>#VALUE!</v>
      </c>
      <c r="J427" s="13" t="e">
        <f t="shared" si="50"/>
        <v>#VALUE!</v>
      </c>
      <c r="K427" s="13" t="e">
        <f t="shared" si="50"/>
        <v>#VALUE!</v>
      </c>
      <c r="L427" s="13" t="e">
        <f t="shared" si="50"/>
        <v>#VALUE!</v>
      </c>
      <c r="M427" s="13" t="e">
        <f t="shared" si="50"/>
        <v>#VALUE!</v>
      </c>
      <c r="N427" s="13" t="e">
        <f>($B$106*B427+$C$106*C427+$D$106*D427+$E$106*E427+$F$106*F427+$G$106*G427+$H$106*H427+$I$106*I427+$J$106*J427+$K$106*K427+$L$106*L427+$M$106*M427)*'Рейтинг МКД'!D11</f>
        <v>#VALUE!</v>
      </c>
    </row>
    <row r="428" spans="1:14" x14ac:dyDescent="0.25">
      <c r="A428" s="13" t="s">
        <v>1794</v>
      </c>
      <c r="B428" s="13" t="e">
        <f t="shared" ref="B428:M428" si="51">B420</f>
        <v>#VALUE!</v>
      </c>
      <c r="C428" s="13" t="e">
        <f t="shared" si="51"/>
        <v>#VALUE!</v>
      </c>
      <c r="D428" s="13" t="e">
        <f t="shared" si="51"/>
        <v>#VALUE!</v>
      </c>
      <c r="E428" s="13" t="e">
        <f t="shared" si="51"/>
        <v>#VALUE!</v>
      </c>
      <c r="F428" s="13" t="e">
        <f t="shared" si="51"/>
        <v>#VALUE!</v>
      </c>
      <c r="G428" s="13" t="e">
        <f t="shared" si="51"/>
        <v>#VALUE!</v>
      </c>
      <c r="H428" s="13" t="e">
        <f t="shared" si="51"/>
        <v>#VALUE!</v>
      </c>
      <c r="I428" s="13" t="e">
        <f t="shared" si="51"/>
        <v>#VALUE!</v>
      </c>
      <c r="J428" s="13" t="e">
        <f t="shared" si="51"/>
        <v>#VALUE!</v>
      </c>
      <c r="K428" s="13" t="e">
        <f t="shared" si="51"/>
        <v>#VALUE!</v>
      </c>
      <c r="L428" s="13" t="e">
        <f t="shared" si="51"/>
        <v>#VALUE!</v>
      </c>
      <c r="M428" s="13" t="e">
        <f t="shared" si="51"/>
        <v>#VALUE!</v>
      </c>
      <c r="N428" s="13" t="e">
        <f>($B$106*B428+$C$106*C428+$D$106*D428+$E$106*E428+$F$106*F428+$G$106*G428+$H$106*H428+$I$106*I428+$J$106*J428+$K$106*K428+$L$106*L428+$M$106*M428)*'Рейтинг МКД'!D11</f>
        <v>#VALUE!</v>
      </c>
    </row>
    <row r="429" spans="1:14" x14ac:dyDescent="0.25">
      <c r="A429" s="13" t="s">
        <v>1795</v>
      </c>
      <c r="B429" s="13" t="e">
        <f t="shared" ref="B429:M429" si="52">B420*1.25</f>
        <v>#VALUE!</v>
      </c>
      <c r="C429" s="13" t="e">
        <f t="shared" si="52"/>
        <v>#VALUE!</v>
      </c>
      <c r="D429" s="13" t="e">
        <f t="shared" si="52"/>
        <v>#VALUE!</v>
      </c>
      <c r="E429" s="13" t="e">
        <f t="shared" si="52"/>
        <v>#VALUE!</v>
      </c>
      <c r="F429" s="13" t="e">
        <f t="shared" si="52"/>
        <v>#VALUE!</v>
      </c>
      <c r="G429" s="13" t="e">
        <f t="shared" si="52"/>
        <v>#VALUE!</v>
      </c>
      <c r="H429" s="13" t="e">
        <f t="shared" si="52"/>
        <v>#VALUE!</v>
      </c>
      <c r="I429" s="13" t="e">
        <f t="shared" si="52"/>
        <v>#VALUE!</v>
      </c>
      <c r="J429" s="13" t="e">
        <f t="shared" si="52"/>
        <v>#VALUE!</v>
      </c>
      <c r="K429" s="13" t="e">
        <f t="shared" si="52"/>
        <v>#VALUE!</v>
      </c>
      <c r="L429" s="13" t="e">
        <f t="shared" si="52"/>
        <v>#VALUE!</v>
      </c>
      <c r="M429" s="13" t="e">
        <f t="shared" si="52"/>
        <v>#VALUE!</v>
      </c>
      <c r="N429" s="13" t="e">
        <f>($B$106*B429+$C$106*C429+$D$106*D429+$E$106*E429+$F$106*F429+$G$106*G429+$H$106*H429+$I$106*I429+$J$106*J429+$K$106*K429+$L$106*L429+$M$106*M429)*'Рейтинг МКД'!D11</f>
        <v>#VALUE!</v>
      </c>
    </row>
    <row r="430" spans="1:14" x14ac:dyDescent="0.25">
      <c r="A430" s="13" t="s">
        <v>1796</v>
      </c>
      <c r="B430" s="13" t="e">
        <f t="shared" ref="B430:M430" si="53">B420*1.5</f>
        <v>#VALUE!</v>
      </c>
      <c r="C430" s="13" t="e">
        <f t="shared" si="53"/>
        <v>#VALUE!</v>
      </c>
      <c r="D430" s="13" t="e">
        <f t="shared" si="53"/>
        <v>#VALUE!</v>
      </c>
      <c r="E430" s="13" t="e">
        <f t="shared" si="53"/>
        <v>#VALUE!</v>
      </c>
      <c r="F430" s="13" t="e">
        <f t="shared" si="53"/>
        <v>#VALUE!</v>
      </c>
      <c r="G430" s="13" t="e">
        <f t="shared" si="53"/>
        <v>#VALUE!</v>
      </c>
      <c r="H430" s="13" t="e">
        <f t="shared" si="53"/>
        <v>#VALUE!</v>
      </c>
      <c r="I430" s="13" t="e">
        <f t="shared" si="53"/>
        <v>#VALUE!</v>
      </c>
      <c r="J430" s="13" t="e">
        <f t="shared" si="53"/>
        <v>#VALUE!</v>
      </c>
      <c r="K430" s="13" t="e">
        <f t="shared" si="53"/>
        <v>#VALUE!</v>
      </c>
      <c r="L430" s="13" t="e">
        <f t="shared" si="53"/>
        <v>#VALUE!</v>
      </c>
      <c r="M430" s="13" t="e">
        <f t="shared" si="53"/>
        <v>#VALUE!</v>
      </c>
      <c r="N430" s="13" t="e">
        <f>($B$106*B430+$C$106*C430+$D$106*D430+$E$106*E430+$F$106*F430+$G$106*G430+$H$106*H430+$I$106*I430+$J$106*J430+$K$106*K430+$L$106*L430+$M$106*M430)*'Рейтинг МКД'!D11</f>
        <v>#VALUE!</v>
      </c>
    </row>
    <row r="431" spans="1:14" x14ac:dyDescent="0.25">
      <c r="A431" s="13" t="s">
        <v>1797</v>
      </c>
    </row>
  </sheetData>
  <sheetProtection password="ECB1"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1"/>
  <dimension ref="A1:Q140"/>
  <sheetViews>
    <sheetView topLeftCell="A25" workbookViewId="0">
      <selection activeCell="A25" sqref="A1:XFD1048576"/>
    </sheetView>
  </sheetViews>
  <sheetFormatPr defaultRowHeight="15" x14ac:dyDescent="0.25"/>
  <cols>
    <col min="1" max="1" width="81.28515625" customWidth="1"/>
    <col min="2" max="2" width="19.140625" customWidth="1"/>
    <col min="3" max="3" width="22.7109375" customWidth="1"/>
    <col min="4" max="5" width="17.5703125" customWidth="1"/>
    <col min="6" max="6" width="17" customWidth="1"/>
  </cols>
  <sheetData>
    <row r="1" spans="1:17" s="13" customFormat="1" x14ac:dyDescent="0.25"/>
    <row r="2" spans="1:17" ht="15.75" x14ac:dyDescent="0.25">
      <c r="A2" s="2576" t="s">
        <v>2084</v>
      </c>
      <c r="B2" s="2576"/>
      <c r="C2" s="2576"/>
      <c r="D2" s="2576"/>
      <c r="E2" s="2576"/>
      <c r="F2" s="2576"/>
    </row>
    <row r="3" spans="1:17" ht="22.5" customHeight="1" x14ac:dyDescent="0.25">
      <c r="A3" s="2607" t="s">
        <v>2085</v>
      </c>
      <c r="B3" s="2608" t="s">
        <v>2036</v>
      </c>
      <c r="C3" s="2608" t="s">
        <v>2032</v>
      </c>
      <c r="D3" s="2609" t="s">
        <v>2105</v>
      </c>
      <c r="E3" s="2609"/>
      <c r="F3" s="2609"/>
      <c r="G3" s="1435"/>
      <c r="H3" s="1435"/>
      <c r="I3" s="1435"/>
      <c r="J3" s="1435"/>
      <c r="K3" s="1435"/>
      <c r="L3" s="1435"/>
      <c r="M3" s="1435"/>
      <c r="N3" s="1435"/>
      <c r="O3" s="1435"/>
      <c r="P3" s="1435"/>
      <c r="Q3" s="1435"/>
    </row>
    <row r="4" spans="1:17" ht="19.5" customHeight="1" x14ac:dyDescent="0.25">
      <c r="A4" s="2607"/>
      <c r="B4" s="2608"/>
      <c r="C4" s="2608"/>
      <c r="D4" s="1439" t="s">
        <v>2033</v>
      </c>
      <c r="E4" s="1438" t="s">
        <v>2034</v>
      </c>
      <c r="F4" s="1445" t="s">
        <v>2035</v>
      </c>
      <c r="G4" s="1435"/>
      <c r="H4" s="1435"/>
      <c r="I4" s="1435"/>
      <c r="J4" s="1435"/>
      <c r="K4" s="1435"/>
      <c r="L4" s="1435"/>
      <c r="M4" s="1435"/>
      <c r="N4" s="1435"/>
      <c r="O4" s="1435"/>
      <c r="P4" s="1435"/>
      <c r="Q4" s="1435"/>
    </row>
    <row r="5" spans="1:17" s="13" customFormat="1" ht="12.95" customHeight="1" x14ac:dyDescent="0.25">
      <c r="A5" s="1441">
        <f>600</f>
        <v>600</v>
      </c>
      <c r="B5" s="1439">
        <f>8</f>
        <v>8</v>
      </c>
      <c r="C5" s="1439">
        <f>6</f>
        <v>6</v>
      </c>
      <c r="D5" s="1439"/>
      <c r="E5" s="1438"/>
      <c r="F5" s="1439"/>
      <c r="G5" s="1435"/>
      <c r="H5" s="1435"/>
      <c r="I5" s="1435"/>
      <c r="J5" s="1435"/>
      <c r="K5" s="1435"/>
      <c r="L5" s="1435"/>
      <c r="M5" s="1435"/>
      <c r="N5" s="1435"/>
      <c r="O5" s="1435"/>
      <c r="P5" s="1435"/>
      <c r="Q5" s="1435"/>
    </row>
    <row r="6" spans="1:17" s="13" customFormat="1" ht="14.45" customHeight="1" x14ac:dyDescent="0.25">
      <c r="A6" s="1441">
        <f>700</f>
        <v>700</v>
      </c>
      <c r="B6" s="1439">
        <f>7</f>
        <v>7</v>
      </c>
      <c r="C6" s="1439">
        <f>7</f>
        <v>7</v>
      </c>
      <c r="D6" s="1439"/>
      <c r="E6" s="1438"/>
      <c r="F6" s="1437"/>
      <c r="G6" s="1435"/>
      <c r="H6" s="1435"/>
      <c r="I6" s="1435"/>
      <c r="J6" s="1435"/>
      <c r="K6" s="1435"/>
      <c r="L6" s="1435"/>
      <c r="M6" s="1435"/>
      <c r="N6" s="1435"/>
      <c r="O6" s="1435"/>
      <c r="P6" s="1435"/>
      <c r="Q6" s="1435"/>
    </row>
    <row r="7" spans="1:17" x14ac:dyDescent="0.25">
      <c r="A7" s="1438">
        <f>1000</f>
        <v>1000</v>
      </c>
      <c r="B7" s="1438">
        <f>15</f>
        <v>15</v>
      </c>
      <c r="C7" s="1438">
        <f>5</f>
        <v>5</v>
      </c>
      <c r="D7" s="1440">
        <f>1000</f>
        <v>1000</v>
      </c>
      <c r="E7" s="1440">
        <f>600</f>
        <v>600</v>
      </c>
      <c r="F7" s="1440">
        <f>400</f>
        <v>400</v>
      </c>
      <c r="G7" s="1435"/>
      <c r="H7" s="1435"/>
      <c r="I7" s="1435"/>
      <c r="J7" s="1435"/>
      <c r="K7" s="1435"/>
      <c r="L7" s="1435"/>
      <c r="M7" s="1435"/>
      <c r="N7" s="1435"/>
      <c r="O7" s="1435"/>
      <c r="P7" s="1435"/>
      <c r="Q7" s="1435"/>
    </row>
    <row r="8" spans="1:17" s="13" customFormat="1" x14ac:dyDescent="0.25">
      <c r="A8" s="1438">
        <f>1200</f>
        <v>1200</v>
      </c>
      <c r="B8" s="1438">
        <f>12</f>
        <v>12</v>
      </c>
      <c r="C8" s="1438">
        <f>6</f>
        <v>6</v>
      </c>
      <c r="D8" s="1440">
        <f>1200</f>
        <v>1200</v>
      </c>
      <c r="E8" s="1440">
        <f>700</f>
        <v>700</v>
      </c>
      <c r="F8" s="1440">
        <f>500</f>
        <v>500</v>
      </c>
      <c r="G8" s="1435"/>
      <c r="H8" s="1435"/>
      <c r="I8" s="1435"/>
      <c r="J8" s="1435"/>
      <c r="K8" s="1435"/>
      <c r="L8" s="1435"/>
      <c r="M8" s="1435"/>
      <c r="N8" s="1435"/>
      <c r="O8" s="1435"/>
      <c r="P8" s="1435"/>
      <c r="Q8" s="1435"/>
    </row>
    <row r="9" spans="1:17" x14ac:dyDescent="0.25">
      <c r="A9" s="1438">
        <f>1500</f>
        <v>1500</v>
      </c>
      <c r="B9" s="1438">
        <f>20</f>
        <v>20</v>
      </c>
      <c r="C9" s="1438">
        <f>7</f>
        <v>7</v>
      </c>
      <c r="D9" s="1440">
        <f>1500</f>
        <v>1500</v>
      </c>
      <c r="E9" s="1440">
        <f>900</f>
        <v>900</v>
      </c>
      <c r="F9" s="1440">
        <f>600</f>
        <v>600</v>
      </c>
      <c r="G9" s="1435"/>
      <c r="H9" s="1435"/>
      <c r="I9" s="1435"/>
      <c r="J9" s="1435"/>
      <c r="K9" s="1435"/>
      <c r="L9" s="1435"/>
      <c r="M9" s="1435"/>
      <c r="N9" s="1435"/>
      <c r="O9" s="1435"/>
      <c r="P9" s="1435"/>
      <c r="Q9" s="1435"/>
    </row>
    <row r="10" spans="1:17" s="13" customFormat="1" x14ac:dyDescent="0.25">
      <c r="A10" s="1438">
        <f>1800</f>
        <v>1800</v>
      </c>
      <c r="B10" s="1438">
        <f>20</f>
        <v>20</v>
      </c>
      <c r="C10" s="1438">
        <f>7</f>
        <v>7</v>
      </c>
      <c r="D10" s="1440">
        <f>1800</f>
        <v>1800</v>
      </c>
      <c r="E10" s="1440">
        <f>900</f>
        <v>900</v>
      </c>
      <c r="F10" s="1440">
        <f>600</f>
        <v>600</v>
      </c>
      <c r="G10" s="1435"/>
      <c r="H10" s="1435"/>
      <c r="I10" s="1435"/>
      <c r="J10" s="1435"/>
      <c r="K10" s="1435"/>
      <c r="L10" s="1435"/>
      <c r="M10" s="1435"/>
      <c r="N10" s="1435"/>
      <c r="O10" s="1435"/>
      <c r="P10" s="1435"/>
      <c r="Q10" s="1435"/>
    </row>
    <row r="11" spans="1:17" s="13" customFormat="1" x14ac:dyDescent="0.25">
      <c r="A11" s="1438">
        <f>1900</f>
        <v>1900</v>
      </c>
      <c r="B11" s="1438">
        <f>20</f>
        <v>20</v>
      </c>
      <c r="C11" s="1438">
        <f>7</f>
        <v>7</v>
      </c>
      <c r="D11" s="1440"/>
      <c r="E11" s="1440"/>
      <c r="F11" s="1440"/>
      <c r="G11" s="1435"/>
      <c r="H11" s="1435"/>
      <c r="I11" s="1435"/>
      <c r="J11" s="1435"/>
      <c r="K11" s="1435"/>
      <c r="L11" s="1435"/>
      <c r="M11" s="1435"/>
      <c r="N11" s="1435"/>
      <c r="O11" s="1435"/>
      <c r="P11" s="1435"/>
      <c r="Q11" s="1435"/>
    </row>
    <row r="12" spans="1:17" x14ac:dyDescent="0.25">
      <c r="A12" s="1438">
        <f>2000</f>
        <v>2000</v>
      </c>
      <c r="B12" s="1438">
        <f>25</f>
        <v>25</v>
      </c>
      <c r="C12" s="1438">
        <f>9</f>
        <v>9</v>
      </c>
      <c r="D12" s="1440">
        <f>2000</f>
        <v>2000</v>
      </c>
      <c r="E12" s="1440">
        <f>1200</f>
        <v>1200</v>
      </c>
      <c r="F12" s="1440">
        <f>800</f>
        <v>800</v>
      </c>
      <c r="G12" s="1435"/>
      <c r="H12" s="1435"/>
      <c r="I12" s="1435"/>
      <c r="J12" s="1435"/>
      <c r="K12" s="1435"/>
      <c r="L12" s="1435"/>
      <c r="M12" s="1435"/>
      <c r="N12" s="1435"/>
      <c r="O12" s="1435"/>
      <c r="P12" s="1435"/>
      <c r="Q12" s="1435"/>
    </row>
    <row r="13" spans="1:17" x14ac:dyDescent="0.25">
      <c r="A13" s="1438">
        <f>2200</f>
        <v>2200</v>
      </c>
      <c r="B13" s="1438">
        <f>27</f>
        <v>27</v>
      </c>
      <c r="C13" s="1438">
        <f>11</f>
        <v>11</v>
      </c>
      <c r="D13" s="1440">
        <f>2200</f>
        <v>2200</v>
      </c>
      <c r="E13" s="1440">
        <f>1200</f>
        <v>1200</v>
      </c>
      <c r="F13" s="1440">
        <f>1000</f>
        <v>1000</v>
      </c>
      <c r="G13" s="1435"/>
      <c r="H13" s="1435"/>
      <c r="I13" s="1435"/>
      <c r="J13" s="1435"/>
      <c r="K13" s="1435"/>
      <c r="L13" s="1435"/>
      <c r="M13" s="1435"/>
      <c r="N13" s="1435"/>
      <c r="O13" s="1435"/>
      <c r="P13" s="1435"/>
      <c r="Q13" s="1435"/>
    </row>
    <row r="14" spans="1:17" s="13" customFormat="1" x14ac:dyDescent="0.25">
      <c r="A14" s="1438">
        <f>2300</f>
        <v>2300</v>
      </c>
      <c r="B14" s="1438">
        <f>27</f>
        <v>27</v>
      </c>
      <c r="C14" s="1438">
        <f>11</f>
        <v>11</v>
      </c>
      <c r="D14" s="1440"/>
      <c r="E14" s="1440"/>
      <c r="F14" s="1440"/>
      <c r="G14" s="1435"/>
      <c r="H14" s="1435"/>
      <c r="I14" s="1435"/>
      <c r="J14" s="1435"/>
      <c r="K14" s="1435"/>
      <c r="L14" s="1435"/>
      <c r="M14" s="1435"/>
      <c r="N14" s="1435"/>
      <c r="O14" s="1435"/>
      <c r="P14" s="1435"/>
      <c r="Q14" s="1435"/>
    </row>
    <row r="15" spans="1:17" x14ac:dyDescent="0.25">
      <c r="A15" s="1438">
        <f>2400</f>
        <v>2400</v>
      </c>
      <c r="B15" s="1438">
        <f>29</f>
        <v>29</v>
      </c>
      <c r="C15" s="1438">
        <f>9</f>
        <v>9</v>
      </c>
      <c r="D15" s="1436"/>
      <c r="E15" s="1436"/>
      <c r="F15" s="1436"/>
      <c r="G15" s="1435"/>
      <c r="H15" s="1435"/>
      <c r="I15" s="1435"/>
      <c r="J15" s="1435"/>
      <c r="K15" s="1435"/>
      <c r="L15" s="1435"/>
      <c r="M15" s="1435"/>
      <c r="N15" s="1435"/>
      <c r="O15" s="1435"/>
      <c r="P15" s="1435"/>
      <c r="Q15" s="1435"/>
    </row>
    <row r="16" spans="1:17" s="13" customFormat="1" x14ac:dyDescent="0.25">
      <c r="A16" s="1438">
        <f>2500</f>
        <v>2500</v>
      </c>
      <c r="B16" s="1438">
        <f>25</f>
        <v>25</v>
      </c>
      <c r="C16" s="1438">
        <f>12</f>
        <v>12</v>
      </c>
      <c r="D16" s="1436"/>
      <c r="E16" s="1436"/>
      <c r="F16" s="1436"/>
      <c r="G16" s="1435"/>
      <c r="H16" s="1435"/>
      <c r="I16" s="1435"/>
      <c r="J16" s="1435"/>
      <c r="K16" s="1435"/>
      <c r="L16" s="1435"/>
      <c r="M16" s="1435"/>
      <c r="N16" s="1435"/>
      <c r="O16" s="1435"/>
      <c r="P16" s="1435"/>
      <c r="Q16" s="1435"/>
    </row>
    <row r="17" spans="1:17" x14ac:dyDescent="0.25">
      <c r="A17" s="1438">
        <f>2900</f>
        <v>2900</v>
      </c>
      <c r="B17" s="1438">
        <f>28</f>
        <v>28</v>
      </c>
      <c r="C17" s="1438">
        <f>12</f>
        <v>12</v>
      </c>
      <c r="D17" s="1436"/>
      <c r="E17" s="1436"/>
      <c r="F17" s="1436"/>
      <c r="G17" s="1435"/>
      <c r="H17" s="1435"/>
      <c r="I17" s="1435"/>
      <c r="J17" s="1435"/>
      <c r="K17" s="1435"/>
      <c r="L17" s="1435"/>
      <c r="M17" s="1435"/>
      <c r="N17" s="1435"/>
      <c r="O17" s="1435"/>
      <c r="P17" s="1435"/>
      <c r="Q17" s="1435"/>
    </row>
    <row r="18" spans="1:17" s="13" customFormat="1" x14ac:dyDescent="0.25">
      <c r="A18" s="1447"/>
      <c r="B18" s="1447"/>
      <c r="C18" s="1447"/>
      <c r="D18" s="1465"/>
      <c r="E18" s="1465"/>
      <c r="F18" s="1465"/>
      <c r="G18" s="1435"/>
      <c r="H18" s="1435"/>
      <c r="I18" s="1435"/>
      <c r="J18" s="1435"/>
      <c r="K18" s="1435"/>
      <c r="L18" s="1435"/>
      <c r="M18" s="1435"/>
      <c r="N18" s="1435"/>
      <c r="O18" s="1435"/>
      <c r="P18" s="1435"/>
      <c r="Q18" s="1435"/>
    </row>
    <row r="19" spans="1:17" x14ac:dyDescent="0.25">
      <c r="A19" s="1435"/>
      <c r="B19" s="1435"/>
      <c r="C19" s="1435"/>
      <c r="D19" s="1435"/>
      <c r="E19" s="1435"/>
      <c r="F19" s="1435"/>
      <c r="G19" s="1435"/>
      <c r="H19" s="1435"/>
      <c r="I19" s="1435"/>
      <c r="J19" s="1435"/>
      <c r="K19" s="1435"/>
      <c r="L19" s="1435"/>
      <c r="M19" s="1435"/>
      <c r="N19" s="1435"/>
      <c r="O19" s="1435"/>
      <c r="P19" s="1435"/>
      <c r="Q19" s="1435"/>
    </row>
    <row r="20" spans="1:17" ht="15.75" x14ac:dyDescent="0.25">
      <c r="A20" s="2576" t="s">
        <v>2086</v>
      </c>
      <c r="B20" s="2576"/>
      <c r="C20" s="2576"/>
      <c r="D20" s="2576"/>
      <c r="E20" s="2576"/>
      <c r="F20" s="2576"/>
      <c r="G20" s="1435"/>
      <c r="H20" s="1435"/>
      <c r="I20" s="1435"/>
      <c r="J20" s="1435"/>
      <c r="K20" s="1435"/>
      <c r="L20" s="1435"/>
      <c r="M20" s="1435"/>
      <c r="N20" s="1435"/>
      <c r="O20" s="1435"/>
      <c r="P20" s="1435"/>
      <c r="Q20" s="1435"/>
    </row>
    <row r="21" spans="1:17" x14ac:dyDescent="0.25">
      <c r="A21" s="1442" t="s">
        <v>829</v>
      </c>
      <c r="B21" s="1443" t="s">
        <v>1158</v>
      </c>
      <c r="C21" s="1443" t="s">
        <v>862</v>
      </c>
      <c r="D21" s="2586" t="s">
        <v>863</v>
      </c>
      <c r="E21" s="2587"/>
      <c r="F21" s="2588"/>
      <c r="G21" s="1435"/>
      <c r="H21" s="1435"/>
      <c r="I21" s="1435"/>
      <c r="J21" s="1435"/>
      <c r="K21" s="1435"/>
      <c r="L21" s="1435"/>
      <c r="M21" s="1435"/>
      <c r="N21" s="1435"/>
      <c r="O21" s="1435"/>
      <c r="P21" s="1435"/>
      <c r="Q21" s="1435"/>
    </row>
    <row r="22" spans="1:17" s="13" customFormat="1" ht="14.45" customHeight="1" x14ac:dyDescent="0.25">
      <c r="A22" s="2589" t="s">
        <v>2048</v>
      </c>
      <c r="B22" s="2590"/>
      <c r="C22" s="2590"/>
      <c r="D22" s="2590"/>
      <c r="E22" s="2590"/>
      <c r="F22" s="2591"/>
      <c r="G22" s="1435"/>
      <c r="H22" s="1435"/>
      <c r="I22" s="1435"/>
      <c r="J22" s="1435"/>
      <c r="K22" s="1435"/>
      <c r="L22" s="1435"/>
      <c r="M22" s="1435"/>
      <c r="N22" s="1435"/>
      <c r="O22" s="1435"/>
      <c r="P22" s="1435"/>
      <c r="Q22" s="1435"/>
    </row>
    <row r="23" spans="1:17" s="13" customFormat="1" ht="30" customHeight="1" x14ac:dyDescent="0.25">
      <c r="A23" s="1448" t="s">
        <v>2098</v>
      </c>
      <c r="B23" s="1438" t="s">
        <v>2037</v>
      </c>
      <c r="C23" s="1438">
        <f>списки!C56</f>
        <v>20</v>
      </c>
      <c r="D23" s="1493"/>
      <c r="E23" s="1494"/>
      <c r="F23" s="1454"/>
      <c r="G23" s="1435"/>
      <c r="H23" s="1435"/>
      <c r="I23" s="1435"/>
      <c r="J23" s="1435"/>
      <c r="K23" s="1435"/>
      <c r="L23" s="1435"/>
      <c r="M23" s="1435"/>
      <c r="N23" s="1435"/>
      <c r="O23" s="1435"/>
      <c r="P23" s="1435"/>
      <c r="Q23" s="1435"/>
    </row>
    <row r="24" spans="1:17" s="13" customFormat="1" ht="43.5" customHeight="1" x14ac:dyDescent="0.25">
      <c r="A24" s="1448" t="s">
        <v>2076</v>
      </c>
      <c r="B24" s="1438" t="s">
        <v>2037</v>
      </c>
      <c r="C24" s="1459" t="str">
        <f ca="1">'Ввод исходных данных'!E285</f>
        <v/>
      </c>
      <c r="D24" s="1493"/>
      <c r="E24" s="1494"/>
      <c r="F24" s="1454"/>
      <c r="G24" s="1435"/>
      <c r="H24" s="1435"/>
      <c r="I24" s="1435"/>
      <c r="J24" s="1435"/>
      <c r="K24" s="1435"/>
      <c r="L24" s="1435"/>
      <c r="M24" s="1435"/>
      <c r="N24" s="1435"/>
      <c r="O24" s="1435"/>
      <c r="P24" s="1435"/>
      <c r="Q24" s="1435"/>
    </row>
    <row r="25" spans="1:17" s="13" customFormat="1" ht="28.5" customHeight="1" x14ac:dyDescent="0.25">
      <c r="A25" s="1449" t="s">
        <v>2077</v>
      </c>
      <c r="B25" s="1451" t="s">
        <v>2038</v>
      </c>
      <c r="C25" s="1511">
        <f ca="1">'Ввод исходных данных'!D209</f>
        <v>0</v>
      </c>
      <c r="D25" s="1485"/>
      <c r="E25" s="1486"/>
      <c r="F25" s="1487"/>
      <c r="G25" s="1435"/>
      <c r="H25" s="1435"/>
      <c r="I25" s="1435"/>
      <c r="J25" s="1435"/>
      <c r="K25" s="1435"/>
      <c r="L25" s="1435"/>
      <c r="M25" s="1435"/>
      <c r="N25" s="1435"/>
      <c r="O25" s="1435"/>
      <c r="P25" s="1435"/>
      <c r="Q25" s="1435"/>
    </row>
    <row r="26" spans="1:17" s="13" customFormat="1" x14ac:dyDescent="0.25">
      <c r="A26" s="1450" t="s">
        <v>868</v>
      </c>
      <c r="B26" s="1452" t="s">
        <v>2039</v>
      </c>
      <c r="C26" s="1452">
        <f ca="1">C25*24</f>
        <v>0</v>
      </c>
      <c r="D26" s="1490"/>
      <c r="E26" s="1491"/>
      <c r="F26" s="1492"/>
      <c r="G26" s="1435"/>
      <c r="H26" s="1435"/>
      <c r="I26" s="1435"/>
      <c r="J26" s="1435"/>
      <c r="K26" s="1435"/>
      <c r="L26" s="1435"/>
      <c r="M26" s="1435"/>
      <c r="N26" s="1435"/>
      <c r="O26" s="1435"/>
      <c r="P26" s="1435"/>
      <c r="Q26" s="1435"/>
    </row>
    <row r="27" spans="1:17" s="13" customFormat="1" ht="32.1" customHeight="1" x14ac:dyDescent="0.25">
      <c r="A27" s="1448" t="s">
        <v>2040</v>
      </c>
      <c r="B27" s="1438" t="s">
        <v>2037</v>
      </c>
      <c r="C27" s="1438" t="e">
        <f>Климатология!G2</f>
        <v>#N/A</v>
      </c>
      <c r="D27" s="1493"/>
      <c r="E27" s="1494"/>
      <c r="F27" s="1454"/>
      <c r="G27" s="1435"/>
      <c r="H27" s="1435"/>
      <c r="I27" s="1435"/>
      <c r="J27" s="1435"/>
      <c r="K27" s="1435"/>
      <c r="L27" s="1435"/>
      <c r="M27" s="1435"/>
      <c r="N27" s="1435"/>
      <c r="O27" s="1435"/>
      <c r="P27" s="1435"/>
      <c r="Q27" s="1435"/>
    </row>
    <row r="28" spans="1:17" x14ac:dyDescent="0.25">
      <c r="A28" s="1436" t="s">
        <v>2041</v>
      </c>
      <c r="B28" s="1438" t="s">
        <v>505</v>
      </c>
      <c r="C28" s="1438">
        <f>1.205</f>
        <v>1.2050000000000001</v>
      </c>
      <c r="D28" s="1493"/>
      <c r="E28" s="1494"/>
      <c r="F28" s="1454"/>
      <c r="G28" s="1435"/>
      <c r="H28" s="1435"/>
      <c r="I28" s="1435"/>
      <c r="J28" s="1435"/>
      <c r="K28" s="1435"/>
      <c r="L28" s="1435"/>
      <c r="M28" s="1435"/>
      <c r="N28" s="1435"/>
      <c r="O28" s="1435"/>
      <c r="P28" s="1435"/>
      <c r="Q28" s="1435"/>
    </row>
    <row r="29" spans="1:17" ht="15.75" x14ac:dyDescent="0.25">
      <c r="A29" s="1456" t="s">
        <v>2042</v>
      </c>
      <c r="B29" s="1451" t="s">
        <v>2043</v>
      </c>
      <c r="C29" s="1451">
        <f>0.24</f>
        <v>0.24</v>
      </c>
      <c r="D29" s="1485"/>
      <c r="E29" s="1486"/>
      <c r="F29" s="1487"/>
      <c r="G29" s="1435"/>
      <c r="H29" s="1435"/>
      <c r="I29" s="1435"/>
      <c r="J29" s="1435"/>
      <c r="K29" s="1435"/>
      <c r="L29" s="1435"/>
      <c r="M29" s="1435"/>
      <c r="N29" s="1435"/>
      <c r="O29" s="1435"/>
      <c r="P29" s="1435"/>
      <c r="Q29" s="1435"/>
    </row>
    <row r="30" spans="1:17" ht="15.75" x14ac:dyDescent="0.25">
      <c r="A30" s="1457" t="s">
        <v>868</v>
      </c>
      <c r="B30" s="1452" t="s">
        <v>2044</v>
      </c>
      <c r="C30" s="1458">
        <f>C29*4.187</f>
        <v>1.00488</v>
      </c>
      <c r="D30" s="1490"/>
      <c r="E30" s="1491"/>
      <c r="F30" s="1492"/>
      <c r="G30" s="1435"/>
      <c r="H30" s="1435"/>
      <c r="I30" s="1435"/>
      <c r="J30" s="1435"/>
      <c r="K30" s="1435"/>
      <c r="L30" s="1435"/>
      <c r="M30" s="1435"/>
      <c r="N30" s="1435"/>
      <c r="O30" s="1435"/>
      <c r="P30" s="1435"/>
      <c r="Q30" s="1435"/>
    </row>
    <row r="31" spans="1:17" x14ac:dyDescent="0.25">
      <c r="A31" s="1436" t="s">
        <v>2045</v>
      </c>
      <c r="B31" s="1438" t="s">
        <v>853</v>
      </c>
      <c r="C31" s="1438">
        <f>'Ввод исходных данных'!D20</f>
        <v>0</v>
      </c>
      <c r="D31" s="1493"/>
      <c r="E31" s="1494"/>
      <c r="F31" s="1454"/>
      <c r="G31" s="1435"/>
      <c r="H31" s="1435"/>
      <c r="I31" s="1435"/>
      <c r="J31" s="1435"/>
      <c r="K31" s="1435"/>
      <c r="L31" s="1435"/>
      <c r="M31" s="1435"/>
      <c r="N31" s="1435"/>
      <c r="O31" s="1435"/>
      <c r="P31" s="1435"/>
      <c r="Q31" s="1435"/>
    </row>
    <row r="32" spans="1:17" ht="15.75" x14ac:dyDescent="0.25">
      <c r="A32" s="1436" t="s">
        <v>2003</v>
      </c>
      <c r="B32" s="1438" t="s">
        <v>2046</v>
      </c>
      <c r="C32" s="1438">
        <f>'Ввод исходных данных'!D56</f>
        <v>0</v>
      </c>
      <c r="D32" s="1493"/>
      <c r="E32" s="1494"/>
      <c r="F32" s="1454"/>
      <c r="G32" s="1435"/>
      <c r="H32" s="1435"/>
      <c r="I32" s="1435"/>
      <c r="J32" s="1435"/>
      <c r="K32" s="1435"/>
      <c r="L32" s="1435"/>
      <c r="M32" s="1435"/>
      <c r="N32" s="1435"/>
      <c r="O32" s="1435"/>
      <c r="P32" s="1435"/>
      <c r="Q32" s="1435"/>
    </row>
    <row r="33" spans="1:17" ht="15.75" x14ac:dyDescent="0.25">
      <c r="A33" s="1437" t="s">
        <v>2047</v>
      </c>
      <c r="B33" s="1438" t="s">
        <v>2046</v>
      </c>
      <c r="C33" s="1438" t="e">
        <f>C32/C31</f>
        <v>#DIV/0!</v>
      </c>
      <c r="D33" s="1493"/>
      <c r="E33" s="1494"/>
      <c r="F33" s="1454"/>
      <c r="G33" s="1435"/>
      <c r="H33" s="1435"/>
      <c r="I33" s="1435"/>
      <c r="J33" s="1435"/>
      <c r="K33" s="1435"/>
      <c r="L33" s="1435"/>
      <c r="M33" s="1435"/>
      <c r="N33" s="1435"/>
      <c r="O33" s="1435"/>
      <c r="P33" s="1435"/>
      <c r="Q33" s="1435"/>
    </row>
    <row r="34" spans="1:17" s="13" customFormat="1" ht="22.5" customHeight="1" x14ac:dyDescent="0.25">
      <c r="A34" s="1437" t="s">
        <v>816</v>
      </c>
      <c r="B34" s="1446" t="s">
        <v>853</v>
      </c>
      <c r="C34" s="1438">
        <f>'Ввод исходных данных'!D63</f>
        <v>0</v>
      </c>
      <c r="D34" s="2604"/>
      <c r="E34" s="2605"/>
      <c r="F34" s="2606"/>
      <c r="G34" s="1435"/>
      <c r="H34" s="1435"/>
      <c r="I34" s="1435"/>
      <c r="J34" s="1435"/>
      <c r="K34" s="1435"/>
      <c r="L34" s="1435"/>
      <c r="M34" s="1435"/>
      <c r="N34" s="1435"/>
      <c r="O34" s="1435"/>
      <c r="P34" s="1435"/>
      <c r="Q34" s="1435"/>
    </row>
    <row r="35" spans="1:17" s="13" customFormat="1" ht="33.950000000000003" customHeight="1" x14ac:dyDescent="0.25">
      <c r="A35" s="1437" t="s">
        <v>2122</v>
      </c>
      <c r="B35" s="1508" t="s">
        <v>853</v>
      </c>
      <c r="C35" s="1455" t="e">
        <f>C34/C31</f>
        <v>#DIV/0!</v>
      </c>
      <c r="D35" s="1512"/>
      <c r="E35" s="1513"/>
      <c r="F35" s="1514"/>
      <c r="G35" s="1435"/>
      <c r="H35" s="1435"/>
      <c r="I35" s="1435"/>
      <c r="J35" s="1435"/>
      <c r="K35" s="1435"/>
      <c r="L35" s="1435"/>
      <c r="M35" s="1435"/>
      <c r="N35" s="1435"/>
      <c r="O35" s="1435"/>
      <c r="P35" s="1435"/>
      <c r="Q35" s="1435"/>
    </row>
    <row r="36" spans="1:17" s="13" customFormat="1" x14ac:dyDescent="0.25">
      <c r="A36" s="1437" t="s">
        <v>2052</v>
      </c>
      <c r="B36" s="1438" t="s">
        <v>2053</v>
      </c>
      <c r="C36" s="1438">
        <f>'Ввод исходных данных'!D22</f>
        <v>0</v>
      </c>
      <c r="D36" s="1493"/>
      <c r="E36" s="1494"/>
      <c r="F36" s="1454"/>
      <c r="G36" s="1435"/>
      <c r="H36" s="1435"/>
      <c r="I36" s="1435"/>
      <c r="J36" s="1435"/>
      <c r="K36" s="1435"/>
      <c r="L36" s="1435"/>
      <c r="M36" s="1435"/>
      <c r="N36" s="1435"/>
      <c r="O36" s="1435"/>
      <c r="P36" s="1435"/>
      <c r="Q36" s="1435"/>
    </row>
    <row r="37" spans="1:17" s="13" customFormat="1" ht="33" customHeight="1" x14ac:dyDescent="0.25">
      <c r="A37" s="1437" t="s">
        <v>2059</v>
      </c>
      <c r="B37" s="1438" t="s">
        <v>2054</v>
      </c>
      <c r="C37" s="1455" t="e">
        <f>C36/C31</f>
        <v>#DIV/0!</v>
      </c>
      <c r="D37" s="1493"/>
      <c r="E37" s="1494"/>
      <c r="F37" s="1454"/>
      <c r="G37" s="1435"/>
      <c r="H37" s="1435"/>
      <c r="I37" s="1435"/>
      <c r="J37" s="1435"/>
      <c r="K37" s="1435"/>
      <c r="L37" s="1435"/>
      <c r="M37" s="1435"/>
      <c r="N37" s="1435"/>
      <c r="O37" s="1435"/>
      <c r="P37" s="1435"/>
      <c r="Q37" s="1435"/>
    </row>
    <row r="38" spans="1:17" s="13" customFormat="1" ht="23.1" customHeight="1" x14ac:dyDescent="0.25">
      <c r="A38" s="1437" t="s">
        <v>2055</v>
      </c>
      <c r="B38" s="1438" t="s">
        <v>2056</v>
      </c>
      <c r="C38" s="1459" t="e">
        <f>C33/C37</f>
        <v>#DIV/0!</v>
      </c>
      <c r="D38" s="1493"/>
      <c r="E38" s="1494"/>
      <c r="F38" s="1454"/>
      <c r="G38" s="1435"/>
      <c r="H38" s="1435"/>
      <c r="I38" s="1435"/>
      <c r="J38" s="1435"/>
      <c r="K38" s="1435"/>
      <c r="L38" s="1435"/>
      <c r="M38" s="1435"/>
      <c r="N38" s="1435"/>
      <c r="O38" s="1435"/>
      <c r="P38" s="1435"/>
      <c r="Q38" s="1435"/>
    </row>
    <row r="39" spans="1:17" ht="29.1" customHeight="1" x14ac:dyDescent="0.25">
      <c r="A39" s="1437" t="s">
        <v>2049</v>
      </c>
      <c r="B39" s="1438" t="s">
        <v>1525</v>
      </c>
      <c r="C39" s="1459" t="e">
        <f>'Расчет базового уровня'!F146</f>
        <v>#N/A</v>
      </c>
      <c r="D39" s="1493"/>
      <c r="E39" s="1494"/>
      <c r="F39" s="1454"/>
      <c r="G39" s="1435"/>
      <c r="H39" s="1435"/>
      <c r="I39" s="1435"/>
      <c r="J39" s="1435"/>
      <c r="K39" s="1435"/>
      <c r="L39" s="1435"/>
      <c r="M39" s="1435"/>
      <c r="N39" s="1435"/>
      <c r="O39" s="1435"/>
      <c r="P39" s="1435"/>
      <c r="Q39" s="1435"/>
    </row>
    <row r="40" spans="1:17" ht="42.95" customHeight="1" x14ac:dyDescent="0.25">
      <c r="A40" s="1460" t="s">
        <v>2050</v>
      </c>
      <c r="B40" s="1456"/>
      <c r="C40" s="1456"/>
      <c r="D40" s="1485"/>
      <c r="E40" s="1486"/>
      <c r="F40" s="1487"/>
      <c r="G40" s="1435"/>
      <c r="H40" s="1435"/>
      <c r="I40" s="1435"/>
      <c r="J40" s="1435"/>
      <c r="K40" s="1435"/>
      <c r="L40" s="1435"/>
      <c r="M40" s="1435"/>
      <c r="N40" s="1435"/>
      <c r="O40" s="1435"/>
      <c r="P40" s="1435"/>
      <c r="Q40" s="1435"/>
    </row>
    <row r="41" spans="1:17" x14ac:dyDescent="0.25">
      <c r="A41" s="1461" t="s">
        <v>2079</v>
      </c>
      <c r="B41" s="1452" t="s">
        <v>837</v>
      </c>
      <c r="C41" s="1467" t="e">
        <f ca="1">'Расчет базового уровня'!D38</f>
        <v>#N/A</v>
      </c>
      <c r="D41" s="1495"/>
      <c r="E41" s="1491"/>
      <c r="F41" s="1492"/>
      <c r="G41" s="1435"/>
      <c r="H41" s="1435"/>
      <c r="I41" s="1435"/>
      <c r="J41" s="1435"/>
      <c r="K41" s="1435"/>
      <c r="L41" s="1435"/>
      <c r="M41" s="1435"/>
      <c r="N41" s="1435"/>
      <c r="O41" s="1435"/>
      <c r="P41" s="1435"/>
      <c r="Q41" s="1435"/>
    </row>
    <row r="42" spans="1:17" ht="20.100000000000001" customHeight="1" x14ac:dyDescent="0.25">
      <c r="A42" s="2592" t="s">
        <v>2072</v>
      </c>
      <c r="B42" s="2593"/>
      <c r="C42" s="2593"/>
      <c r="D42" s="2593"/>
      <c r="E42" s="2593"/>
      <c r="F42" s="2594"/>
      <c r="G42" s="1435"/>
      <c r="H42" s="1435"/>
      <c r="I42" s="1435"/>
      <c r="J42" s="1435"/>
      <c r="K42" s="1435"/>
      <c r="L42" s="1435"/>
      <c r="M42" s="1435"/>
      <c r="N42" s="1435"/>
      <c r="O42" s="1435"/>
      <c r="P42" s="1435"/>
      <c r="Q42" s="1435"/>
    </row>
    <row r="43" spans="1:17" s="13" customFormat="1" ht="32.450000000000003" customHeight="1" x14ac:dyDescent="0.25">
      <c r="A43" s="1437" t="s">
        <v>2101</v>
      </c>
      <c r="B43" s="1446" t="s">
        <v>1165</v>
      </c>
      <c r="C43" s="1515" t="e">
        <f ca="1">('Расчет базового уровня'!D44/'Расчет базового уровня'!D38)*100</f>
        <v>#N/A</v>
      </c>
      <c r="D43" s="1476"/>
      <c r="E43" s="1477"/>
      <c r="F43" s="1478"/>
      <c r="G43" s="1435"/>
      <c r="H43" s="1435"/>
      <c r="I43" s="1435"/>
      <c r="J43" s="1435"/>
      <c r="K43" s="1435"/>
      <c r="L43" s="1435"/>
      <c r="M43" s="1435"/>
      <c r="N43" s="1435"/>
      <c r="O43" s="1435"/>
      <c r="P43" s="1435"/>
      <c r="Q43" s="1435"/>
    </row>
    <row r="44" spans="1:17" ht="29.45" customHeight="1" x14ac:dyDescent="0.25">
      <c r="A44" s="1453" t="s">
        <v>2091</v>
      </c>
      <c r="B44" s="1438" t="s">
        <v>1525</v>
      </c>
      <c r="C44" s="1464" t="e">
        <f ca="1">C41/C26</f>
        <v>#N/A</v>
      </c>
      <c r="D44" s="1490"/>
      <c r="E44" s="1491"/>
      <c r="F44" s="1492"/>
      <c r="G44" s="1435"/>
      <c r="H44" s="1435"/>
      <c r="I44" s="1435"/>
      <c r="J44" s="1435"/>
      <c r="K44" s="1435"/>
      <c r="L44" s="1435"/>
      <c r="M44" s="1435"/>
      <c r="N44" s="1435"/>
      <c r="O44" s="1435"/>
      <c r="P44" s="1435"/>
      <c r="Q44" s="1435"/>
    </row>
    <row r="45" spans="1:17" ht="75.599999999999994" customHeight="1" x14ac:dyDescent="0.25">
      <c r="A45" s="1510" t="s">
        <v>2051</v>
      </c>
      <c r="B45" s="1443" t="s">
        <v>2075</v>
      </c>
      <c r="C45" s="1516" t="e">
        <f ca="1">$C$24+($C$44/$C$39)*($C$23-$C$27)</f>
        <v>#VALUE!</v>
      </c>
      <c r="D45" s="2577" t="s">
        <v>2110</v>
      </c>
      <c r="E45" s="2578"/>
      <c r="F45" s="2579"/>
      <c r="G45" s="1435"/>
      <c r="H45" s="1435"/>
      <c r="I45" s="1435"/>
      <c r="J45" s="1435"/>
      <c r="K45" s="1435"/>
      <c r="L45" s="1435"/>
      <c r="M45" s="1435"/>
      <c r="N45" s="1435"/>
      <c r="O45" s="1435"/>
      <c r="P45" s="1435"/>
      <c r="Q45" s="1435"/>
    </row>
    <row r="46" spans="1:17" ht="16.5" customHeight="1" x14ac:dyDescent="0.25">
      <c r="A46" s="2595" t="s">
        <v>2106</v>
      </c>
      <c r="B46" s="2596"/>
      <c r="C46" s="2596"/>
      <c r="D46" s="2596"/>
      <c r="E46" s="2596"/>
      <c r="F46" s="2597"/>
      <c r="G46" s="1435"/>
      <c r="H46" s="1435"/>
      <c r="I46" s="1435"/>
      <c r="J46" s="1435"/>
      <c r="K46" s="1435"/>
      <c r="L46" s="1435"/>
      <c r="M46" s="1435"/>
      <c r="N46" s="1435"/>
      <c r="O46" s="1435"/>
      <c r="P46" s="1435"/>
      <c r="Q46" s="1435"/>
    </row>
    <row r="47" spans="1:17" ht="32.450000000000003" customHeight="1" x14ac:dyDescent="0.25">
      <c r="A47" s="1460" t="s">
        <v>2057</v>
      </c>
      <c r="B47" s="1451"/>
      <c r="C47" s="1468"/>
      <c r="D47" s="1485"/>
      <c r="E47" s="1486"/>
      <c r="F47" s="1487"/>
      <c r="G47" s="1435"/>
      <c r="H47" s="1435"/>
      <c r="I47" s="1435"/>
      <c r="J47" s="1435"/>
      <c r="K47" s="1435"/>
      <c r="L47" s="1435"/>
      <c r="M47" s="1435"/>
      <c r="N47" s="1435"/>
      <c r="O47" s="1435"/>
      <c r="P47" s="1435"/>
      <c r="Q47" s="1435"/>
    </row>
    <row r="48" spans="1:17" s="13" customFormat="1" ht="25.5" x14ac:dyDescent="0.25">
      <c r="A48" s="1470" t="s">
        <v>2078</v>
      </c>
      <c r="B48" s="1462" t="s">
        <v>2058</v>
      </c>
      <c r="C48" s="1471" t="e">
        <f>3*C33</f>
        <v>#DIV/0!</v>
      </c>
      <c r="D48" s="1488"/>
      <c r="E48" s="1465"/>
      <c r="F48" s="1489"/>
      <c r="G48" s="1435"/>
      <c r="H48" s="1435"/>
      <c r="I48" s="1435"/>
      <c r="J48" s="1435"/>
      <c r="K48" s="1435"/>
      <c r="L48" s="1435"/>
      <c r="M48" s="1435"/>
      <c r="N48" s="1435"/>
      <c r="O48" s="1435"/>
      <c r="P48" s="1435"/>
      <c r="Q48" s="1435"/>
    </row>
    <row r="49" spans="1:17" s="13" customFormat="1" ht="32.1" customHeight="1" x14ac:dyDescent="0.25">
      <c r="A49" s="1470" t="s">
        <v>2061</v>
      </c>
      <c r="B49" s="1462" t="s">
        <v>2058</v>
      </c>
      <c r="C49" s="1471" t="e">
        <f>30*C37</f>
        <v>#DIV/0!</v>
      </c>
      <c r="D49" s="1488"/>
      <c r="E49" s="1465"/>
      <c r="F49" s="1489"/>
      <c r="G49" s="1435"/>
      <c r="H49" s="1435"/>
      <c r="I49" s="1435"/>
      <c r="J49" s="1435"/>
      <c r="K49" s="1435"/>
      <c r="L49" s="1435"/>
      <c r="M49" s="1435"/>
      <c r="N49" s="1435"/>
      <c r="O49" s="1435"/>
      <c r="P49" s="1435"/>
      <c r="Q49" s="1435"/>
    </row>
    <row r="50" spans="1:17" s="13" customFormat="1" ht="15.75" x14ac:dyDescent="0.25">
      <c r="A50" s="1472" t="s">
        <v>2062</v>
      </c>
      <c r="B50" s="1473" t="s">
        <v>2063</v>
      </c>
      <c r="C50" s="1474" t="e">
        <f>IF((C48&gt;=C49),C48,C49)</f>
        <v>#DIV/0!</v>
      </c>
      <c r="D50" s="1490"/>
      <c r="E50" s="1491"/>
      <c r="F50" s="1492"/>
      <c r="G50" s="1435"/>
      <c r="H50" s="1435"/>
      <c r="I50" s="1435"/>
      <c r="J50" s="1435"/>
      <c r="K50" s="1435"/>
      <c r="L50" s="1435"/>
      <c r="M50" s="1435"/>
      <c r="N50" s="1435"/>
      <c r="O50" s="1435"/>
      <c r="P50" s="1435"/>
      <c r="Q50" s="1435"/>
    </row>
    <row r="51" spans="1:17" x14ac:dyDescent="0.25">
      <c r="A51" s="1460" t="s">
        <v>2103</v>
      </c>
      <c r="B51" s="1451" t="s">
        <v>1525</v>
      </c>
      <c r="C51" s="1475" t="e">
        <f ca="1">($C$50*$C$28*$C$30*($C$23-$C$45))/3600</f>
        <v>#DIV/0!</v>
      </c>
      <c r="D51" s="1488"/>
      <c r="E51" s="1465"/>
      <c r="F51" s="1489"/>
      <c r="G51" s="1435"/>
      <c r="H51" s="1435"/>
      <c r="I51" s="1435"/>
      <c r="J51" s="1435"/>
      <c r="K51" s="1435"/>
      <c r="L51" s="1435"/>
      <c r="M51" s="1435"/>
      <c r="N51" s="1435"/>
      <c r="O51" s="1435"/>
      <c r="P51" s="1435"/>
      <c r="Q51" s="1435"/>
    </row>
    <row r="52" spans="1:17" x14ac:dyDescent="0.25">
      <c r="A52" s="1463" t="s">
        <v>868</v>
      </c>
      <c r="B52" s="1462" t="s">
        <v>2060</v>
      </c>
      <c r="C52" s="1471" t="e">
        <f ca="1">C51*1000</f>
        <v>#DIV/0!</v>
      </c>
      <c r="D52" s="1488"/>
      <c r="E52" s="1465"/>
      <c r="F52" s="1489"/>
      <c r="G52" s="1435"/>
      <c r="H52" s="1435"/>
      <c r="I52" s="1435"/>
      <c r="J52" s="1435"/>
      <c r="K52" s="1435"/>
      <c r="L52" s="1435"/>
      <c r="M52" s="1435"/>
      <c r="N52" s="1435"/>
      <c r="O52" s="1435"/>
      <c r="P52" s="1435"/>
      <c r="Q52" s="1435"/>
    </row>
    <row r="53" spans="1:17" ht="45.6" customHeight="1" x14ac:dyDescent="0.25">
      <c r="A53" s="1472" t="s">
        <v>2090</v>
      </c>
      <c r="B53" s="1473" t="s">
        <v>2060</v>
      </c>
      <c r="C53" s="1473" t="e">
        <f ca="1">IF(C52&lt;=600,600,VLOOKUP(C52,A5:A17,1,1))</f>
        <v>#DIV/0!</v>
      </c>
      <c r="D53" s="2598" t="s">
        <v>2124</v>
      </c>
      <c r="E53" s="2599"/>
      <c r="F53" s="2600"/>
      <c r="G53" s="1435"/>
      <c r="H53" s="1435"/>
      <c r="I53" s="1435"/>
      <c r="J53" s="1435"/>
      <c r="K53" s="1435"/>
      <c r="L53" s="1435"/>
      <c r="M53" s="1435"/>
      <c r="N53" s="1435"/>
      <c r="O53" s="1435"/>
      <c r="P53" s="1435"/>
      <c r="Q53" s="1435"/>
    </row>
    <row r="54" spans="1:17" ht="17.45" customHeight="1" x14ac:dyDescent="0.25">
      <c r="A54" s="2583" t="s">
        <v>2099</v>
      </c>
      <c r="B54" s="2584"/>
      <c r="C54" s="2584"/>
      <c r="D54" s="2584"/>
      <c r="E54" s="2584"/>
      <c r="F54" s="2585"/>
      <c r="G54" s="1435"/>
      <c r="H54" s="1435"/>
      <c r="I54" s="1435"/>
      <c r="J54" s="1435"/>
      <c r="K54" s="1435"/>
      <c r="L54" s="1435"/>
      <c r="M54" s="1435"/>
      <c r="N54" s="1435"/>
      <c r="O54" s="1435"/>
      <c r="P54" s="1435"/>
      <c r="Q54" s="1435"/>
    </row>
    <row r="55" spans="1:17" ht="63.6" customHeight="1" x14ac:dyDescent="0.25">
      <c r="A55" s="1496" t="s">
        <v>2087</v>
      </c>
      <c r="B55" s="1452" t="s">
        <v>2039</v>
      </c>
      <c r="C55" s="1452">
        <f>10</f>
        <v>10</v>
      </c>
      <c r="D55" s="2580" t="s">
        <v>2102</v>
      </c>
      <c r="E55" s="2581"/>
      <c r="F55" s="2582"/>
      <c r="G55" s="1435"/>
      <c r="H55" s="1435"/>
      <c r="I55" s="1435"/>
      <c r="J55" s="1435"/>
      <c r="K55" s="1435"/>
      <c r="L55" s="1435"/>
      <c r="M55" s="1435"/>
      <c r="N55" s="1435"/>
      <c r="O55" s="1435"/>
      <c r="P55" s="1435"/>
      <c r="Q55" s="1435"/>
    </row>
    <row r="56" spans="1:17" ht="27.95" customHeight="1" x14ac:dyDescent="0.25">
      <c r="A56" s="1460" t="s">
        <v>2088</v>
      </c>
      <c r="B56" s="1456"/>
      <c r="C56" s="1456"/>
      <c r="D56" s="1485"/>
      <c r="E56" s="1486"/>
      <c r="F56" s="1487"/>
      <c r="G56" s="1435"/>
      <c r="H56" s="1435"/>
      <c r="I56" s="1435"/>
      <c r="J56" s="1435"/>
      <c r="K56" s="1435"/>
      <c r="L56" s="1435"/>
      <c r="M56" s="1435"/>
      <c r="N56" s="1435"/>
      <c r="O56" s="1435"/>
      <c r="P56" s="1435"/>
      <c r="Q56" s="1435"/>
    </row>
    <row r="57" spans="1:17" x14ac:dyDescent="0.25">
      <c r="A57" s="1479" t="s">
        <v>2064</v>
      </c>
      <c r="B57" s="1462" t="s">
        <v>837</v>
      </c>
      <c r="C57" s="1462" t="e">
        <f ca="1">($C$53*$C$55*30)/1000</f>
        <v>#DIV/0!</v>
      </c>
      <c r="D57" s="1488"/>
      <c r="E57" s="1465"/>
      <c r="F57" s="1489"/>
      <c r="G57" s="1435"/>
      <c r="H57" s="1435"/>
      <c r="I57" s="1435"/>
      <c r="J57" s="1435"/>
      <c r="K57" s="1435"/>
      <c r="L57" s="1435"/>
      <c r="M57" s="1435"/>
      <c r="N57" s="1435"/>
      <c r="O57" s="1435"/>
      <c r="P57" s="1435"/>
      <c r="Q57" s="1435"/>
    </row>
    <row r="58" spans="1:17" x14ac:dyDescent="0.25">
      <c r="A58" s="1480" t="s">
        <v>2065</v>
      </c>
      <c r="B58" s="1452" t="s">
        <v>837</v>
      </c>
      <c r="C58" s="1467" t="e">
        <f ca="1">($C$53*$C$55*$C$25)/1000</f>
        <v>#DIV/0!</v>
      </c>
      <c r="D58" s="1490"/>
      <c r="E58" s="1491"/>
      <c r="F58" s="1492"/>
      <c r="G58" s="1435"/>
      <c r="H58" s="1435"/>
      <c r="I58" s="1435"/>
      <c r="J58" s="1435"/>
      <c r="K58" s="1435"/>
      <c r="L58" s="1435"/>
      <c r="M58" s="1435"/>
      <c r="N58" s="1435"/>
      <c r="O58" s="1435"/>
      <c r="P58" s="1435"/>
      <c r="Q58" s="1435"/>
    </row>
    <row r="59" spans="1:17" x14ac:dyDescent="0.25">
      <c r="A59" s="1460" t="s">
        <v>2108</v>
      </c>
      <c r="B59" s="1456"/>
      <c r="C59" s="1456"/>
      <c r="D59" s="1485"/>
      <c r="E59" s="1486"/>
      <c r="F59" s="1487"/>
      <c r="G59" s="1435"/>
      <c r="H59" s="1435"/>
      <c r="I59" s="1435"/>
      <c r="J59" s="1435"/>
      <c r="K59" s="1435"/>
      <c r="L59" s="1435"/>
      <c r="M59" s="1435"/>
      <c r="N59" s="1435"/>
      <c r="O59" s="1435"/>
      <c r="P59" s="1435"/>
      <c r="Q59" s="1435"/>
    </row>
    <row r="60" spans="1:17" x14ac:dyDescent="0.25">
      <c r="A60" s="1479" t="s">
        <v>2064</v>
      </c>
      <c r="B60" s="1462" t="s">
        <v>837</v>
      </c>
      <c r="C60" s="1462" t="e">
        <f ca="1">(C31*$C$53*$C$55*30)/1000</f>
        <v>#DIV/0!</v>
      </c>
      <c r="D60" s="1488"/>
      <c r="E60" s="1465"/>
      <c r="F60" s="1489"/>
      <c r="G60" s="1435"/>
      <c r="H60" s="1435"/>
      <c r="I60" s="1435"/>
      <c r="J60" s="1435"/>
      <c r="K60" s="1435"/>
      <c r="L60" s="1435"/>
      <c r="M60" s="1435"/>
      <c r="N60" s="1435"/>
      <c r="O60" s="1435"/>
      <c r="P60" s="1435"/>
      <c r="Q60" s="1435"/>
    </row>
    <row r="61" spans="1:17" x14ac:dyDescent="0.25">
      <c r="A61" s="1480" t="s">
        <v>2065</v>
      </c>
      <c r="B61" s="1452" t="s">
        <v>837</v>
      </c>
      <c r="C61" s="1467" t="e">
        <f ca="1">(C31*$C$53*$C$55*$C$25)/1000</f>
        <v>#DIV/0!</v>
      </c>
      <c r="D61" s="1490"/>
      <c r="E61" s="1491"/>
      <c r="F61" s="1492"/>
      <c r="G61" s="1435"/>
      <c r="H61" s="1435"/>
      <c r="I61" s="1435"/>
      <c r="J61" s="1435"/>
      <c r="K61" s="1435"/>
      <c r="L61" s="1435"/>
      <c r="M61" s="1435"/>
      <c r="N61" s="1435"/>
      <c r="O61" s="1435"/>
      <c r="P61" s="1435"/>
      <c r="Q61" s="1435"/>
    </row>
    <row r="62" spans="1:17" ht="18" customHeight="1" x14ac:dyDescent="0.25">
      <c r="A62" s="2583" t="s">
        <v>2092</v>
      </c>
      <c r="B62" s="2584"/>
      <c r="C62" s="2584"/>
      <c r="D62" s="2584"/>
      <c r="E62" s="2584"/>
      <c r="F62" s="2585"/>
      <c r="G62" s="1435"/>
      <c r="H62" s="1435"/>
      <c r="I62" s="1435"/>
      <c r="J62" s="1435"/>
      <c r="K62" s="1435"/>
      <c r="L62" s="1435"/>
      <c r="M62" s="1435"/>
      <c r="N62" s="1435"/>
      <c r="O62" s="1435"/>
      <c r="P62" s="1435"/>
      <c r="Q62" s="1435"/>
    </row>
    <row r="63" spans="1:17" x14ac:dyDescent="0.25">
      <c r="A63" s="1496" t="s">
        <v>2066</v>
      </c>
      <c r="B63" s="1452" t="s">
        <v>2067</v>
      </c>
      <c r="C63" s="1466" t="str">
        <f>'Ввод исходных данных'!E302</f>
        <v>-</v>
      </c>
      <c r="D63" s="1493"/>
      <c r="E63" s="1494"/>
      <c r="F63" s="1454"/>
      <c r="G63" s="1435"/>
      <c r="H63" s="1435"/>
      <c r="I63" s="1435"/>
      <c r="J63" s="1435"/>
      <c r="K63" s="1435"/>
      <c r="L63" s="1435"/>
      <c r="M63" s="1435"/>
      <c r="N63" s="1435"/>
      <c r="O63" s="1435"/>
      <c r="P63" s="1435"/>
      <c r="Q63" s="1435"/>
    </row>
    <row r="64" spans="1:17" ht="30.6" customHeight="1" x14ac:dyDescent="0.25">
      <c r="A64" s="1460" t="s">
        <v>2068</v>
      </c>
      <c r="B64" s="1456"/>
      <c r="C64" s="1456"/>
      <c r="D64" s="1485"/>
      <c r="E64" s="1486"/>
      <c r="F64" s="1487"/>
      <c r="G64" s="1435"/>
      <c r="H64" s="1435"/>
      <c r="I64" s="1435"/>
      <c r="J64" s="1435"/>
      <c r="K64" s="1435"/>
      <c r="L64" s="1435"/>
      <c r="M64" s="1435"/>
      <c r="N64" s="1435"/>
      <c r="O64" s="1435"/>
      <c r="P64" s="1435"/>
      <c r="Q64" s="1435"/>
    </row>
    <row r="65" spans="1:17" x14ac:dyDescent="0.25">
      <c r="A65" s="1479" t="s">
        <v>2064</v>
      </c>
      <c r="B65" s="1462" t="s">
        <v>1284</v>
      </c>
      <c r="C65" s="1482" t="e">
        <f ca="1">C57*$C$63</f>
        <v>#DIV/0!</v>
      </c>
      <c r="D65" s="1488"/>
      <c r="E65" s="1465"/>
      <c r="F65" s="1489"/>
      <c r="G65" s="1435"/>
      <c r="H65" s="1435"/>
      <c r="I65" s="1435"/>
      <c r="J65" s="1435"/>
      <c r="K65" s="1435"/>
      <c r="L65" s="1435"/>
      <c r="M65" s="1435"/>
      <c r="N65" s="1435"/>
      <c r="O65" s="1435"/>
      <c r="P65" s="1435"/>
      <c r="Q65" s="1435"/>
    </row>
    <row r="66" spans="1:17" x14ac:dyDescent="0.25">
      <c r="A66" s="1480" t="s">
        <v>2065</v>
      </c>
      <c r="B66" s="1452" t="s">
        <v>1284</v>
      </c>
      <c r="C66" s="1466" t="e">
        <f ca="1">C58*$C$63</f>
        <v>#DIV/0!</v>
      </c>
      <c r="D66" s="1490"/>
      <c r="E66" s="1491"/>
      <c r="F66" s="1492"/>
      <c r="G66" s="1435"/>
      <c r="H66" s="1435"/>
      <c r="I66" s="1435"/>
      <c r="J66" s="1435"/>
      <c r="K66" s="1435"/>
      <c r="L66" s="1435"/>
      <c r="M66" s="1435"/>
      <c r="N66" s="1435"/>
      <c r="O66" s="1435"/>
      <c r="P66" s="1435"/>
      <c r="Q66" s="1435"/>
    </row>
    <row r="67" spans="1:17" ht="30.95" customHeight="1" x14ac:dyDescent="0.25">
      <c r="A67" s="1460" t="s">
        <v>2107</v>
      </c>
      <c r="B67" s="1456"/>
      <c r="C67" s="1456"/>
      <c r="D67" s="1485"/>
      <c r="E67" s="1486"/>
      <c r="F67" s="1487"/>
      <c r="G67" s="1435"/>
      <c r="H67" s="1435"/>
      <c r="I67" s="1435"/>
      <c r="J67" s="1435"/>
      <c r="K67" s="1435"/>
      <c r="L67" s="1435"/>
      <c r="M67" s="1435"/>
      <c r="N67" s="1435"/>
      <c r="O67" s="1435"/>
      <c r="P67" s="1435"/>
      <c r="Q67" s="1435"/>
    </row>
    <row r="68" spans="1:17" x14ac:dyDescent="0.25">
      <c r="A68" s="1479" t="s">
        <v>2064</v>
      </c>
      <c r="B68" s="1462" t="s">
        <v>1284</v>
      </c>
      <c r="C68" s="1482" t="e">
        <f ca="1">C60*$C$63</f>
        <v>#DIV/0!</v>
      </c>
      <c r="D68" s="1488"/>
      <c r="E68" s="1465"/>
      <c r="F68" s="1489"/>
      <c r="G68" s="1435"/>
      <c r="H68" s="1435"/>
      <c r="I68" s="1435"/>
      <c r="J68" s="1435"/>
      <c r="K68" s="1435"/>
      <c r="L68" s="1435"/>
      <c r="M68" s="1435"/>
      <c r="N68" s="1435"/>
      <c r="O68" s="1435"/>
      <c r="P68" s="1435"/>
      <c r="Q68" s="1435"/>
    </row>
    <row r="69" spans="1:17" x14ac:dyDescent="0.25">
      <c r="A69" s="1480" t="s">
        <v>2065</v>
      </c>
      <c r="B69" s="1452" t="s">
        <v>1284</v>
      </c>
      <c r="C69" s="1466" t="e">
        <f ca="1">C61*$C$63</f>
        <v>#DIV/0!</v>
      </c>
      <c r="D69" s="1490"/>
      <c r="E69" s="1491"/>
      <c r="F69" s="1492"/>
      <c r="G69" s="1435"/>
      <c r="H69" s="1435"/>
      <c r="I69" s="1435"/>
      <c r="J69" s="1435"/>
      <c r="K69" s="1435"/>
      <c r="L69" s="1435"/>
      <c r="M69" s="1435"/>
      <c r="N69" s="1435"/>
      <c r="O69" s="1435"/>
      <c r="P69" s="1435"/>
      <c r="Q69" s="1435"/>
    </row>
    <row r="70" spans="1:17" ht="23.45" customHeight="1" x14ac:dyDescent="0.25">
      <c r="A70" s="2583" t="s">
        <v>2089</v>
      </c>
      <c r="B70" s="2584"/>
      <c r="C70" s="2584"/>
      <c r="D70" s="2584"/>
      <c r="E70" s="2584"/>
      <c r="F70" s="2585"/>
      <c r="G70" s="1435"/>
      <c r="H70" s="1435"/>
      <c r="I70" s="1435"/>
      <c r="J70" s="1435"/>
      <c r="K70" s="1435"/>
      <c r="L70" s="1435"/>
      <c r="M70" s="1435"/>
      <c r="N70" s="1435"/>
      <c r="O70" s="1435"/>
      <c r="P70" s="1435"/>
      <c r="Q70" s="1435"/>
    </row>
    <row r="71" spans="1:17" s="13" customFormat="1" ht="22.5" customHeight="1" x14ac:dyDescent="0.25">
      <c r="A71" s="1437" t="s">
        <v>2082</v>
      </c>
      <c r="B71" s="1446" t="s">
        <v>853</v>
      </c>
      <c r="C71" s="1455">
        <f>'Список мероприятий'!F17</f>
        <v>0</v>
      </c>
      <c r="D71" s="1477"/>
      <c r="E71" s="1477"/>
      <c r="F71" s="1478"/>
      <c r="G71" s="1435"/>
      <c r="H71" s="1435"/>
      <c r="I71" s="1435"/>
      <c r="J71" s="1435"/>
      <c r="K71" s="1435"/>
      <c r="L71" s="1435"/>
      <c r="M71" s="1435"/>
      <c r="N71" s="1435"/>
      <c r="O71" s="1435"/>
      <c r="P71" s="1435"/>
      <c r="Q71" s="1435"/>
    </row>
    <row r="72" spans="1:17" s="13" customFormat="1" ht="22.5" customHeight="1" x14ac:dyDescent="0.25">
      <c r="A72" s="1437" t="s">
        <v>2121</v>
      </c>
      <c r="B72" s="1452" t="s">
        <v>853</v>
      </c>
      <c r="C72" s="1467" t="e">
        <f>C71/C35</f>
        <v>#DIV/0!</v>
      </c>
      <c r="D72" s="1506"/>
      <c r="E72" s="1506"/>
      <c r="F72" s="1507"/>
      <c r="G72" s="1435"/>
      <c r="H72" s="1435"/>
      <c r="I72" s="1435"/>
      <c r="J72" s="1435"/>
      <c r="K72" s="1435"/>
      <c r="L72" s="1435"/>
      <c r="M72" s="1435"/>
      <c r="N72" s="1435"/>
      <c r="O72" s="1435"/>
      <c r="P72" s="1435"/>
      <c r="Q72" s="1435"/>
    </row>
    <row r="73" spans="1:17" ht="41.1" customHeight="1" x14ac:dyDescent="0.25">
      <c r="A73" s="1496" t="s">
        <v>2100</v>
      </c>
      <c r="B73" s="1452" t="s">
        <v>1165</v>
      </c>
      <c r="C73" s="1467" t="e">
        <f ca="1">('Расчет после реализации'!D44/'Расчет после реализации'!D38)*100</f>
        <v>#N/A</v>
      </c>
      <c r="D73" s="1493"/>
      <c r="E73" s="1494"/>
      <c r="F73" s="1454"/>
      <c r="G73" s="1435"/>
      <c r="H73" s="1435"/>
      <c r="I73" s="1435"/>
      <c r="J73" s="1435"/>
      <c r="K73" s="1435"/>
      <c r="L73" s="1435"/>
      <c r="M73" s="1435"/>
      <c r="N73" s="1435"/>
      <c r="O73" s="1435"/>
      <c r="P73" s="1435"/>
      <c r="Q73" s="1435"/>
    </row>
    <row r="74" spans="1:17" s="13" customFormat="1" ht="43.5" customHeight="1" x14ac:dyDescent="0.25">
      <c r="A74" s="1437" t="s">
        <v>2081</v>
      </c>
      <c r="B74" s="1446" t="s">
        <v>1525</v>
      </c>
      <c r="C74" s="1459" t="e">
        <f>'Расчет после реализации'!F146</f>
        <v>#N/A</v>
      </c>
      <c r="D74" s="1493"/>
      <c r="E74" s="1494"/>
      <c r="F74" s="1454"/>
      <c r="G74" s="1435"/>
      <c r="H74" s="1435"/>
      <c r="I74" s="1435"/>
      <c r="J74" s="1435"/>
      <c r="K74" s="1435"/>
      <c r="L74" s="1435"/>
      <c r="M74" s="1435"/>
      <c r="N74" s="1435"/>
      <c r="O74" s="1435"/>
      <c r="P74" s="1435"/>
      <c r="Q74" s="1435"/>
    </row>
    <row r="75" spans="1:17" s="13" customFormat="1" ht="53.45" customHeight="1" x14ac:dyDescent="0.25">
      <c r="A75" s="1453" t="s">
        <v>2080</v>
      </c>
      <c r="B75" s="1438" t="s">
        <v>1525</v>
      </c>
      <c r="C75" s="1464" t="e">
        <f ca="1">'Расчет после реализации'!D38/Электроэнергия_на_обогрев!C26</f>
        <v>#N/A</v>
      </c>
      <c r="D75" s="1493"/>
      <c r="E75" s="1494"/>
      <c r="F75" s="1454"/>
      <c r="G75" s="1435"/>
      <c r="H75" s="1435"/>
      <c r="I75" s="1435"/>
      <c r="J75" s="1435"/>
      <c r="K75" s="1435"/>
      <c r="L75" s="1435"/>
      <c r="M75" s="1435"/>
      <c r="N75" s="1435"/>
      <c r="O75" s="1435"/>
      <c r="P75" s="1435"/>
      <c r="Q75" s="1435"/>
    </row>
    <row r="76" spans="1:17" ht="49.5" customHeight="1" x14ac:dyDescent="0.25">
      <c r="A76" s="1510" t="s">
        <v>2069</v>
      </c>
      <c r="B76" s="1443" t="s">
        <v>2075</v>
      </c>
      <c r="C76" s="1516" t="e">
        <f ca="1">$C$24+($C$75/$C$74)*($C$23-$C$27)</f>
        <v>#VALUE!</v>
      </c>
      <c r="D76" s="2580" t="s">
        <v>2111</v>
      </c>
      <c r="E76" s="2581"/>
      <c r="F76" s="2582"/>
      <c r="G76" s="1435"/>
      <c r="H76" s="1435"/>
      <c r="I76" s="1435"/>
      <c r="J76" s="1435"/>
      <c r="K76" s="1435"/>
      <c r="L76" s="1435"/>
      <c r="M76" s="1435"/>
      <c r="N76" s="1435"/>
      <c r="O76" s="1435"/>
      <c r="P76" s="1435"/>
      <c r="Q76" s="1435"/>
    </row>
    <row r="77" spans="1:17" ht="42.6" customHeight="1" x14ac:dyDescent="0.25">
      <c r="A77" s="1460" t="s">
        <v>2097</v>
      </c>
      <c r="B77" s="1451" t="s">
        <v>1525</v>
      </c>
      <c r="C77" s="1475" t="e">
        <f ca="1">($C$50*$C$28*$C$30*($C$23-$C$76))/3600</f>
        <v>#DIV/0!</v>
      </c>
      <c r="D77" s="1485"/>
      <c r="E77" s="1486"/>
      <c r="F77" s="1487"/>
      <c r="G77" s="1435"/>
      <c r="H77" s="1435"/>
      <c r="I77" s="1435"/>
      <c r="J77" s="1435"/>
      <c r="K77" s="1435"/>
      <c r="L77" s="1435"/>
      <c r="M77" s="1435"/>
      <c r="N77" s="1435"/>
      <c r="O77" s="1435"/>
      <c r="P77" s="1435"/>
      <c r="Q77" s="1435"/>
    </row>
    <row r="78" spans="1:17" x14ac:dyDescent="0.25">
      <c r="A78" s="1457" t="s">
        <v>868</v>
      </c>
      <c r="B78" s="1452" t="s">
        <v>2060</v>
      </c>
      <c r="C78" s="1467" t="e">
        <f ca="1">C77*1000</f>
        <v>#DIV/0!</v>
      </c>
      <c r="D78" s="1490"/>
      <c r="E78" s="1491"/>
      <c r="F78" s="1492"/>
      <c r="G78" s="1435"/>
      <c r="H78" s="1435"/>
      <c r="I78" s="1435"/>
      <c r="J78" s="1435"/>
      <c r="K78" s="1435"/>
      <c r="L78" s="1435"/>
      <c r="M78" s="1435"/>
      <c r="N78" s="1435"/>
      <c r="O78" s="1435"/>
      <c r="P78" s="1435"/>
      <c r="Q78" s="1435"/>
    </row>
    <row r="79" spans="1:17" ht="32.450000000000003" customHeight="1" x14ac:dyDescent="0.25">
      <c r="A79" s="1460" t="s">
        <v>2070</v>
      </c>
      <c r="B79" s="1451" t="s">
        <v>2060</v>
      </c>
      <c r="C79" s="1484" t="e">
        <f ca="1">C52-C78</f>
        <v>#DIV/0!</v>
      </c>
      <c r="D79" s="2601" t="s">
        <v>2104</v>
      </c>
      <c r="E79" s="2602"/>
      <c r="F79" s="2603"/>
      <c r="G79" s="1435"/>
      <c r="H79" s="1435"/>
      <c r="I79" s="1435"/>
      <c r="J79" s="1435"/>
      <c r="K79" s="1435"/>
      <c r="L79" s="1435"/>
      <c r="M79" s="1435"/>
      <c r="N79" s="1435"/>
      <c r="O79" s="1435"/>
      <c r="P79" s="1435"/>
      <c r="Q79" s="1435"/>
    </row>
    <row r="80" spans="1:17" x14ac:dyDescent="0.25">
      <c r="A80" s="1457" t="s">
        <v>868</v>
      </c>
      <c r="B80" s="1452" t="s">
        <v>1165</v>
      </c>
      <c r="C80" s="1467" t="e">
        <f ca="1">(C79/C52)*100</f>
        <v>#DIV/0!</v>
      </c>
      <c r="D80" s="2598"/>
      <c r="E80" s="2599"/>
      <c r="F80" s="2600"/>
      <c r="G80" s="1435"/>
      <c r="H80" s="1435"/>
      <c r="I80" s="1435"/>
      <c r="J80" s="1435"/>
      <c r="K80" s="1435"/>
      <c r="L80" s="1435"/>
      <c r="M80" s="1435"/>
      <c r="N80" s="1435"/>
      <c r="O80" s="1435"/>
      <c r="P80" s="1435"/>
      <c r="Q80" s="1435"/>
    </row>
    <row r="81" spans="1:17" s="13" customFormat="1" ht="21.6" customHeight="1" x14ac:dyDescent="0.25">
      <c r="A81" s="2583" t="s">
        <v>2073</v>
      </c>
      <c r="B81" s="2584"/>
      <c r="C81" s="2584"/>
      <c r="D81" s="2584"/>
      <c r="E81" s="2584"/>
      <c r="F81" s="2585"/>
      <c r="G81" s="1435"/>
      <c r="H81" s="1435"/>
      <c r="I81" s="1435"/>
      <c r="J81" s="1435"/>
      <c r="K81" s="1435"/>
      <c r="L81" s="1435"/>
      <c r="M81" s="1435"/>
      <c r="N81" s="1435"/>
      <c r="O81" s="1435"/>
      <c r="P81" s="1435"/>
      <c r="Q81" s="1435"/>
    </row>
    <row r="82" spans="1:17" s="13" customFormat="1" ht="32.1" customHeight="1" x14ac:dyDescent="0.25">
      <c r="A82" s="1460" t="s">
        <v>2071</v>
      </c>
      <c r="B82" s="1456"/>
      <c r="C82" s="1456"/>
      <c r="D82" s="1485"/>
      <c r="E82" s="1486"/>
      <c r="F82" s="1487"/>
      <c r="G82" s="1435"/>
      <c r="H82" s="1435"/>
      <c r="I82" s="1435"/>
      <c r="J82" s="1435"/>
      <c r="K82" s="1435"/>
      <c r="L82" s="1435"/>
      <c r="M82" s="1435"/>
      <c r="N82" s="1435"/>
      <c r="O82" s="1435"/>
      <c r="P82" s="1435"/>
      <c r="Q82" s="1435"/>
    </row>
    <row r="83" spans="1:17" s="13" customFormat="1" x14ac:dyDescent="0.25">
      <c r="A83" s="1479" t="s">
        <v>2064</v>
      </c>
      <c r="B83" s="1462" t="s">
        <v>837</v>
      </c>
      <c r="C83" s="1481" t="e">
        <f ca="1">((1-($C$80/100))*$C$53*30*$C$55)/1000</f>
        <v>#DIV/0!</v>
      </c>
      <c r="D83" s="1488"/>
      <c r="E83" s="1465"/>
      <c r="F83" s="1489"/>
      <c r="G83" s="1435"/>
      <c r="H83" s="1435"/>
      <c r="I83" s="1435"/>
      <c r="J83" s="1435"/>
      <c r="K83" s="1435"/>
      <c r="L83" s="1435"/>
      <c r="M83" s="1435"/>
      <c r="N83" s="1435"/>
      <c r="O83" s="1435"/>
      <c r="P83" s="1435"/>
      <c r="Q83" s="1435"/>
    </row>
    <row r="84" spans="1:17" s="13" customFormat="1" x14ac:dyDescent="0.25">
      <c r="A84" s="1480" t="s">
        <v>2065</v>
      </c>
      <c r="B84" s="1462" t="s">
        <v>837</v>
      </c>
      <c r="C84" s="1481" t="e">
        <f ca="1">((1-($C$80/100))*$C$53*$C$55*$C$25)/1000</f>
        <v>#DIV/0!</v>
      </c>
      <c r="D84" s="1490"/>
      <c r="E84" s="1491"/>
      <c r="F84" s="1492"/>
      <c r="G84" s="1435"/>
      <c r="H84" s="1435"/>
      <c r="I84" s="1435"/>
      <c r="J84" s="1435"/>
      <c r="K84" s="1435"/>
      <c r="L84" s="1435"/>
      <c r="M84" s="1435"/>
      <c r="N84" s="1435"/>
      <c r="O84" s="1435"/>
      <c r="P84" s="1435"/>
      <c r="Q84" s="1435"/>
    </row>
    <row r="85" spans="1:17" s="13" customFormat="1" ht="32.1" customHeight="1" x14ac:dyDescent="0.25">
      <c r="A85" s="1460" t="s">
        <v>2109</v>
      </c>
      <c r="B85" s="1456"/>
      <c r="C85" s="1456"/>
      <c r="D85" s="1485"/>
      <c r="E85" s="1486"/>
      <c r="F85" s="1487"/>
      <c r="G85" s="1435"/>
      <c r="H85" s="1435"/>
      <c r="I85" s="1435"/>
      <c r="J85" s="1435"/>
      <c r="K85" s="1435"/>
      <c r="L85" s="1435"/>
      <c r="M85" s="1435"/>
      <c r="N85" s="1435"/>
      <c r="O85" s="1435"/>
      <c r="P85" s="1435"/>
      <c r="Q85" s="1435"/>
    </row>
    <row r="86" spans="1:17" s="13" customFormat="1" x14ac:dyDescent="0.25">
      <c r="A86" s="1479" t="s">
        <v>2064</v>
      </c>
      <c r="B86" s="1462" t="s">
        <v>837</v>
      </c>
      <c r="C86" s="1471" t="e">
        <f ca="1">(C72*(1-($C$80/100))*$C$53)*30*$C$55/1000+(C31-C72)*$C$53*30*$C$55/1000</f>
        <v>#DIV/0!</v>
      </c>
      <c r="D86" s="1488"/>
      <c r="E86" s="1465"/>
      <c r="F86" s="1489"/>
      <c r="G86" s="1435"/>
      <c r="H86" s="1435"/>
      <c r="I86" s="1435"/>
      <c r="J86" s="1435"/>
      <c r="K86" s="1435"/>
      <c r="L86" s="1435"/>
      <c r="M86" s="1435"/>
      <c r="N86" s="1435"/>
      <c r="O86" s="1435"/>
      <c r="P86" s="1435"/>
      <c r="Q86" s="1435"/>
    </row>
    <row r="87" spans="1:17" s="13" customFormat="1" x14ac:dyDescent="0.25">
      <c r="A87" s="1480" t="s">
        <v>2065</v>
      </c>
      <c r="B87" s="1462" t="s">
        <v>837</v>
      </c>
      <c r="C87" s="1467" t="e">
        <f ca="1">($C$72*(1-$C$80/100)*$C$53/1000*$C$25*$C$55)+(($C$31-$C$72)*$C$53/1000*$C$25*$C$55)</f>
        <v>#DIV/0!</v>
      </c>
      <c r="D87" s="1490"/>
      <c r="E87" s="1491"/>
      <c r="F87" s="1492"/>
      <c r="G87" s="1435"/>
      <c r="H87" s="1435"/>
      <c r="I87" s="1435"/>
      <c r="J87" s="1435"/>
      <c r="K87" s="1435"/>
      <c r="L87" s="1435"/>
      <c r="M87" s="1435"/>
      <c r="N87" s="1435"/>
      <c r="O87" s="1435"/>
      <c r="P87" s="1435"/>
      <c r="Q87" s="1435"/>
    </row>
    <row r="88" spans="1:17" s="13" customFormat="1" ht="22.5" customHeight="1" x14ac:dyDescent="0.25">
      <c r="A88" s="2583" t="s">
        <v>2093</v>
      </c>
      <c r="B88" s="2584"/>
      <c r="C88" s="2584"/>
      <c r="D88" s="2584"/>
      <c r="E88" s="2584"/>
      <c r="F88" s="2585"/>
      <c r="G88" s="1435"/>
      <c r="H88" s="1435"/>
      <c r="I88" s="1435"/>
      <c r="J88" s="1435"/>
      <c r="K88" s="1435"/>
      <c r="L88" s="1435"/>
      <c r="M88" s="1435"/>
      <c r="N88" s="1435"/>
      <c r="O88" s="1435"/>
      <c r="P88" s="1435"/>
      <c r="Q88" s="1435"/>
    </row>
    <row r="89" spans="1:17" s="13" customFormat="1" ht="29.1" customHeight="1" x14ac:dyDescent="0.25">
      <c r="A89" s="1460" t="s">
        <v>2068</v>
      </c>
      <c r="B89" s="1456"/>
      <c r="C89" s="1456"/>
      <c r="D89" s="1485"/>
      <c r="E89" s="1486"/>
      <c r="F89" s="1487"/>
      <c r="G89" s="1435"/>
      <c r="H89" s="1435"/>
      <c r="I89" s="1435"/>
      <c r="J89" s="1435"/>
      <c r="K89" s="1435"/>
      <c r="L89" s="1435"/>
      <c r="M89" s="1435"/>
      <c r="N89" s="1435"/>
      <c r="O89" s="1435"/>
      <c r="P89" s="1435"/>
      <c r="Q89" s="1435"/>
    </row>
    <row r="90" spans="1:17" s="13" customFormat="1" x14ac:dyDescent="0.25">
      <c r="A90" s="1479" t="s">
        <v>2064</v>
      </c>
      <c r="B90" s="1462" t="s">
        <v>1284</v>
      </c>
      <c r="C90" s="1481" t="e">
        <f ca="1">C83*$C$63</f>
        <v>#DIV/0!</v>
      </c>
      <c r="D90" s="1488"/>
      <c r="E90" s="1465"/>
      <c r="F90" s="1489"/>
      <c r="G90" s="1435"/>
      <c r="H90" s="1435"/>
      <c r="I90" s="1435"/>
      <c r="J90" s="1435"/>
      <c r="K90" s="1435"/>
      <c r="L90" s="1435"/>
      <c r="M90" s="1435"/>
      <c r="N90" s="1435"/>
      <c r="O90" s="1435"/>
      <c r="P90" s="1435"/>
      <c r="Q90" s="1435"/>
    </row>
    <row r="91" spans="1:17" s="13" customFormat="1" x14ac:dyDescent="0.25">
      <c r="A91" s="1480" t="s">
        <v>2065</v>
      </c>
      <c r="B91" s="1452" t="s">
        <v>1284</v>
      </c>
      <c r="C91" s="1481" t="e">
        <f ca="1">C84*$C$63</f>
        <v>#DIV/0!</v>
      </c>
      <c r="D91" s="1490"/>
      <c r="E91" s="1491"/>
      <c r="F91" s="1492"/>
      <c r="G91" s="1435"/>
      <c r="H91" s="1435"/>
      <c r="I91" s="1435"/>
      <c r="J91" s="1435"/>
      <c r="K91" s="1435"/>
      <c r="L91" s="1435"/>
      <c r="M91" s="1435"/>
      <c r="N91" s="1435"/>
      <c r="O91" s="1435"/>
      <c r="P91" s="1435"/>
      <c r="Q91" s="1435"/>
    </row>
    <row r="92" spans="1:17" s="13" customFormat="1" ht="32.450000000000003" customHeight="1" x14ac:dyDescent="0.25">
      <c r="A92" s="1460" t="s">
        <v>2107</v>
      </c>
      <c r="B92" s="1456"/>
      <c r="C92" s="1456"/>
      <c r="D92" s="1485"/>
      <c r="E92" s="1486"/>
      <c r="F92" s="1487"/>
      <c r="G92" s="1435"/>
      <c r="H92" s="1435"/>
      <c r="I92" s="1435"/>
      <c r="J92" s="1435"/>
      <c r="K92" s="1435"/>
      <c r="L92" s="1435"/>
      <c r="M92" s="1435"/>
      <c r="N92" s="1435"/>
      <c r="O92" s="1435"/>
      <c r="P92" s="1435"/>
      <c r="Q92" s="1435"/>
    </row>
    <row r="93" spans="1:17" s="13" customFormat="1" x14ac:dyDescent="0.25">
      <c r="A93" s="1479" t="s">
        <v>2064</v>
      </c>
      <c r="B93" s="1462" t="s">
        <v>1284</v>
      </c>
      <c r="C93" s="1481" t="e">
        <f ca="1">C86*$C$63</f>
        <v>#DIV/0!</v>
      </c>
      <c r="D93" s="1488"/>
      <c r="E93" s="1465"/>
      <c r="F93" s="1489"/>
      <c r="G93" s="1435"/>
      <c r="H93" s="1435"/>
      <c r="I93" s="1435"/>
      <c r="J93" s="1435"/>
      <c r="K93" s="1435"/>
      <c r="L93" s="1435"/>
      <c r="M93" s="1435"/>
      <c r="N93" s="1435"/>
      <c r="O93" s="1435"/>
      <c r="P93" s="1435"/>
      <c r="Q93" s="1435"/>
    </row>
    <row r="94" spans="1:17" s="13" customFormat="1" x14ac:dyDescent="0.25">
      <c r="A94" s="1480" t="s">
        <v>2065</v>
      </c>
      <c r="B94" s="1452" t="s">
        <v>1284</v>
      </c>
      <c r="C94" s="1481" t="e">
        <f ca="1">C87*$C$63</f>
        <v>#DIV/0!</v>
      </c>
      <c r="D94" s="1490"/>
      <c r="E94" s="1491"/>
      <c r="F94" s="1492"/>
      <c r="G94" s="1435"/>
      <c r="H94" s="1435"/>
      <c r="I94" s="1435"/>
      <c r="J94" s="1435"/>
      <c r="K94" s="1435"/>
      <c r="L94" s="1435"/>
      <c r="M94" s="1435"/>
      <c r="N94" s="1435"/>
      <c r="O94" s="1435"/>
      <c r="P94" s="1435"/>
      <c r="Q94" s="1435"/>
    </row>
    <row r="95" spans="1:17" ht="20.45" customHeight="1" x14ac:dyDescent="0.25">
      <c r="A95" s="2583" t="s">
        <v>2112</v>
      </c>
      <c r="B95" s="2584"/>
      <c r="C95" s="2584"/>
      <c r="D95" s="2584"/>
      <c r="E95" s="2584"/>
      <c r="F95" s="2585"/>
      <c r="G95" s="1435"/>
      <c r="H95" s="1435"/>
      <c r="I95" s="1435"/>
      <c r="J95" s="1435"/>
      <c r="K95" s="1435"/>
      <c r="L95" s="1435"/>
      <c r="M95" s="1435"/>
      <c r="N95" s="1435"/>
      <c r="O95" s="1435"/>
      <c r="P95" s="1435"/>
      <c r="Q95" s="1435"/>
    </row>
    <row r="96" spans="1:17" ht="29.45" customHeight="1" x14ac:dyDescent="0.25">
      <c r="A96" s="1460" t="s">
        <v>2113</v>
      </c>
      <c r="B96" s="1456"/>
      <c r="C96" s="1456"/>
      <c r="D96" s="1485"/>
      <c r="E96" s="1486"/>
      <c r="F96" s="1487"/>
      <c r="G96" s="1435"/>
      <c r="H96" s="1435"/>
      <c r="I96" s="1435"/>
      <c r="J96" s="1435"/>
      <c r="K96" s="1435"/>
      <c r="L96" s="1435"/>
      <c r="M96" s="1435"/>
      <c r="N96" s="1435"/>
      <c r="O96" s="1435"/>
      <c r="P96" s="1435"/>
      <c r="Q96" s="1435"/>
    </row>
    <row r="97" spans="1:17" x14ac:dyDescent="0.25">
      <c r="A97" s="1479" t="s">
        <v>2064</v>
      </c>
      <c r="B97" s="1462" t="s">
        <v>837</v>
      </c>
      <c r="C97" s="1471" t="e">
        <f ca="1">C57-C83</f>
        <v>#DIV/0!</v>
      </c>
      <c r="D97" s="1488"/>
      <c r="E97" s="1465"/>
      <c r="F97" s="1489"/>
      <c r="G97" s="1435"/>
      <c r="H97" s="1435"/>
      <c r="I97" s="1435"/>
      <c r="J97" s="1435"/>
      <c r="K97" s="1435"/>
      <c r="L97" s="1435"/>
      <c r="M97" s="1435"/>
      <c r="N97" s="1435"/>
      <c r="O97" s="1435"/>
      <c r="P97" s="1435"/>
      <c r="Q97" s="1435"/>
    </row>
    <row r="98" spans="1:17" x14ac:dyDescent="0.25">
      <c r="A98" s="1480" t="s">
        <v>2065</v>
      </c>
      <c r="B98" s="1462" t="s">
        <v>837</v>
      </c>
      <c r="C98" s="1471" t="e">
        <f ca="1">C58-C84</f>
        <v>#DIV/0!</v>
      </c>
      <c r="D98" s="1490"/>
      <c r="E98" s="1491"/>
      <c r="F98" s="1492"/>
      <c r="G98" s="1435"/>
      <c r="H98" s="1435"/>
      <c r="I98" s="1435"/>
      <c r="J98" s="1435"/>
      <c r="K98" s="1435"/>
      <c r="L98" s="1435"/>
      <c r="M98" s="1435"/>
      <c r="N98" s="1435"/>
      <c r="O98" s="1435"/>
      <c r="P98" s="1435"/>
      <c r="Q98" s="1435"/>
    </row>
    <row r="99" spans="1:17" ht="23.45" customHeight="1" x14ac:dyDescent="0.25">
      <c r="A99" s="1460" t="s">
        <v>2120</v>
      </c>
      <c r="B99" s="1456"/>
      <c r="C99" s="1456"/>
      <c r="D99" s="1485"/>
      <c r="E99" s="1486"/>
      <c r="F99" s="1487"/>
      <c r="G99" s="1435"/>
      <c r="H99" s="1435"/>
      <c r="I99" s="1435"/>
      <c r="J99" s="1435"/>
      <c r="K99" s="1435"/>
      <c r="L99" s="1435"/>
      <c r="M99" s="1435"/>
      <c r="N99" s="1435"/>
      <c r="O99" s="1435"/>
      <c r="P99" s="1435"/>
      <c r="Q99" s="1435"/>
    </row>
    <row r="100" spans="1:17" x14ac:dyDescent="0.25">
      <c r="A100" s="1479" t="s">
        <v>2064</v>
      </c>
      <c r="B100" s="1462" t="s">
        <v>837</v>
      </c>
      <c r="C100" s="1471" t="e">
        <f ca="1">C60-C86</f>
        <v>#DIV/0!</v>
      </c>
      <c r="D100" s="1488"/>
      <c r="E100" s="1465"/>
      <c r="F100" s="1489"/>
      <c r="G100" s="1435"/>
      <c r="H100" s="1435"/>
      <c r="I100" s="1435"/>
      <c r="J100" s="1435"/>
      <c r="K100" s="1435"/>
      <c r="L100" s="1435"/>
      <c r="M100" s="1435"/>
      <c r="N100" s="1435"/>
      <c r="O100" s="1435"/>
      <c r="P100" s="1435"/>
      <c r="Q100" s="1435"/>
    </row>
    <row r="101" spans="1:17" x14ac:dyDescent="0.25">
      <c r="A101" s="1480" t="s">
        <v>2065</v>
      </c>
      <c r="B101" s="1452" t="s">
        <v>837</v>
      </c>
      <c r="C101" s="1467" t="e">
        <f ca="1">C61-C87</f>
        <v>#DIV/0!</v>
      </c>
      <c r="D101" s="1497"/>
      <c r="E101" s="1498"/>
      <c r="F101" s="1499"/>
    </row>
    <row r="102" spans="1:17" ht="17.45" customHeight="1" x14ac:dyDescent="0.25">
      <c r="A102" s="2583" t="s">
        <v>2114</v>
      </c>
      <c r="B102" s="2584"/>
      <c r="C102" s="2584"/>
      <c r="D102" s="2584"/>
      <c r="E102" s="2584"/>
      <c r="F102" s="2585"/>
    </row>
    <row r="103" spans="1:17" ht="27.95" customHeight="1" x14ac:dyDescent="0.25">
      <c r="A103" s="1469" t="s">
        <v>2115</v>
      </c>
      <c r="B103" s="1463"/>
      <c r="C103" s="1463"/>
      <c r="D103" s="1500"/>
      <c r="E103" s="1501"/>
      <c r="F103" s="1502"/>
    </row>
    <row r="104" spans="1:17" x14ac:dyDescent="0.25">
      <c r="A104" s="1479" t="s">
        <v>2064</v>
      </c>
      <c r="B104" s="1462" t="s">
        <v>1284</v>
      </c>
      <c r="C104" s="1482" t="e">
        <f ca="1">C65-C90</f>
        <v>#DIV/0!</v>
      </c>
      <c r="D104" s="1503"/>
      <c r="E104" s="1504"/>
      <c r="F104" s="1505"/>
    </row>
    <row r="105" spans="1:17" x14ac:dyDescent="0.25">
      <c r="A105" s="1480" t="s">
        <v>2065</v>
      </c>
      <c r="B105" s="1452" t="s">
        <v>1284</v>
      </c>
      <c r="C105" s="1466" t="e">
        <f ca="1">C66-C91</f>
        <v>#DIV/0!</v>
      </c>
      <c r="D105" s="1497"/>
      <c r="E105" s="1498"/>
      <c r="F105" s="1499"/>
    </row>
    <row r="106" spans="1:17" ht="28.5" customHeight="1" x14ac:dyDescent="0.25">
      <c r="A106" s="1460" t="s">
        <v>2116</v>
      </c>
      <c r="B106" s="1456"/>
      <c r="C106" s="1456"/>
      <c r="D106" s="1500"/>
      <c r="E106" s="1501"/>
      <c r="F106" s="1502"/>
    </row>
    <row r="107" spans="1:17" x14ac:dyDescent="0.25">
      <c r="A107" s="1479" t="s">
        <v>2064</v>
      </c>
      <c r="B107" s="1462" t="s">
        <v>1284</v>
      </c>
      <c r="C107" s="1482" t="e">
        <f ca="1">C68-C93</f>
        <v>#DIV/0!</v>
      </c>
      <c r="D107" s="1503"/>
      <c r="E107" s="1504"/>
      <c r="F107" s="1505"/>
    </row>
    <row r="108" spans="1:17" x14ac:dyDescent="0.25">
      <c r="A108" s="1480" t="s">
        <v>2065</v>
      </c>
      <c r="B108" s="1452" t="s">
        <v>1284</v>
      </c>
      <c r="C108" s="1466" t="e">
        <f ca="1">C69-C94</f>
        <v>#DIV/0!</v>
      </c>
      <c r="D108" s="1497"/>
      <c r="E108" s="1498"/>
      <c r="F108" s="1499"/>
    </row>
    <row r="111" spans="1:17" ht="15.75" x14ac:dyDescent="0.25">
      <c r="A111" s="2576" t="s">
        <v>2083</v>
      </c>
      <c r="B111" s="2576"/>
      <c r="C111" s="2576"/>
    </row>
    <row r="112" spans="1:17" x14ac:dyDescent="0.25">
      <c r="A112" s="1442" t="s">
        <v>829</v>
      </c>
      <c r="B112" s="1443" t="s">
        <v>1158</v>
      </c>
      <c r="C112" s="1443" t="s">
        <v>862</v>
      </c>
    </row>
    <row r="113" spans="1:3" s="13" customFormat="1" x14ac:dyDescent="0.25">
      <c r="A113" s="2589" t="s">
        <v>2094</v>
      </c>
      <c r="B113" s="2590"/>
      <c r="C113" s="2591"/>
    </row>
    <row r="114" spans="1:3" ht="44.1" customHeight="1" x14ac:dyDescent="0.25">
      <c r="A114" s="1453" t="s">
        <v>2118</v>
      </c>
      <c r="B114" s="1446" t="s">
        <v>837</v>
      </c>
      <c r="C114" s="1517" t="e">
        <f ca="1">C61</f>
        <v>#DIV/0!</v>
      </c>
    </row>
    <row r="115" spans="1:3" ht="25.5" x14ac:dyDescent="0.25">
      <c r="A115" s="1437" t="s">
        <v>2119</v>
      </c>
      <c r="B115" s="1446" t="s">
        <v>1284</v>
      </c>
      <c r="C115" s="1517" t="e">
        <f ca="1">C69</f>
        <v>#DIV/0!</v>
      </c>
    </row>
    <row r="116" spans="1:3" x14ac:dyDescent="0.25">
      <c r="A116" s="2589" t="s">
        <v>2095</v>
      </c>
      <c r="B116" s="2590"/>
      <c r="C116" s="2591"/>
    </row>
    <row r="117" spans="1:3" ht="25.5" x14ac:dyDescent="0.25">
      <c r="A117" s="1453" t="s">
        <v>2118</v>
      </c>
      <c r="B117" s="1446" t="s">
        <v>837</v>
      </c>
      <c r="C117" s="1517" t="e">
        <f ca="1">C87</f>
        <v>#DIV/0!</v>
      </c>
    </row>
    <row r="118" spans="1:3" ht="25.5" x14ac:dyDescent="0.25">
      <c r="A118" s="1437" t="s">
        <v>2119</v>
      </c>
      <c r="B118" s="1446" t="s">
        <v>1284</v>
      </c>
      <c r="C118" s="1517" t="e">
        <f ca="1">C94</f>
        <v>#DIV/0!</v>
      </c>
    </row>
    <row r="119" spans="1:3" ht="28.5" customHeight="1" x14ac:dyDescent="0.25">
      <c r="A119" s="2583" t="s">
        <v>2096</v>
      </c>
      <c r="B119" s="2584"/>
      <c r="C119" s="2585"/>
    </row>
    <row r="120" spans="1:3" x14ac:dyDescent="0.25">
      <c r="A120" s="1518" t="s">
        <v>2123</v>
      </c>
      <c r="B120" s="1520" t="s">
        <v>837</v>
      </c>
      <c r="C120" s="1484" t="e">
        <f ca="1">C114-C117</f>
        <v>#DIV/0!</v>
      </c>
    </row>
    <row r="121" spans="1:3" x14ac:dyDescent="0.25">
      <c r="A121" s="1519" t="s">
        <v>868</v>
      </c>
      <c r="B121" s="1521" t="s">
        <v>1165</v>
      </c>
      <c r="C121" s="1522" t="e">
        <f ca="1">(C120/C114)*100</f>
        <v>#DIV/0!</v>
      </c>
    </row>
    <row r="122" spans="1:3" x14ac:dyDescent="0.25">
      <c r="A122" s="1518" t="s">
        <v>2117</v>
      </c>
      <c r="B122" s="1520" t="s">
        <v>1284</v>
      </c>
      <c r="C122" s="1484" t="e">
        <f ca="1">C115-C118</f>
        <v>#DIV/0!</v>
      </c>
    </row>
    <row r="123" spans="1:3" x14ac:dyDescent="0.25">
      <c r="A123" s="1519" t="s">
        <v>868</v>
      </c>
      <c r="B123" s="1521" t="s">
        <v>1165</v>
      </c>
      <c r="C123" s="1522" t="e">
        <f ca="1">(C122/C115)*100</f>
        <v>#DIV/0!</v>
      </c>
    </row>
    <row r="129" spans="1:2" s="1523" customFormat="1" x14ac:dyDescent="0.25">
      <c r="A129" s="259" t="s">
        <v>1241</v>
      </c>
      <c r="B129" s="1524">
        <v>2.5000000000000001E-2</v>
      </c>
    </row>
    <row r="130" spans="1:2" s="1523" customFormat="1" ht="30" x14ac:dyDescent="0.25">
      <c r="A130" s="259" t="s">
        <v>1242</v>
      </c>
      <c r="B130" s="1524">
        <v>2.5000000000000001E-2</v>
      </c>
    </row>
    <row r="131" spans="1:2" s="1523" customFormat="1" ht="30" x14ac:dyDescent="0.25">
      <c r="A131" s="259" t="s">
        <v>1243</v>
      </c>
      <c r="B131" s="1525">
        <v>0.05</v>
      </c>
    </row>
    <row r="132" spans="1:2" s="1523" customFormat="1" ht="30" x14ac:dyDescent="0.25">
      <c r="A132" s="259" t="s">
        <v>1247</v>
      </c>
      <c r="B132" s="1524">
        <v>2.5000000000000001E-2</v>
      </c>
    </row>
    <row r="133" spans="1:2" s="1523" customFormat="1" ht="30" x14ac:dyDescent="0.25">
      <c r="A133" s="259" t="s">
        <v>1248</v>
      </c>
      <c r="B133" s="1524">
        <v>7.4999999999999997E-2</v>
      </c>
    </row>
    <row r="134" spans="1:2" s="1523" customFormat="1" x14ac:dyDescent="0.25">
      <c r="A134" s="259" t="s">
        <v>1244</v>
      </c>
      <c r="B134" s="1525">
        <v>7.0000000000000007E-2</v>
      </c>
    </row>
    <row r="135" spans="1:2" s="1523" customFormat="1" x14ac:dyDescent="0.25">
      <c r="A135" s="259" t="s">
        <v>1245</v>
      </c>
      <c r="B135" s="1524">
        <v>7.4999999999999997E-2</v>
      </c>
    </row>
    <row r="136" spans="1:2" s="1523" customFormat="1" x14ac:dyDescent="0.25">
      <c r="A136" s="259" t="s">
        <v>1246</v>
      </c>
      <c r="B136" s="1524">
        <v>8.5000000000000006E-2</v>
      </c>
    </row>
    <row r="137" spans="1:2" s="1523" customFormat="1" ht="30" x14ac:dyDescent="0.25">
      <c r="A137" s="259" t="s">
        <v>2126</v>
      </c>
      <c r="B137" s="1525">
        <v>0.09</v>
      </c>
    </row>
    <row r="138" spans="1:2" s="1523" customFormat="1" ht="30" x14ac:dyDescent="0.25">
      <c r="A138" s="259" t="s">
        <v>2127</v>
      </c>
      <c r="B138" s="1525">
        <v>0.1</v>
      </c>
    </row>
    <row r="139" spans="1:2" s="1523" customFormat="1" ht="30" x14ac:dyDescent="0.25">
      <c r="A139" s="259" t="s">
        <v>2125</v>
      </c>
      <c r="B139" s="1524">
        <v>0.08</v>
      </c>
    </row>
    <row r="140" spans="1:2" s="1523" customFormat="1" ht="30" x14ac:dyDescent="0.25">
      <c r="A140" s="259" t="s">
        <v>2128</v>
      </c>
      <c r="B140" s="1525">
        <v>0.12</v>
      </c>
    </row>
  </sheetData>
  <sheetProtection password="ECB1" sheet="1" objects="1" scenarios="1"/>
  <mergeCells count="27">
    <mergeCell ref="A119:C119"/>
    <mergeCell ref="D53:F53"/>
    <mergeCell ref="D55:F55"/>
    <mergeCell ref="D79:F80"/>
    <mergeCell ref="A2:F2"/>
    <mergeCell ref="D34:F34"/>
    <mergeCell ref="A111:C111"/>
    <mergeCell ref="A113:C113"/>
    <mergeCell ref="A116:C116"/>
    <mergeCell ref="A54:F54"/>
    <mergeCell ref="A62:F62"/>
    <mergeCell ref="A3:A4"/>
    <mergeCell ref="B3:B4"/>
    <mergeCell ref="C3:C4"/>
    <mergeCell ref="D3:F3"/>
    <mergeCell ref="A70:F70"/>
    <mergeCell ref="A95:F95"/>
    <mergeCell ref="A102:F102"/>
    <mergeCell ref="D21:F21"/>
    <mergeCell ref="A22:F22"/>
    <mergeCell ref="A42:F42"/>
    <mergeCell ref="A46:F46"/>
    <mergeCell ref="A20:F20"/>
    <mergeCell ref="D45:F45"/>
    <mergeCell ref="D76:F76"/>
    <mergeCell ref="A81:F81"/>
    <mergeCell ref="A88:F88"/>
  </mergeCells>
  <pageMargins left="0.7" right="0.7" top="0.75" bottom="0.75" header="0.3" footer="0.3"/>
  <ignoredErrors>
    <ignoredError sqref="C121" 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pageSetUpPr fitToPage="1"/>
  </sheetPr>
  <dimension ref="A1:AH422"/>
  <sheetViews>
    <sheetView zoomScale="90" zoomScaleNormal="90" workbookViewId="0">
      <pane ySplit="1" topLeftCell="A2" activePane="bottomLeft" state="frozen"/>
      <selection pane="bottomLeft" activeCell="D9" sqref="D9"/>
    </sheetView>
  </sheetViews>
  <sheetFormatPr defaultColWidth="0" defaultRowHeight="15" zeroHeight="1" x14ac:dyDescent="0.25"/>
  <cols>
    <col min="1" max="1" width="0.7109375" style="1331" customWidth="1"/>
    <col min="2" max="2" width="5" style="1331" customWidth="1"/>
    <col min="3" max="3" width="57.42578125" customWidth="1"/>
    <col min="4" max="4" width="46.85546875" customWidth="1"/>
    <col min="5" max="5" width="60.140625" customWidth="1"/>
    <col min="6" max="6" width="33.28515625" customWidth="1"/>
    <col min="7" max="7" width="19.28515625" customWidth="1"/>
    <col min="8" max="8" width="14.140625" customWidth="1"/>
    <col min="9" max="9" width="16.42578125" customWidth="1"/>
    <col min="10" max="10" width="15.140625" customWidth="1"/>
    <col min="11" max="11" width="17.140625" customWidth="1"/>
    <col min="12" max="12" width="9.140625" customWidth="1"/>
    <col min="13" max="13" width="10" customWidth="1"/>
    <col min="14" max="15" width="5" customWidth="1"/>
    <col min="16" max="26" width="9.140625" customWidth="1"/>
    <col min="27" max="27" width="10" bestFit="1" customWidth="1"/>
    <col min="28" max="28" width="9.140625" customWidth="1"/>
    <col min="29" max="29" width="10.7109375" bestFit="1" customWidth="1"/>
    <col min="30" max="34" width="9.140625" customWidth="1"/>
    <col min="35" max="16384" width="9.140625" hidden="1"/>
  </cols>
  <sheetData>
    <row r="1" spans="1:34" s="1252" customFormat="1" ht="15" customHeight="1" x14ac:dyDescent="0.25">
      <c r="A1" s="1326"/>
      <c r="B1" s="1325"/>
      <c r="C1" s="1271" t="s">
        <v>1573</v>
      </c>
      <c r="D1" s="1777" t="s">
        <v>2156</v>
      </c>
      <c r="E1" s="1272" t="s">
        <v>1571</v>
      </c>
      <c r="F1" s="2078"/>
      <c r="G1" s="2078"/>
      <c r="H1" s="2078"/>
      <c r="I1" s="2078"/>
      <c r="J1" s="2078"/>
      <c r="K1" s="2078"/>
      <c r="L1" s="2078"/>
      <c r="M1" s="2078"/>
      <c r="N1" s="2078"/>
      <c r="O1" s="2078"/>
      <c r="P1" s="2078"/>
      <c r="Q1" s="2078"/>
      <c r="R1" s="2078"/>
      <c r="S1" s="2078"/>
      <c r="T1" s="2078"/>
      <c r="U1" s="2078"/>
      <c r="V1" s="2078"/>
      <c r="W1" s="2078"/>
      <c r="X1" s="2078"/>
      <c r="Y1" s="2078"/>
      <c r="Z1" s="1251"/>
      <c r="AA1" s="14"/>
      <c r="AB1" s="14"/>
      <c r="AC1" s="14"/>
      <c r="AD1" s="14"/>
      <c r="AE1" s="14"/>
      <c r="AF1" s="14"/>
      <c r="AG1" s="14"/>
      <c r="AH1" s="14"/>
    </row>
    <row r="2" spans="1:34" s="13" customFormat="1" ht="15" customHeight="1" x14ac:dyDescent="0.25">
      <c r="A2" s="1326"/>
      <c r="B2" s="1326"/>
      <c r="C2" s="21"/>
      <c r="D2" s="21"/>
      <c r="E2" s="14" t="s">
        <v>1664</v>
      </c>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s="13" customFormat="1" ht="15" customHeight="1" x14ac:dyDescent="0.25">
      <c r="A3" s="1326"/>
      <c r="B3" s="1326"/>
      <c r="C3" s="2084" t="s">
        <v>1665</v>
      </c>
      <c r="D3" s="2085"/>
      <c r="E3" s="9" t="s">
        <v>2448</v>
      </c>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13" customFormat="1" ht="15" customHeight="1" x14ac:dyDescent="0.25">
      <c r="A4" s="1326"/>
      <c r="B4" s="1326"/>
      <c r="C4" s="2084"/>
      <c r="D4" s="2085"/>
      <c r="E4" s="1858" t="s">
        <v>2449</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s="13" customFormat="1" x14ac:dyDescent="0.25">
      <c r="A5" s="1326"/>
      <c r="B5" s="1326"/>
      <c r="C5" s="2084"/>
      <c r="D5" s="2085"/>
      <c r="E5" s="18" t="s">
        <v>1662</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s="13" customFormat="1" x14ac:dyDescent="0.25">
      <c r="A6" s="1326"/>
      <c r="B6" s="1326"/>
      <c r="C6" s="2078"/>
      <c r="D6" s="2085"/>
      <c r="E6" s="1257" t="s">
        <v>1375</v>
      </c>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13" customFormat="1" ht="16.5" customHeight="1" thickBot="1" x14ac:dyDescent="0.3">
      <c r="A7" s="1326"/>
      <c r="B7" s="1326"/>
      <c r="C7" s="1251"/>
      <c r="D7" s="1251"/>
      <c r="E7" s="1259"/>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25.5" customHeight="1" thickBot="1" x14ac:dyDescent="0.3">
      <c r="A8" s="1326"/>
      <c r="B8" s="1327">
        <v>0.125</v>
      </c>
      <c r="C8" s="2038" t="s">
        <v>755</v>
      </c>
      <c r="D8" s="2039"/>
      <c r="E8" s="2040"/>
      <c r="F8" s="50"/>
      <c r="G8" s="8"/>
      <c r="H8" s="8"/>
      <c r="I8" s="8"/>
      <c r="J8" s="8"/>
      <c r="K8" s="8"/>
      <c r="L8" s="14"/>
      <c r="M8" s="14"/>
      <c r="N8" s="14"/>
      <c r="O8" s="14"/>
      <c r="P8" s="14"/>
      <c r="Q8" s="14"/>
      <c r="R8" s="14"/>
      <c r="S8" s="14"/>
      <c r="T8" s="14"/>
      <c r="U8" s="14"/>
      <c r="V8" s="14"/>
      <c r="W8" s="14"/>
      <c r="X8" s="14"/>
      <c r="Y8" s="14"/>
      <c r="Z8" s="14"/>
      <c r="AA8" s="14"/>
      <c r="AB8" s="14"/>
      <c r="AC8" s="14"/>
      <c r="AD8" s="14"/>
      <c r="AE8" s="14"/>
      <c r="AF8" s="14"/>
      <c r="AG8" s="14"/>
      <c r="AH8" s="14"/>
    </row>
    <row r="9" spans="1:34" ht="30" x14ac:dyDescent="0.25">
      <c r="A9" s="1326"/>
      <c r="B9" s="1328">
        <v>1</v>
      </c>
      <c r="C9" s="1569" t="s">
        <v>1711</v>
      </c>
      <c r="D9" s="1638"/>
      <c r="E9" s="1639" t="s">
        <v>2161</v>
      </c>
      <c r="F9" s="50"/>
      <c r="G9" s="8"/>
      <c r="H9" s="8"/>
      <c r="I9" s="8"/>
      <c r="J9" s="8"/>
      <c r="K9" s="8"/>
      <c r="L9" s="14"/>
      <c r="M9" s="14"/>
      <c r="N9" s="14"/>
      <c r="O9" s="14"/>
      <c r="P9" s="14"/>
      <c r="Q9" s="14"/>
      <c r="R9" s="14"/>
      <c r="S9" s="14"/>
      <c r="T9" s="14"/>
      <c r="U9" s="14"/>
      <c r="V9" s="14"/>
      <c r="W9" s="14"/>
      <c r="X9" s="14"/>
      <c r="Y9" s="14"/>
      <c r="Z9" s="14"/>
      <c r="AA9" s="14"/>
      <c r="AB9" s="14"/>
      <c r="AC9" s="14"/>
      <c r="AD9" s="14"/>
      <c r="AE9" s="14"/>
      <c r="AF9" s="14"/>
      <c r="AG9" s="14"/>
      <c r="AH9" s="14"/>
    </row>
    <row r="10" spans="1:34" x14ac:dyDescent="0.25">
      <c r="A10" s="1326"/>
      <c r="B10" s="1414">
        <f t="shared" ref="B10:B15" si="0">B9+1</f>
        <v>2</v>
      </c>
      <c r="C10" s="1578" t="s">
        <v>752</v>
      </c>
      <c r="D10" s="1594" t="s">
        <v>2415</v>
      </c>
      <c r="E10" s="1595"/>
      <c r="F10" s="50"/>
      <c r="G10" s="8"/>
      <c r="H10" s="8"/>
      <c r="I10" s="8"/>
      <c r="J10" s="8"/>
      <c r="K10" s="8"/>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x14ac:dyDescent="0.25">
      <c r="A11" s="1326"/>
      <c r="B11" s="1414">
        <f t="shared" si="0"/>
        <v>3</v>
      </c>
      <c r="C11" s="1596" t="s">
        <v>753</v>
      </c>
      <c r="D11" s="1594" t="s">
        <v>2415</v>
      </c>
      <c r="E11" s="1595"/>
      <c r="F11" s="1333" t="str">
        <f>IF(TYPE(Климатология!E2)=16,"Проверьте выбор города","")</f>
        <v>Проверьте выбор города</v>
      </c>
      <c r="G11" s="8"/>
      <c r="H11" s="8"/>
      <c r="I11" s="8"/>
      <c r="J11" s="8"/>
      <c r="K11" s="8"/>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34" ht="15.75" customHeight="1" x14ac:dyDescent="0.25">
      <c r="A12" s="1326"/>
      <c r="B12" s="1414">
        <f t="shared" si="0"/>
        <v>4</v>
      </c>
      <c r="C12" s="1596" t="s">
        <v>805</v>
      </c>
      <c r="D12" s="1594"/>
      <c r="E12" s="1595" t="s">
        <v>1666</v>
      </c>
      <c r="F12" s="1333" t="str">
        <f>IF(D12="","Введите год постройки","")</f>
        <v>Введите год постройки</v>
      </c>
      <c r="G12" s="8"/>
      <c r="H12" s="8"/>
      <c r="I12" s="8"/>
      <c r="J12" s="8"/>
      <c r="K12" s="8"/>
      <c r="L12" s="14"/>
      <c r="M12" s="14"/>
      <c r="N12" s="14"/>
      <c r="O12" s="14"/>
      <c r="P12" s="14"/>
      <c r="Q12" s="14"/>
      <c r="R12" s="14"/>
      <c r="S12" s="14"/>
      <c r="T12" s="14"/>
      <c r="U12" s="14"/>
      <c r="V12" s="14"/>
      <c r="W12" s="14"/>
      <c r="X12" s="14"/>
      <c r="Y12" s="14"/>
      <c r="Z12" s="14"/>
      <c r="AA12" s="14"/>
      <c r="AB12" s="14"/>
      <c r="AC12" s="14"/>
      <c r="AD12" s="14"/>
      <c r="AE12" s="14"/>
      <c r="AF12" s="14"/>
      <c r="AG12" s="14"/>
      <c r="AH12" s="14"/>
    </row>
    <row r="13" spans="1:34" s="13" customFormat="1" ht="54.75" customHeight="1" x14ac:dyDescent="0.25">
      <c r="A13" s="1326"/>
      <c r="B13" s="1414">
        <f t="shared" si="0"/>
        <v>5</v>
      </c>
      <c r="C13" s="1596" t="s">
        <v>1742</v>
      </c>
      <c r="D13" s="1594" t="str">
        <f>IF(ISBLANK(D12),
        INDEX(snipyear,1),
        IF(D12&lt;=1996,
                INDEX(snipyear,2),
                IF(D12&lt;2001,
                        INDEX(snipyear,3),
                        INDEX(snipyear,4))))</f>
        <v>Пожалуйста, выберите</v>
      </c>
      <c r="E13" s="1597" t="s">
        <v>2160</v>
      </c>
      <c r="F13" s="1333" t="str">
        <f>IF(OR(D13="",D13="Пожалуйста, выберите"),"Выберите вариант","")</f>
        <v>Выберите вариант</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1:34" ht="45" x14ac:dyDescent="0.25">
      <c r="A14" s="1326"/>
      <c r="B14" s="1334">
        <f t="shared" si="0"/>
        <v>6</v>
      </c>
      <c r="C14" s="1596" t="s">
        <v>756</v>
      </c>
      <c r="D14" s="1626" t="s">
        <v>446</v>
      </c>
      <c r="E14" s="1625" t="s">
        <v>2157</v>
      </c>
      <c r="F14" s="50"/>
      <c r="G14" s="8"/>
      <c r="H14" s="8"/>
      <c r="I14" s="8"/>
      <c r="J14" s="8"/>
      <c r="K14" s="8"/>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34" s="7" customFormat="1" x14ac:dyDescent="0.25">
      <c r="A15" s="1326"/>
      <c r="B15" s="2033">
        <f t="shared" si="0"/>
        <v>7</v>
      </c>
      <c r="C15" s="2052" t="s">
        <v>1151</v>
      </c>
      <c r="D15" s="1619" t="str">
        <f>IF(COUNTIF('Серии теплотехника'!A5:A33,'Ввод исходных данных'!D14)&gt;1,"выберите ниже",VLOOKUP('Ввод исходных данных'!D14,'Серии теплотехника'!A5:C39,3,0))</f>
        <v>выберите ниже</v>
      </c>
      <c r="E15" s="204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50"/>
      <c r="G15" s="8"/>
      <c r="H15" s="8"/>
      <c r="I15" s="8"/>
      <c r="J15" s="8"/>
      <c r="K15" s="8"/>
      <c r="L15" s="14"/>
      <c r="M15" s="14"/>
      <c r="N15" s="14"/>
      <c r="O15" s="14"/>
      <c r="P15" s="14"/>
      <c r="Q15" s="14"/>
      <c r="R15" s="14"/>
      <c r="S15" s="14"/>
      <c r="T15" s="14"/>
      <c r="U15" s="14"/>
      <c r="V15" s="14"/>
      <c r="W15" s="14"/>
      <c r="X15" s="14"/>
      <c r="Y15" s="14"/>
      <c r="Z15" s="14"/>
      <c r="AA15" s="14"/>
      <c r="AB15" s="14"/>
      <c r="AC15" s="14"/>
      <c r="AD15" s="14"/>
      <c r="AE15" s="14"/>
      <c r="AF15" s="14"/>
      <c r="AG15" s="14"/>
      <c r="AH15" s="14"/>
    </row>
    <row r="16" spans="1:34" s="7" customFormat="1" ht="18" customHeight="1" x14ac:dyDescent="0.25">
      <c r="A16" s="1326"/>
      <c r="B16" s="2033"/>
      <c r="C16" s="2052"/>
      <c r="D16" s="1598" t="s">
        <v>1386</v>
      </c>
      <c r="E16" s="2041"/>
      <c r="F16" s="1333" t="str">
        <f>IF(TYPE('Расчет базового уровня'!C136)=16,"Проверьте выбор материала","")</f>
        <v>Проверьте выбор материала</v>
      </c>
      <c r="G16" s="14"/>
      <c r="H16" s="8"/>
      <c r="I16" s="8"/>
      <c r="J16" s="8"/>
      <c r="K16" s="8"/>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34" ht="15.75" customHeight="1" x14ac:dyDescent="0.25">
      <c r="A17" s="1326"/>
      <c r="B17" s="1328">
        <f>B15+1</f>
        <v>8</v>
      </c>
      <c r="C17" s="1613" t="s">
        <v>1915</v>
      </c>
      <c r="D17" s="1618"/>
      <c r="E17" s="2042"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50"/>
      <c r="G17" s="14"/>
      <c r="H17" s="8"/>
      <c r="I17" s="8"/>
      <c r="J17" s="8"/>
      <c r="K17" s="8"/>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s="13" customFormat="1" ht="15.75" customHeight="1" x14ac:dyDescent="0.25">
      <c r="A18" s="1326"/>
      <c r="B18" s="1328">
        <f t="shared" ref="B18:B31" si="1">B17+1</f>
        <v>9</v>
      </c>
      <c r="C18" s="2053" t="s">
        <v>2155</v>
      </c>
      <c r="D18" s="1617"/>
      <c r="E18" s="2042"/>
      <c r="F18" s="50"/>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1:34" ht="15.75" customHeight="1" x14ac:dyDescent="0.25">
      <c r="A19" s="1326"/>
      <c r="B19" s="1328">
        <f t="shared" si="1"/>
        <v>10</v>
      </c>
      <c r="C19" s="2054"/>
      <c r="D19" s="1262"/>
      <c r="E19" s="2042"/>
      <c r="F19" s="50"/>
      <c r="G19" s="14"/>
      <c r="H19" s="8"/>
      <c r="I19" s="8"/>
      <c r="J19" s="8"/>
      <c r="K19" s="8"/>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ht="33.75" customHeight="1" x14ac:dyDescent="0.25">
      <c r="A20" s="1326"/>
      <c r="B20" s="1328">
        <f t="shared" si="1"/>
        <v>11</v>
      </c>
      <c r="C20" s="1635" t="s">
        <v>2129</v>
      </c>
      <c r="D20" s="1636"/>
      <c r="E20" s="2042"/>
      <c r="F20" s="50"/>
      <c r="G20" s="14"/>
      <c r="H20" s="8"/>
      <c r="I20" s="8"/>
      <c r="J20" s="8"/>
      <c r="K20" s="8"/>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33.75" customHeight="1" x14ac:dyDescent="0.25">
      <c r="A21" s="1326"/>
      <c r="B21" s="1328">
        <f t="shared" si="1"/>
        <v>12</v>
      </c>
      <c r="C21" s="1613" t="s">
        <v>1916</v>
      </c>
      <c r="D21" s="1618"/>
      <c r="E21" s="2082"/>
      <c r="F21" s="50"/>
      <c r="G21" s="14"/>
      <c r="H21" s="8"/>
      <c r="I21" s="8"/>
      <c r="J21" s="8"/>
      <c r="K21" s="8"/>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x14ac:dyDescent="0.25">
      <c r="A22" s="1326"/>
      <c r="B22" s="1328">
        <f t="shared" si="1"/>
        <v>13</v>
      </c>
      <c r="C22" s="1567" t="s">
        <v>1917</v>
      </c>
      <c r="D22" s="49"/>
      <c r="E22" s="1566"/>
      <c r="F22" s="50"/>
      <c r="G22" s="8"/>
      <c r="H22" s="8"/>
      <c r="I22" s="8"/>
      <c r="J22" s="8"/>
      <c r="K22" s="8"/>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ht="30" customHeight="1" x14ac:dyDescent="0.25">
      <c r="A23" s="1326"/>
      <c r="B23" s="1328">
        <f t="shared" si="1"/>
        <v>14</v>
      </c>
      <c r="C23" s="1616" t="s">
        <v>1918</v>
      </c>
      <c r="D23" s="1592"/>
      <c r="E23" s="2055" t="s">
        <v>2146</v>
      </c>
      <c r="F23" s="2086" t="str">
        <f>IF(D14&lt;&gt;"нет в списке",IFERROR(IF(D23/G55&gt;0.1," Площадь нежилых помещений занимает более 10% от общей площади дома! Показатель экономии будет расчитан некорректно, если режим отопления в таких нежилых помещениях сильно отличается от нормативного для МКД.",""),""),"")</f>
        <v/>
      </c>
      <c r="G23" s="2087"/>
      <c r="H23" s="2087"/>
      <c r="I23" s="2087"/>
      <c r="J23" s="2087"/>
      <c r="K23" s="8"/>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s="7" customFormat="1" ht="33.75" customHeight="1" x14ac:dyDescent="0.25">
      <c r="A24" s="1326"/>
      <c r="B24" s="1328">
        <f t="shared" si="1"/>
        <v>15</v>
      </c>
      <c r="C24" s="1599" t="s">
        <v>1921</v>
      </c>
      <c r="D24" s="1261"/>
      <c r="E24" s="2056"/>
      <c r="F24" s="1988" t="str">
        <f>IF(AND(D23&lt;&gt;0,списки!D42=1),"МКД не рекомендуется для программы, т.к. в нежилых помещениях отсутствуют индивидуальные электросчетчики","")</f>
        <v/>
      </c>
      <c r="G24" s="8"/>
      <c r="H24" s="8"/>
      <c r="I24" s="8"/>
      <c r="J24" s="8"/>
      <c r="K24" s="8"/>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s="7" customFormat="1" ht="33.75" customHeight="1" x14ac:dyDescent="0.25">
      <c r="A25" s="1326"/>
      <c r="B25" s="1328">
        <f t="shared" si="1"/>
        <v>16</v>
      </c>
      <c r="C25" s="1599" t="s">
        <v>1919</v>
      </c>
      <c r="D25" s="1261"/>
      <c r="E25" s="2056"/>
      <c r="F25" s="1988"/>
      <c r="G25" s="8"/>
      <c r="H25" s="8"/>
      <c r="I25" s="8"/>
      <c r="J25" s="8"/>
      <c r="K25" s="8"/>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s="7" customFormat="1" ht="33.75" customHeight="1" x14ac:dyDescent="0.25">
      <c r="A26" s="1326"/>
      <c r="B26" s="1328">
        <f t="shared" si="1"/>
        <v>17</v>
      </c>
      <c r="C26" s="1572" t="s">
        <v>1920</v>
      </c>
      <c r="D26" s="1262"/>
      <c r="E26" s="2057"/>
      <c r="F26" s="1988"/>
      <c r="G26" s="8"/>
      <c r="H26" s="8"/>
      <c r="I26" s="8"/>
      <c r="J26" s="8"/>
      <c r="K26" s="8"/>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34" ht="30" customHeight="1" x14ac:dyDescent="0.25">
      <c r="A27" s="1326"/>
      <c r="B27" s="1328">
        <f t="shared" si="1"/>
        <v>18</v>
      </c>
      <c r="C27" s="1615" t="s">
        <v>519</v>
      </c>
      <c r="D27" s="1614"/>
      <c r="E27" s="1388" t="s">
        <v>1667</v>
      </c>
      <c r="F27" s="50"/>
      <c r="G27" s="8"/>
      <c r="H27" s="8"/>
      <c r="I27" s="8"/>
      <c r="J27" s="8"/>
      <c r="K27" s="8"/>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ht="30" customHeight="1" x14ac:dyDescent="0.25">
      <c r="A28" s="1326"/>
      <c r="B28" s="1328">
        <f t="shared" si="1"/>
        <v>19</v>
      </c>
      <c r="C28" s="1586" t="s">
        <v>757</v>
      </c>
      <c r="D28" s="1601"/>
      <c r="E28" s="1602"/>
      <c r="F28" s="50"/>
      <c r="G28" s="8"/>
      <c r="H28" s="8"/>
      <c r="I28" s="8"/>
      <c r="J28" s="8"/>
      <c r="K28" s="8"/>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s="13" customFormat="1" ht="18" customHeight="1" x14ac:dyDescent="0.25">
      <c r="A29" s="1326"/>
      <c r="B29" s="1328">
        <f t="shared" si="1"/>
        <v>20</v>
      </c>
      <c r="C29" s="2079" t="s">
        <v>1391</v>
      </c>
      <c r="D29" s="1614"/>
      <c r="E29" s="1593"/>
      <c r="F29" s="50"/>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s="13" customFormat="1" ht="18" customHeight="1" x14ac:dyDescent="0.25">
      <c r="A30" s="1326"/>
      <c r="B30" s="1328">
        <f t="shared" si="1"/>
        <v>21</v>
      </c>
      <c r="C30" s="2080"/>
      <c r="D30" s="1600"/>
      <c r="E30" s="1595"/>
      <c r="F30" s="50"/>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s="13" customFormat="1" ht="18" customHeight="1" x14ac:dyDescent="0.25">
      <c r="A31" s="1326"/>
      <c r="B31" s="1328">
        <f t="shared" si="1"/>
        <v>22</v>
      </c>
      <c r="C31" s="2081"/>
      <c r="D31" s="1601"/>
      <c r="E31" s="1602"/>
      <c r="F31" s="50"/>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ht="28.5" customHeight="1" x14ac:dyDescent="0.25">
      <c r="A32" s="1326"/>
      <c r="B32" s="1328"/>
      <c r="C32" s="1603" t="s">
        <v>854</v>
      </c>
      <c r="D32" s="1604">
        <f>D33+D34+D35</f>
        <v>0</v>
      </c>
      <c r="E32" s="1388" t="s">
        <v>1408</v>
      </c>
      <c r="F32" s="50"/>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x14ac:dyDescent="0.25">
      <c r="A33" s="1326"/>
      <c r="B33" s="1328">
        <f>B31+1</f>
        <v>23</v>
      </c>
      <c r="C33" s="1605" t="s">
        <v>760</v>
      </c>
      <c r="D33" s="1606"/>
      <c r="E33" s="2042" t="str">
        <f>IF(AND(D14&lt;&gt;"нет в списке",OR(D33&gt;G63,D34&gt;G66)),"Вы насчитали больше замененных окон, чем всего окон в МКД. Проверьте подсчет, или число подъездов/секций МКД","")</f>
        <v/>
      </c>
      <c r="F33" s="50"/>
      <c r="G33" s="8"/>
      <c r="H33" s="8"/>
      <c r="I33" s="8"/>
      <c r="J33" s="8"/>
      <c r="K33" s="8"/>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x14ac:dyDescent="0.25">
      <c r="A34" s="1326"/>
      <c r="B34" s="1328">
        <f>B33+1</f>
        <v>24</v>
      </c>
      <c r="C34" s="1605" t="s">
        <v>761</v>
      </c>
      <c r="D34" s="1607"/>
      <c r="E34" s="2042"/>
      <c r="F34" s="50"/>
      <c r="G34" s="8"/>
      <c r="H34" s="8"/>
      <c r="I34" s="8"/>
      <c r="J34" s="8"/>
      <c r="K34" s="8"/>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s="13" customFormat="1" x14ac:dyDescent="0.25">
      <c r="A35" s="1326"/>
      <c r="B35" s="1328">
        <f>B34+1</f>
        <v>25</v>
      </c>
      <c r="C35" s="1611" t="s">
        <v>1511</v>
      </c>
      <c r="D35" s="1612"/>
      <c r="E35" s="2043"/>
      <c r="F35" s="50"/>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ht="46.5" customHeight="1" x14ac:dyDescent="0.25">
      <c r="A36" s="1326"/>
      <c r="B36" s="1328">
        <f>B35+1</f>
        <v>26</v>
      </c>
      <c r="C36" s="1608" t="s">
        <v>1776</v>
      </c>
      <c r="D36" s="1609"/>
      <c r="E36" s="1610"/>
      <c r="F36" s="50"/>
      <c r="G36" s="8"/>
      <c r="H36" s="8"/>
      <c r="I36" s="8"/>
      <c r="J36" s="8"/>
      <c r="K36" s="8"/>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s="13" customFormat="1" ht="37.5" customHeight="1" x14ac:dyDescent="0.25">
      <c r="A37" s="1326"/>
      <c r="B37" s="1310"/>
      <c r="C37" s="1247"/>
      <c r="D37" s="1247"/>
      <c r="E37" s="1247"/>
      <c r="F37" s="1310"/>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s="13" customFormat="1" ht="30" customHeight="1" x14ac:dyDescent="0.25">
      <c r="A38" s="1326"/>
      <c r="B38" s="1310"/>
      <c r="C38" s="2047" t="s">
        <v>2397</v>
      </c>
      <c r="D38" s="2047"/>
      <c r="E38" s="2047"/>
      <c r="F38" s="50"/>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s="17" customFormat="1" ht="22.5" customHeight="1" thickBot="1" x14ac:dyDescent="0.3">
      <c r="A39" s="1326"/>
      <c r="B39" s="1329"/>
      <c r="C39" s="1255"/>
      <c r="D39" s="1270" t="s">
        <v>1668</v>
      </c>
      <c r="E39" s="1256"/>
      <c r="F39" s="1311"/>
      <c r="G39" s="16"/>
      <c r="H39" s="16"/>
      <c r="I39" s="16"/>
      <c r="J39" s="16"/>
      <c r="K39" s="16"/>
      <c r="L39" s="16"/>
      <c r="M39" s="16"/>
      <c r="N39" s="16"/>
      <c r="O39" s="16"/>
      <c r="P39" s="16"/>
      <c r="Q39" s="16"/>
      <c r="R39" s="16"/>
      <c r="S39" s="16"/>
      <c r="T39" s="16"/>
      <c r="U39" s="16"/>
      <c r="V39" s="16"/>
      <c r="W39" s="16"/>
      <c r="X39" s="16"/>
      <c r="Y39" s="16"/>
      <c r="Z39" s="16"/>
      <c r="AA39" s="14"/>
      <c r="AB39" s="14"/>
      <c r="AC39" s="14"/>
      <c r="AD39" s="14"/>
      <c r="AE39" s="14"/>
      <c r="AF39" s="14"/>
      <c r="AG39" s="14"/>
      <c r="AH39" s="14"/>
    </row>
    <row r="40" spans="1:34" s="13" customFormat="1" ht="18.75" customHeight="1" x14ac:dyDescent="0.25">
      <c r="A40" s="1326"/>
      <c r="B40" s="1310"/>
      <c r="C40" s="2083"/>
      <c r="D40" s="2083"/>
      <c r="E40" s="2083"/>
      <c r="F40" s="50"/>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34" s="13" customFormat="1" ht="71.25" customHeight="1" x14ac:dyDescent="0.25">
      <c r="A41" s="14"/>
      <c r="B41" s="1310"/>
      <c r="C41" s="2049" t="str">
        <f>IF(D14=INDEX(Серии,2),
IF(D42=INDEX(SposobRascheta,1),
"Если серии МКД не оказалось в списке ячейки 6, то можно:"&amp;CHAR(10)&amp;"а) ввести объемно-планировочные и теплотехнические характеристики МКД вручную - детальный расчет;               "&amp;CHAR(10)&amp;"б) либо воспользоваться удельными показателями и ввести только данные о площади - ориентировочный расчет.",
IF(D42=INDEX(SposobRascheta,2),
"Пропустите ячейки с 28 по 34, но заполните ячейки с 35 по 57 (детальный расчет), используя подсказки.",
IF(AND(D42=INDEX(SposobRascheta,3),INDEX(SposobRascheta,3)="Ориентировочный"),
"Заполните ячейки с 28 по 34 (ориентировочный расчет), и пропустите ячейки с 35 по 57. "&amp;CHAR(10)&amp;"Ориентировочный расчет имеет относительно высокую погрешность и НЕ ПОДХОДИТ для зданий переменной этажности, индивидуальных проектов с дизайнерскими решениями, башенками, эркерами, арками, и другими нетипичными элементами фасада.",
"Ориентировочный расчет НЕ ДОСТУПЕН для зданий переменной этажности!"&amp;CHAR(10)&amp;"В ячейке ниже выберите "&amp;CHAR(34)&amp;"Детальный расчет"&amp;CHAR(34)&amp;"."))),"")</f>
        <v>Пропустите ячейки с 28 по 34, но заполните ячейки с 35 по 57 (детальный расчет), используя подсказки.</v>
      </c>
      <c r="D41" s="2050"/>
      <c r="E41" s="2051"/>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s="13" customFormat="1" ht="22.5" customHeight="1" x14ac:dyDescent="0.25">
      <c r="A42" s="14">
        <f>A37+1</f>
        <v>1</v>
      </c>
      <c r="B42" s="1328">
        <v>27</v>
      </c>
      <c r="C42" s="1920" t="s">
        <v>2151</v>
      </c>
      <c r="D42" s="1778" t="s">
        <v>759</v>
      </c>
      <c r="E42" s="2058" t="str">
        <f>IF('Ввод исходных данных'!D42=INDEX(SposobRascheta,3),
"При ориентировочном расчёте недоступен расчет суммы финансовой поддержки за счёт средств Фонда ЖКХ.",
"")</f>
        <v/>
      </c>
      <c r="F42" s="1776"/>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s="13" customFormat="1" ht="37.5" customHeight="1" x14ac:dyDescent="0.25">
      <c r="A43" s="14"/>
      <c r="B43" s="1310"/>
      <c r="C43" s="14"/>
      <c r="D43" s="1640"/>
      <c r="E43" s="2059"/>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s="13" customFormat="1" ht="25.5" customHeight="1" x14ac:dyDescent="0.25">
      <c r="A44" s="14"/>
      <c r="B44" s="1310"/>
      <c r="C44" s="2048" t="s">
        <v>2479</v>
      </c>
      <c r="D44" s="2048"/>
      <c r="E44" s="2048"/>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row r="45" spans="1:34" s="13" customFormat="1" ht="37.5" customHeight="1" x14ac:dyDescent="0.25">
      <c r="A45" s="14">
        <f>A42+1</f>
        <v>2</v>
      </c>
      <c r="B45" s="1328">
        <v>28</v>
      </c>
      <c r="C45" s="1587" t="s">
        <v>1996</v>
      </c>
      <c r="D45" s="1642"/>
      <c r="E45" s="1620" t="s">
        <v>2147</v>
      </c>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s="13" customFormat="1" ht="18.75" customHeight="1" x14ac:dyDescent="0.25">
      <c r="A46" s="14">
        <f>A45+1</f>
        <v>3</v>
      </c>
      <c r="B46" s="1328">
        <f>B45+1</f>
        <v>29</v>
      </c>
      <c r="C46" s="1588" t="s">
        <v>1997</v>
      </c>
      <c r="D46" s="1641"/>
      <c r="E46" s="1621" t="s">
        <v>1998</v>
      </c>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s="13" customFormat="1" ht="18.75" customHeight="1" x14ac:dyDescent="0.25">
      <c r="A47" s="14">
        <f t="shared" ref="A47:B51" si="2">A46+1</f>
        <v>4</v>
      </c>
      <c r="B47" s="1328">
        <f t="shared" si="2"/>
        <v>30</v>
      </c>
      <c r="C47" s="1588" t="s">
        <v>816</v>
      </c>
      <c r="D47" s="1641"/>
      <c r="E47" s="1621" t="s">
        <v>1998</v>
      </c>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s="13" customFormat="1" ht="18.75" customHeight="1" x14ac:dyDescent="0.25">
      <c r="A48" s="14">
        <f t="shared" si="2"/>
        <v>5</v>
      </c>
      <c r="B48" s="1328">
        <f t="shared" si="2"/>
        <v>31</v>
      </c>
      <c r="C48" s="1591" t="s">
        <v>1516</v>
      </c>
      <c r="D48" s="1643"/>
      <c r="E48" s="1622" t="s">
        <v>1998</v>
      </c>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s="13" customFormat="1" ht="75" customHeight="1" x14ac:dyDescent="0.25">
      <c r="A49" s="14">
        <f>A48+1</f>
        <v>6</v>
      </c>
      <c r="B49" s="1328">
        <f t="shared" si="2"/>
        <v>32</v>
      </c>
      <c r="C49" s="1647"/>
      <c r="D49" s="1590"/>
      <c r="E49" s="1620" t="s">
        <v>1999</v>
      </c>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s="13" customFormat="1" ht="75" customHeight="1" x14ac:dyDescent="0.25">
      <c r="A50" s="14">
        <f t="shared" si="2"/>
        <v>7</v>
      </c>
      <c r="B50" s="1328">
        <f t="shared" si="2"/>
        <v>33</v>
      </c>
      <c r="C50" s="1648"/>
      <c r="D50" s="1589"/>
      <c r="E50" s="1623" t="s">
        <v>2000</v>
      </c>
      <c r="F50" s="1249"/>
      <c r="G50" s="1249"/>
      <c r="H50" s="1249"/>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s="13" customFormat="1" ht="29.25" customHeight="1" x14ac:dyDescent="0.25">
      <c r="A51" s="14">
        <f t="shared" si="2"/>
        <v>8</v>
      </c>
      <c r="B51" s="1328">
        <f t="shared" si="2"/>
        <v>34</v>
      </c>
      <c r="C51" s="1644" t="str">
        <f>IF(AND(списки!D38=1,списки!D39=1),"Так не бывает! Выберите что-то одно.","")</f>
        <v/>
      </c>
      <c r="D51" s="1645"/>
      <c r="E51" s="1646"/>
      <c r="F51" s="1249"/>
      <c r="G51" s="1249"/>
      <c r="H51" s="1249"/>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s="13" customFormat="1" ht="34.5" customHeight="1" thickBot="1" x14ac:dyDescent="0.3">
      <c r="A52" s="1326"/>
      <c r="B52" s="1310"/>
      <c r="C52" s="1247"/>
      <c r="D52" s="1624" t="str">
        <f>IF(AND(D42="Ориентировочный",OR(D45="",D46="",D47="",C51&lt;&gt;"")),"Неполный/неверный ввод!",IF(AND(D42="Ориентировочный",D42=INDEX(SposobRascheta,3)),"Введено верно",""))</f>
        <v/>
      </c>
      <c r="E52" s="1247"/>
      <c r="F52" s="1310"/>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ht="25.5" customHeight="1" thickBot="1" x14ac:dyDescent="0.3">
      <c r="A53" s="1326"/>
      <c r="B53" s="1327">
        <f>2/8</f>
        <v>0.25</v>
      </c>
      <c r="C53" s="2038" t="s">
        <v>2480</v>
      </c>
      <c r="D53" s="2039"/>
      <c r="E53" s="2040"/>
      <c r="F53" s="50"/>
      <c r="G53" s="8"/>
      <c r="H53" s="8"/>
      <c r="I53" s="8"/>
      <c r="J53" s="8"/>
      <c r="K53" s="8"/>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s="13" customFormat="1" x14ac:dyDescent="0.25">
      <c r="A54" s="1326"/>
      <c r="B54" s="1310"/>
      <c r="C54" s="1921"/>
      <c r="D54" s="1921"/>
      <c r="E54" s="1922" t="str">
        <f>IF(D42="Детальный",IFERROR(IF(AND(OR(G55=0,G56=0,G58=0,G57=0,G59=0,G60=0,G61=0,G62=0,G63=0,G64=0,G66=0,G67=0,G71+G72+G73=0,G74+G75=0,G77=0,SUM(I55:I77)&gt;0)),"Неполный/неверный ввод!","Введено верно"),"Неполный/неверный ввод!"),"")</f>
        <v>Неполный/неверный ввод!</v>
      </c>
      <c r="F54" s="67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ht="24" x14ac:dyDescent="0.25">
      <c r="A55" s="1326"/>
      <c r="B55" s="1328">
        <v>35</v>
      </c>
      <c r="C55" s="1822" t="s">
        <v>1922</v>
      </c>
      <c r="D55" s="1911"/>
      <c r="E55" s="1583" t="s">
        <v>1669</v>
      </c>
      <c r="F55" s="1312"/>
      <c r="G55" s="1249">
        <f>IF(D42="Ориентировочный",D45,IF($D$14=списки!$B$3,D55,'Серии планировка'!F76))</f>
        <v>0</v>
      </c>
      <c r="H55" s="14"/>
      <c r="I55" s="1249">
        <f>IF(F55="",0,1)</f>
        <v>0</v>
      </c>
      <c r="J55" s="8"/>
      <c r="K55" s="8"/>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ht="24" customHeight="1" x14ac:dyDescent="0.25">
      <c r="A56" s="1326"/>
      <c r="B56" s="1328">
        <f>B55+1</f>
        <v>36</v>
      </c>
      <c r="C56" s="1823" t="s">
        <v>1923</v>
      </c>
      <c r="D56" s="1912"/>
      <c r="E56" s="1584" t="s">
        <v>1670</v>
      </c>
      <c r="F56" s="1312" t="str">
        <f>IF(AND(D56&lt;&gt;0,$D$14="нет в списке",D56&gt;=D55),"Ошибка. Значение должно быть меньше общей площади",IF(AND(D56&lt;&gt;0,$D$14="нет в списке",D56&lt;D55/3),"Ошибка. Значение должно быть больше одной трети от общей площади",""))</f>
        <v/>
      </c>
      <c r="G56" s="1249">
        <f>IF(D42="Ориентировочный",'Серии планировка'!C79,IF($D$14=списки!$B$3,D56,'Серии планировка'!G76))</f>
        <v>0</v>
      </c>
      <c r="H56" s="14"/>
      <c r="I56" s="1249">
        <f>IF(F56="",0,1)</f>
        <v>0</v>
      </c>
      <c r="J56" s="8"/>
      <c r="K56" s="8"/>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s="13" customFormat="1" ht="24" customHeight="1" x14ac:dyDescent="0.25">
      <c r="A57" s="1326"/>
      <c r="B57" s="1328">
        <f t="shared" ref="B57:B77" si="3">B56+1</f>
        <v>37</v>
      </c>
      <c r="C57" s="1824" t="s">
        <v>1924</v>
      </c>
      <c r="D57" s="1912"/>
      <c r="E57" s="1584" t="s">
        <v>1671</v>
      </c>
      <c r="F57" s="1312" t="str">
        <f>IF(AND(D57&lt;&gt;0,$D$14="нет в списке",D57&gt;=D56),"Ошибка. Значение должно быть меньше площади квартир","")</f>
        <v/>
      </c>
      <c r="G57" s="1249">
        <f>IF(D42="Ориентировочный",'Серии планировка'!C80,IF($D$14=списки!$B$3,D57,'Серии планировка'!H76))</f>
        <v>0</v>
      </c>
      <c r="H57" s="14"/>
      <c r="I57" s="1249">
        <f t="shared" ref="I57:I77" si="4">IF(F57="",0,1)</f>
        <v>0</v>
      </c>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s="13" customFormat="1" ht="15.75" customHeight="1" x14ac:dyDescent="0.25">
      <c r="A58" s="1326"/>
      <c r="B58" s="1328">
        <f>B57+1</f>
        <v>38</v>
      </c>
      <c r="C58" s="1824" t="s">
        <v>1925</v>
      </c>
      <c r="D58" s="1913"/>
      <c r="E58" s="1584" t="s">
        <v>1777</v>
      </c>
      <c r="F58" s="1312"/>
      <c r="G58" s="1249">
        <f>IF(D42="Ориентировочный",'Серии планировка'!C98,IF($D$14=списки!$B$3,D58,'Серии планировка'!$L$76))</f>
        <v>0</v>
      </c>
      <c r="H58" s="14"/>
      <c r="I58" s="1249">
        <f t="shared" si="4"/>
        <v>0</v>
      </c>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s="13" customFormat="1" ht="17.25" customHeight="1" x14ac:dyDescent="0.25">
      <c r="A59" s="1326"/>
      <c r="B59" s="1328">
        <f t="shared" si="3"/>
        <v>39</v>
      </c>
      <c r="C59" s="1824" t="s">
        <v>1926</v>
      </c>
      <c r="D59" s="1913"/>
      <c r="E59" s="1584" t="s">
        <v>1778</v>
      </c>
      <c r="F59" s="1312"/>
      <c r="G59" s="1249">
        <f>IF(D42="Ориентировочный",'Серии планировка'!C99,IF($D$14=списки!$B$3,D59,'Серии планировка'!$M$76))</f>
        <v>0</v>
      </c>
      <c r="H59" s="14"/>
      <c r="I59" s="1249">
        <f t="shared" si="4"/>
        <v>0</v>
      </c>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s="13" customFormat="1" ht="24" x14ac:dyDescent="0.25">
      <c r="A60" s="1326"/>
      <c r="B60" s="1328">
        <f t="shared" si="3"/>
        <v>40</v>
      </c>
      <c r="C60" s="1824" t="s">
        <v>1927</v>
      </c>
      <c r="D60" s="1913"/>
      <c r="E60" s="1584" t="s">
        <v>1779</v>
      </c>
      <c r="F60" s="1312"/>
      <c r="G60" s="1249">
        <f>IF(D42="Ориентировочный",'Серии планировка'!C100,IF($D$14=списки!$B$3,D60,'Серии планировка'!$J$76))</f>
        <v>0</v>
      </c>
      <c r="H60" s="14"/>
      <c r="I60" s="1249">
        <f t="shared" si="4"/>
        <v>0</v>
      </c>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s="13" customFormat="1" ht="37.5" customHeight="1" x14ac:dyDescent="0.25">
      <c r="A61" s="1326"/>
      <c r="B61" s="1328">
        <f t="shared" si="3"/>
        <v>41</v>
      </c>
      <c r="C61" s="1824" t="s">
        <v>1928</v>
      </c>
      <c r="D61" s="1913"/>
      <c r="E61" s="1584" t="s">
        <v>2027</v>
      </c>
      <c r="F61" s="1312" t="str">
        <f>IF(AND(D61&lt;&gt;0,$D$14="нет в списке",OR(D61&gt;=1.5*D55,D61&lt;=0.4*D55)),"Ошибка. Значение должно быть не меньше 0,4 и не больше 1,5 от площади МКД ","")</f>
        <v/>
      </c>
      <c r="G61" s="1249">
        <f>IF(D42="Ориентировочный",'Серии планировка'!C82,IF($D$14=списки!$B$3,D61,'Серии планировка'!N76))</f>
        <v>0</v>
      </c>
      <c r="H61" s="14"/>
      <c r="I61" s="1249">
        <f t="shared" si="4"/>
        <v>0</v>
      </c>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30" customHeight="1" x14ac:dyDescent="0.25">
      <c r="A62" s="1326"/>
      <c r="B62" s="1328">
        <f t="shared" si="3"/>
        <v>42</v>
      </c>
      <c r="C62" s="1823" t="s">
        <v>1929</v>
      </c>
      <c r="D62" s="1585">
        <f>D61-D64-D67-D70-D77</f>
        <v>0</v>
      </c>
      <c r="E62" s="1784" t="s">
        <v>1672</v>
      </c>
      <c r="F62" s="1312" t="str">
        <f>IF(AND(D62&lt;&gt;0,$D$14="нет в списке",D62&gt;=D61),"Ошибка. Значение должно быть меньше площади фасадов","")</f>
        <v/>
      </c>
      <c r="G62" s="1249">
        <f>G61-G64-G67-G70-G77</f>
        <v>0</v>
      </c>
      <c r="H62" s="14"/>
      <c r="I62" s="1249">
        <f t="shared" si="4"/>
        <v>0</v>
      </c>
      <c r="J62" s="8"/>
      <c r="K62" s="8"/>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ht="37.5" customHeight="1" x14ac:dyDescent="0.25">
      <c r="A63" s="1326"/>
      <c r="B63" s="1328">
        <f t="shared" si="3"/>
        <v>43</v>
      </c>
      <c r="C63" s="1823" t="s">
        <v>816</v>
      </c>
      <c r="D63" s="1914"/>
      <c r="E63" s="1584" t="s">
        <v>1673</v>
      </c>
      <c r="F63" s="1312" t="str">
        <f>IF(AND(D14="нет в списке",OR(D33&gt;G63,D34&gt;G66)),"Вы насчитали больше замененных окон, чем всего окон в МКД. Проверьте подсчет","")</f>
        <v/>
      </c>
      <c r="G63" s="1249">
        <f>IF(D42="Ориентировочный",D47,IF($D$14=списки!$B$3,D63,'Серии планировка'!Q76))</f>
        <v>0</v>
      </c>
      <c r="H63" s="14"/>
      <c r="I63" s="1249">
        <f t="shared" si="4"/>
        <v>0</v>
      </c>
      <c r="J63" s="8"/>
      <c r="K63" s="8"/>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ht="17.25" x14ac:dyDescent="0.25">
      <c r="A64" s="1326"/>
      <c r="B64" s="1328">
        <f t="shared" si="3"/>
        <v>44</v>
      </c>
      <c r="C64" s="1823" t="s">
        <v>1930</v>
      </c>
      <c r="D64" s="1915"/>
      <c r="E64" s="1584" t="s">
        <v>1674</v>
      </c>
      <c r="F64" s="1312"/>
      <c r="G64" s="1249">
        <f>IF(D42="Ориентировочный",'Серии планировка'!C86,IF($D$14=списки!$B$3,D64,'Серии планировка'!T76))</f>
        <v>0</v>
      </c>
      <c r="H64" s="14"/>
      <c r="I64" s="1249">
        <f t="shared" si="4"/>
        <v>0</v>
      </c>
      <c r="J64" s="8"/>
      <c r="K64" s="8"/>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ht="30" customHeight="1" x14ac:dyDescent="0.25">
      <c r="A65" s="1326"/>
      <c r="B65" s="1328">
        <f t="shared" si="3"/>
        <v>45</v>
      </c>
      <c r="C65" s="1824" t="s">
        <v>1943</v>
      </c>
      <c r="D65" s="1916" t="s">
        <v>1254</v>
      </c>
      <c r="E65" s="1584" t="s">
        <v>1675</v>
      </c>
      <c r="F65" s="1312"/>
      <c r="G65" s="1249" t="e">
        <f>'Серии теплотехника'!B46</f>
        <v>#N/A</v>
      </c>
      <c r="H65" s="14"/>
      <c r="I65" s="1249">
        <f t="shared" si="4"/>
        <v>0</v>
      </c>
      <c r="J65" s="8"/>
      <c r="K65" s="8"/>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5">
      <c r="A66" s="1326"/>
      <c r="B66" s="1328">
        <f t="shared" si="3"/>
        <v>46</v>
      </c>
      <c r="C66" s="1824" t="s">
        <v>1937</v>
      </c>
      <c r="D66" s="1916"/>
      <c r="E66" s="1584" t="s">
        <v>1749</v>
      </c>
      <c r="F66" s="1312"/>
      <c r="G66" s="1249">
        <f>IF(D42="Ориентировочный",D46,IF($D$14=списки!$B$3,D66,'Серии планировка'!R76))</f>
        <v>0</v>
      </c>
      <c r="H66" s="14"/>
      <c r="I66" s="1249">
        <f t="shared" si="4"/>
        <v>0</v>
      </c>
      <c r="J66" s="8"/>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ht="24" x14ac:dyDescent="0.25">
      <c r="A67" s="1326"/>
      <c r="B67" s="1328">
        <f t="shared" si="3"/>
        <v>47</v>
      </c>
      <c r="C67" s="1825" t="s">
        <v>1931</v>
      </c>
      <c r="D67" s="1917"/>
      <c r="E67" s="1584" t="s">
        <v>1676</v>
      </c>
      <c r="F67" s="1312"/>
      <c r="G67" s="1249">
        <f>IF(D42="Ориентировочный",'Серии планировка'!C88,IF($D$14=списки!$B$3,D67,'Серии планировка'!U76))</f>
        <v>0</v>
      </c>
      <c r="H67" s="14"/>
      <c r="I67" s="1249">
        <f t="shared" si="4"/>
        <v>0</v>
      </c>
      <c r="J67" s="8"/>
      <c r="K67" s="8"/>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ht="30" x14ac:dyDescent="0.25">
      <c r="A68" s="1326"/>
      <c r="B68" s="1328">
        <f t="shared" si="3"/>
        <v>48</v>
      </c>
      <c r="C68" s="1824" t="s">
        <v>1936</v>
      </c>
      <c r="D68" s="1916" t="s">
        <v>1254</v>
      </c>
      <c r="E68" s="1584" t="s">
        <v>2363</v>
      </c>
      <c r="F68" s="1312"/>
      <c r="G68" s="1249"/>
      <c r="H68" s="14"/>
      <c r="I68" s="1249">
        <f t="shared" si="4"/>
        <v>0</v>
      </c>
      <c r="J68" s="8"/>
      <c r="K68" s="8"/>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s="13" customFormat="1" x14ac:dyDescent="0.25">
      <c r="A69" s="1326"/>
      <c r="B69" s="1328">
        <f>B68+1</f>
        <v>49</v>
      </c>
      <c r="C69" s="1824" t="s">
        <v>1516</v>
      </c>
      <c r="D69" s="1918"/>
      <c r="E69" s="1584" t="s">
        <v>1677</v>
      </c>
      <c r="F69" s="1312"/>
      <c r="G69" s="1249">
        <f>IF(D42="Ориентировочный",D48,IF($D$14=списки!$B$3,D69,ROUND((G63+G66)/D19*D23/('Серии планировка'!F76/'Серии планировка'!D76),0)))</f>
        <v>0</v>
      </c>
      <c r="H69" s="14"/>
      <c r="I69" s="1249"/>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s="13" customFormat="1" ht="24" x14ac:dyDescent="0.25">
      <c r="A70" s="1326"/>
      <c r="B70" s="1328">
        <f>B69+1</f>
        <v>50</v>
      </c>
      <c r="C70" s="1824" t="s">
        <v>1932</v>
      </c>
      <c r="D70" s="1917"/>
      <c r="E70" s="1584" t="s">
        <v>1676</v>
      </c>
      <c r="F70" s="1312"/>
      <c r="G70" s="1249">
        <f>IF(D42="Ориентировочный",'Серии планировка'!C90,IF($D$14=списки!$B$3,D70,(G64+G67)/D19*D23/('Серии планировка'!F76/'Серии планировка'!D76)))</f>
        <v>0</v>
      </c>
      <c r="H70" s="14"/>
      <c r="I70" s="1249"/>
      <c r="J70" s="20"/>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ht="32.25" x14ac:dyDescent="0.25">
      <c r="A71" s="1326"/>
      <c r="B71" s="1328">
        <f t="shared" si="3"/>
        <v>51</v>
      </c>
      <c r="C71" s="1824" t="s">
        <v>1935</v>
      </c>
      <c r="D71" s="1917"/>
      <c r="E71" s="1584" t="s">
        <v>1938</v>
      </c>
      <c r="F71" s="1312" t="str">
        <f>IFERROR(IF(AND(D71+D72+D73&lt;&gt;0,$D$14="нет в списке",OR((D71+D72+D73&gt;=1.5*D55/D19),(D71+D72+D73&lt;=0.7*D55/D19))),"Ошибка. Сумма площади покрытий и перекрытий под чердаком должна быть близка к площади этажа МКД",""),"")</f>
        <v/>
      </c>
      <c r="G71" s="1249">
        <f>IF(D42="Ориентировочный",'Серии планировка'!C91,IF($D$14=списки!$B$3,D71,IF(списки!D31=0,'Серии планировка'!X76,0)))</f>
        <v>0</v>
      </c>
      <c r="H71" s="14"/>
      <c r="I71" s="1249">
        <f t="shared" si="4"/>
        <v>0</v>
      </c>
      <c r="J71" s="8"/>
      <c r="K71" s="8"/>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s="13" customFormat="1" ht="36" x14ac:dyDescent="0.25">
      <c r="A72" s="1326"/>
      <c r="B72" s="1328">
        <f t="shared" si="3"/>
        <v>52</v>
      </c>
      <c r="C72" s="1824" t="s">
        <v>1933</v>
      </c>
      <c r="D72" s="1917"/>
      <c r="E72" s="1584" t="s">
        <v>1939</v>
      </c>
      <c r="F72" s="1312"/>
      <c r="G72" s="1249">
        <f>IF(D42="Ориентировочный",'Серии планировка'!C92,IF($D$14=списки!$B$3,D72,IF(AND(списки!D31=1,списки!D32=0),'Серии планировка'!X76,0)))</f>
        <v>0</v>
      </c>
      <c r="H72" s="14"/>
      <c r="I72" s="1249">
        <f t="shared" si="4"/>
        <v>0</v>
      </c>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ht="36" x14ac:dyDescent="0.25">
      <c r="A73" s="1326"/>
      <c r="B73" s="1328">
        <f t="shared" si="3"/>
        <v>53</v>
      </c>
      <c r="C73" s="1824" t="s">
        <v>1934</v>
      </c>
      <c r="D73" s="1917"/>
      <c r="E73" s="1584" t="s">
        <v>1940</v>
      </c>
      <c r="F73" s="1312"/>
      <c r="G73" s="1249">
        <f>IF(D42="Ориентировочный",'Серии планировка'!C93,IF($D$14=списки!$B$3,D73,IF(AND(списки!D31=1,списки!D32=1),'Серии планировка'!X76,0)))</f>
        <v>0</v>
      </c>
      <c r="H73" s="14"/>
      <c r="I73" s="1249">
        <f t="shared" si="4"/>
        <v>0</v>
      </c>
      <c r="J73" s="8"/>
      <c r="K73" s="8"/>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ht="36" x14ac:dyDescent="0.25">
      <c r="A74" s="1326"/>
      <c r="B74" s="1328">
        <f t="shared" si="3"/>
        <v>54</v>
      </c>
      <c r="C74" s="1824" t="s">
        <v>2358</v>
      </c>
      <c r="D74" s="1917"/>
      <c r="E74" s="1584" t="s">
        <v>1941</v>
      </c>
      <c r="F74" s="1312" t="str">
        <f>IFERROR(IF(AND(D74+D75&lt;&gt;0,$D$14="нет в списке",OR((D74+D75&gt;=2*D55/D19),(D74+D75&lt;=0.7*D55/D19))),"Ошибка. Сумма площади перекрытий над отапливаемым и неотапливаемым подвалом должна быть близка к площади этажа МКД",""),"")</f>
        <v/>
      </c>
      <c r="G74" s="1249">
        <f>IF(D42="Ориентировочный",'Серии планировка'!C94,IF($D$14=списки!$B$3,D74,IF(AND(списки!D33=1,списки!D34=0),'Серии планировка'!Y76,0)))</f>
        <v>0</v>
      </c>
      <c r="H74" s="14"/>
      <c r="I74" s="1249">
        <f t="shared" si="4"/>
        <v>0</v>
      </c>
      <c r="J74" s="8"/>
      <c r="K74" s="8"/>
      <c r="L74" s="14"/>
      <c r="M74" s="14"/>
      <c r="N74" s="14"/>
      <c r="O74" s="14"/>
      <c r="P74" s="14"/>
      <c r="Q74" s="14"/>
      <c r="R74" s="14"/>
      <c r="S74" s="14"/>
      <c r="T74" s="14"/>
      <c r="U74" s="14"/>
      <c r="V74" s="14"/>
      <c r="W74" s="14"/>
      <c r="X74" s="14"/>
      <c r="Y74" s="14"/>
      <c r="Z74" s="14"/>
      <c r="AA74" s="14"/>
      <c r="AB74" s="14"/>
      <c r="AC74" s="14"/>
      <c r="AD74" s="14"/>
      <c r="AE74" s="14"/>
      <c r="AF74" s="14"/>
      <c r="AG74" s="14"/>
      <c r="AH74" s="14"/>
    </row>
    <row r="75" spans="1:34" s="13" customFormat="1" ht="47.25" x14ac:dyDescent="0.25">
      <c r="A75" s="1326"/>
      <c r="B75" s="1328">
        <f t="shared" si="3"/>
        <v>55</v>
      </c>
      <c r="C75" s="1824" t="s">
        <v>1944</v>
      </c>
      <c r="D75" s="1917"/>
      <c r="E75" s="1584" t="s">
        <v>1942</v>
      </c>
      <c r="F75" s="1312"/>
      <c r="G75" s="1249">
        <f>IF(D42="Ориентировочный",'Серии планировка'!C95,IF($D$14=списки!$B$3,D75,IF(OR(списки!D33=0,AND(списки!D33=1,списки!D34=1)),'Серии планировка'!Z76,0)))</f>
        <v>0</v>
      </c>
      <c r="H75" s="14"/>
      <c r="I75" s="1249">
        <f t="shared" si="4"/>
        <v>0</v>
      </c>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1:34" s="13" customFormat="1" ht="16.5" customHeight="1" x14ac:dyDescent="0.25">
      <c r="A76" s="1326"/>
      <c r="B76" s="1328">
        <f t="shared" si="3"/>
        <v>56</v>
      </c>
      <c r="C76" s="1824" t="s">
        <v>1300</v>
      </c>
      <c r="D76" s="1918"/>
      <c r="E76" s="2034" t="s">
        <v>1748</v>
      </c>
      <c r="F76" s="1312" t="str">
        <f>IF(AND(D76&lt;&gt;0,$D$14="нет в списке",OR(D76&lt;D17,D76&gt;4*D17)),"Ошибка. Входных дверей может быть от 1 до 3 на секцию (подъезд)","")</f>
        <v/>
      </c>
      <c r="G76" s="1249">
        <f>IF(D42="Ориентировочный",'Серии планировка'!C96,IF($D$14=списки!$B$3,D76,'Серии планировка'!V76))</f>
        <v>0</v>
      </c>
      <c r="H76" s="14"/>
      <c r="I76" s="1249">
        <f t="shared" si="4"/>
        <v>0</v>
      </c>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row>
    <row r="77" spans="1:34" s="7" customFormat="1" ht="17.25" x14ac:dyDescent="0.25">
      <c r="A77" s="1326"/>
      <c r="B77" s="1328">
        <f t="shared" si="3"/>
        <v>57</v>
      </c>
      <c r="C77" s="1826" t="s">
        <v>1949</v>
      </c>
      <c r="D77" s="1919"/>
      <c r="E77" s="2035"/>
      <c r="F77" s="1312" t="str">
        <f>IF(AND(D77&lt;&gt;0,$D$14="нет в списке",OR(D77&lt;D76*2,D77&gt;=6*D76)),"Ошибка. Площадь одной входной двери должна быть в пределах 2-5 м2","")</f>
        <v/>
      </c>
      <c r="G77" s="1249">
        <f>IF(D42="Ориентировочный",'Серии планировка'!C97,IF($D$14=списки!$B$3,D77,'Серии планировка'!W76))</f>
        <v>0</v>
      </c>
      <c r="H77" s="14"/>
      <c r="I77" s="1249">
        <f t="shared" si="4"/>
        <v>0</v>
      </c>
      <c r="J77" s="8"/>
      <c r="K77" s="8"/>
      <c r="L77" s="14"/>
      <c r="M77" s="14"/>
      <c r="N77" s="14"/>
      <c r="O77" s="14"/>
      <c r="P77" s="14"/>
      <c r="Q77" s="14"/>
      <c r="R77" s="14"/>
      <c r="S77" s="14"/>
      <c r="T77" s="14"/>
      <c r="U77" s="14"/>
      <c r="V77" s="14"/>
      <c r="W77" s="14"/>
      <c r="X77" s="14"/>
      <c r="Y77" s="14"/>
      <c r="Z77" s="14"/>
      <c r="AA77" s="14"/>
      <c r="AB77" s="14"/>
      <c r="AC77" s="14"/>
      <c r="AD77" s="14"/>
      <c r="AE77" s="14"/>
      <c r="AF77" s="14"/>
      <c r="AG77" s="14"/>
      <c r="AH77" s="14"/>
    </row>
    <row r="78" spans="1:34" ht="30" customHeight="1" x14ac:dyDescent="0.25">
      <c r="A78" s="1326"/>
      <c r="B78" s="1310"/>
      <c r="C78" s="2088" t="str">
        <f>IFERROR(IF(D23/G55&gt;0.1,"Доля площади нежилых помещений более 10%. Оценка потенциала не будет надежной."&amp;CHAR(10)&amp;"(см. подробнее в руководстве)",""),"")</f>
        <v/>
      </c>
      <c r="D78" s="2088"/>
      <c r="E78" s="1313" t="str">
        <f>IF(D42="Детальный",IFERROR(IF(AND(OR(G55=0,G56=0,G58=0,G57=0,G59=0,G60=0,G61=0,G62=0,G63=0,G64=0,G66=0,G67=0,G71+G72+G73=0,G74+G75=0,G77=0,SUM(I55:I77)&gt;0)),"Неполный/неверный ввод!","Введено верно"),"Неполный/неверный ввод!"),"")</f>
        <v>Неполный/неверный ввод!</v>
      </c>
      <c r="F78" s="264"/>
      <c r="G78" s="1249"/>
      <c r="H78" s="1"/>
      <c r="I78" s="1"/>
      <c r="J78" s="8"/>
      <c r="K78" s="8"/>
      <c r="L78" s="14"/>
      <c r="M78" s="14"/>
      <c r="N78" s="14"/>
      <c r="O78" s="14"/>
      <c r="P78" s="14"/>
      <c r="Q78" s="14"/>
      <c r="R78" s="14"/>
      <c r="S78" s="14"/>
      <c r="T78" s="14"/>
      <c r="U78" s="14"/>
      <c r="V78" s="14"/>
      <c r="W78" s="14"/>
      <c r="X78" s="14"/>
      <c r="Y78" s="14"/>
      <c r="Z78" s="14"/>
      <c r="AA78" s="14"/>
      <c r="AB78" s="14"/>
      <c r="AC78" s="14"/>
      <c r="AD78" s="14"/>
      <c r="AE78" s="14"/>
      <c r="AF78" s="14"/>
      <c r="AG78" s="14"/>
      <c r="AH78" s="14"/>
    </row>
    <row r="79" spans="1:34" s="13" customFormat="1" x14ac:dyDescent="0.25">
      <c r="A79" s="1326"/>
      <c r="B79" s="1310"/>
      <c r="C79" s="14"/>
      <c r="D79" s="14"/>
      <c r="E79" s="14"/>
      <c r="F79" s="50"/>
      <c r="G79" s="1249"/>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row>
    <row r="80" spans="1:34" s="13" customFormat="1" ht="25.5" customHeight="1" x14ac:dyDescent="0.25">
      <c r="A80" s="1326"/>
      <c r="B80" s="1310"/>
      <c r="C80" s="2038" t="s">
        <v>2481</v>
      </c>
      <c r="D80" s="2039"/>
      <c r="E80" s="2040"/>
      <c r="F80" s="50"/>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row>
    <row r="81" spans="1:34" s="13" customFormat="1" ht="17.25" customHeight="1" x14ac:dyDescent="0.25">
      <c r="A81" s="1326"/>
      <c r="B81" s="1328">
        <f>B77+1</f>
        <v>58</v>
      </c>
      <c r="C81" s="1820" t="s">
        <v>514</v>
      </c>
      <c r="D81" s="1929"/>
      <c r="E81" s="2044" t="s">
        <v>2162</v>
      </c>
      <c r="F81" s="50"/>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row>
    <row r="82" spans="1:34" s="13" customFormat="1" ht="17.25" customHeight="1" x14ac:dyDescent="0.25">
      <c r="A82" s="1326"/>
      <c r="B82" s="1328">
        <f t="shared" ref="B82:B87" si="5">B81+1</f>
        <v>59</v>
      </c>
      <c r="C82" s="1827" t="s">
        <v>1507</v>
      </c>
      <c r="D82" s="1870"/>
      <c r="E82" s="2045"/>
      <c r="F82" s="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row>
    <row r="83" spans="1:34" s="13" customFormat="1" ht="17.25" customHeight="1" x14ac:dyDescent="0.25">
      <c r="A83" s="1326"/>
      <c r="B83" s="1328">
        <f t="shared" si="5"/>
        <v>60</v>
      </c>
      <c r="C83" s="1827" t="s">
        <v>1508</v>
      </c>
      <c r="D83" s="1870"/>
      <c r="E83" s="2045"/>
      <c r="F83" s="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row>
    <row r="84" spans="1:34" s="13" customFormat="1" ht="17.25" customHeight="1" x14ac:dyDescent="0.25">
      <c r="A84" s="1326"/>
      <c r="B84" s="1328">
        <f t="shared" si="5"/>
        <v>61</v>
      </c>
      <c r="C84" s="1827" t="s">
        <v>1512</v>
      </c>
      <c r="D84" s="1870"/>
      <c r="E84" s="2045"/>
      <c r="F84" s="50"/>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row>
    <row r="85" spans="1:34" s="13" customFormat="1" ht="17.25" customHeight="1" x14ac:dyDescent="0.25">
      <c r="A85" s="1326"/>
      <c r="B85" s="1328">
        <f t="shared" si="5"/>
        <v>62</v>
      </c>
      <c r="C85" s="1827" t="s">
        <v>1509</v>
      </c>
      <c r="D85" s="1870"/>
      <c r="E85" s="2045"/>
      <c r="F85" s="50"/>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row>
    <row r="86" spans="1:34" s="13" customFormat="1" ht="17.25" customHeight="1" x14ac:dyDescent="0.25">
      <c r="A86" s="1326"/>
      <c r="B86" s="1328">
        <f t="shared" si="5"/>
        <v>63</v>
      </c>
      <c r="C86" s="1827" t="s">
        <v>1510</v>
      </c>
      <c r="D86" s="1870"/>
      <c r="E86" s="2045"/>
      <c r="F86" s="50"/>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row>
    <row r="87" spans="1:34" s="13" customFormat="1" ht="17.25" customHeight="1" x14ac:dyDescent="0.25">
      <c r="A87" s="1326"/>
      <c r="B87" s="1328">
        <f t="shared" si="5"/>
        <v>64</v>
      </c>
      <c r="C87" s="1828" t="s">
        <v>1517</v>
      </c>
      <c r="D87" s="1930"/>
      <c r="E87" s="2046"/>
      <c r="F87" s="50"/>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row>
    <row r="88" spans="1:34" x14ac:dyDescent="0.25">
      <c r="A88" s="1326"/>
      <c r="B88" s="1310"/>
      <c r="C88" s="1910" t="s">
        <v>2436</v>
      </c>
      <c r="D88" s="14"/>
      <c r="E88" s="1"/>
      <c r="F88" s="50"/>
      <c r="G88" s="1"/>
      <c r="H88" s="1"/>
      <c r="I88" s="1"/>
      <c r="J88" s="8"/>
      <c r="K88" s="8"/>
      <c r="L88" s="14"/>
      <c r="M88" s="14"/>
      <c r="N88" s="14"/>
      <c r="O88" s="14"/>
      <c r="P88" s="14"/>
      <c r="Q88" s="14"/>
      <c r="R88" s="14"/>
      <c r="S88" s="14"/>
      <c r="T88" s="14"/>
      <c r="U88" s="14"/>
      <c r="V88" s="14"/>
      <c r="W88" s="14"/>
      <c r="X88" s="14"/>
      <c r="Y88" s="14"/>
      <c r="Z88" s="14"/>
      <c r="AA88" s="14"/>
      <c r="AB88" s="14"/>
      <c r="AC88" s="14"/>
      <c r="AD88" s="14"/>
      <c r="AE88" s="14"/>
      <c r="AF88" s="14"/>
      <c r="AG88" s="14"/>
      <c r="AH88" s="14"/>
    </row>
    <row r="89" spans="1:34" s="13" customFormat="1" ht="15.75" thickBot="1" x14ac:dyDescent="0.3">
      <c r="A89" s="1326"/>
      <c r="B89" s="1310"/>
      <c r="C89" s="14"/>
      <c r="D89" s="15"/>
      <c r="E89" s="14"/>
      <c r="F89" s="50"/>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row>
    <row r="90" spans="1:34" ht="25.5" customHeight="1" thickBot="1" x14ac:dyDescent="0.3">
      <c r="A90" s="1326"/>
      <c r="B90" s="1327">
        <f>3/8</f>
        <v>0.375</v>
      </c>
      <c r="C90" s="1968" t="s">
        <v>2487</v>
      </c>
      <c r="D90" s="1968"/>
      <c r="E90" s="1968"/>
      <c r="F90" s="50"/>
      <c r="G90" s="1"/>
      <c r="H90" s="1"/>
      <c r="I90" s="1"/>
      <c r="J90" s="8"/>
      <c r="K90" s="8"/>
      <c r="L90" s="14"/>
      <c r="M90" s="14"/>
      <c r="N90" s="14"/>
      <c r="O90" s="14"/>
      <c r="P90" s="14"/>
      <c r="Q90" s="14"/>
      <c r="R90" s="14"/>
      <c r="S90" s="14"/>
      <c r="T90" s="14"/>
      <c r="U90" s="14"/>
      <c r="V90" s="14"/>
      <c r="W90" s="14"/>
      <c r="X90" s="14"/>
      <c r="Y90" s="14"/>
      <c r="Z90" s="14"/>
      <c r="AA90" s="14"/>
      <c r="AB90" s="14"/>
      <c r="AC90" s="14"/>
      <c r="AD90" s="14"/>
      <c r="AE90" s="14"/>
      <c r="AF90" s="14"/>
      <c r="AG90" s="14"/>
      <c r="AH90" s="14"/>
    </row>
    <row r="91" spans="1:34" ht="26.25" customHeight="1" x14ac:dyDescent="0.3">
      <c r="A91" s="1326"/>
      <c r="B91" s="1310"/>
      <c r="C91" s="2037" t="s">
        <v>763</v>
      </c>
      <c r="D91" s="2037"/>
      <c r="E91" s="2037"/>
      <c r="F91" s="50"/>
      <c r="G91" s="1"/>
      <c r="H91" s="1"/>
      <c r="I91" s="1"/>
      <c r="J91" s="8"/>
      <c r="K91" s="8"/>
      <c r="L91" s="14"/>
      <c r="M91" s="14"/>
      <c r="N91" s="14"/>
      <c r="O91" s="14"/>
      <c r="P91" s="14"/>
      <c r="Q91" s="14"/>
      <c r="R91" s="14"/>
      <c r="S91" s="14"/>
      <c r="T91" s="14"/>
      <c r="U91" s="14"/>
      <c r="V91" s="14"/>
      <c r="W91" s="14"/>
      <c r="X91" s="14"/>
      <c r="Y91" s="14"/>
      <c r="Z91" s="14"/>
      <c r="AA91" s="14"/>
      <c r="AB91" s="14"/>
      <c r="AC91" s="14"/>
      <c r="AD91" s="14"/>
      <c r="AE91" s="14"/>
      <c r="AF91" s="14"/>
      <c r="AG91" s="14"/>
      <c r="AH91" s="14"/>
    </row>
    <row r="92" spans="1:34" x14ac:dyDescent="0.25">
      <c r="A92" s="1326"/>
      <c r="B92" s="1310"/>
      <c r="C92" s="1"/>
      <c r="D92" s="1"/>
      <c r="E92" s="1"/>
      <c r="F92" s="50"/>
      <c r="G92" s="1"/>
      <c r="H92" s="1"/>
      <c r="I92" s="1"/>
      <c r="J92" s="8"/>
      <c r="K92" s="8"/>
      <c r="L92" s="14"/>
      <c r="M92" s="14"/>
      <c r="N92" s="14"/>
      <c r="O92" s="14"/>
      <c r="P92" s="14"/>
      <c r="Q92" s="14"/>
      <c r="R92" s="14"/>
      <c r="S92" s="14"/>
      <c r="T92" s="14"/>
      <c r="U92" s="14"/>
      <c r="V92" s="14"/>
      <c r="W92" s="14"/>
      <c r="X92" s="14"/>
      <c r="Y92" s="14"/>
      <c r="Z92" s="14"/>
      <c r="AA92" s="14"/>
      <c r="AB92" s="14"/>
      <c r="AC92" s="14"/>
      <c r="AD92" s="14"/>
      <c r="AE92" s="14"/>
      <c r="AF92" s="14"/>
      <c r="AG92" s="14"/>
      <c r="AH92" s="14"/>
    </row>
    <row r="93" spans="1:34" ht="33.75" customHeight="1" x14ac:dyDescent="0.25">
      <c r="A93" s="1326"/>
      <c r="B93" s="1310"/>
      <c r="C93" s="2036" t="s">
        <v>2437</v>
      </c>
      <c r="D93" s="2036"/>
      <c r="E93" s="2036"/>
      <c r="F93" s="50"/>
      <c r="G93" s="1"/>
      <c r="H93" s="1"/>
      <c r="I93" s="1"/>
      <c r="J93" s="8"/>
      <c r="K93" s="8"/>
      <c r="L93" s="14"/>
      <c r="M93" s="14"/>
      <c r="N93" s="14"/>
      <c r="O93" s="14"/>
      <c r="P93" s="14"/>
      <c r="Q93" s="14"/>
      <c r="R93" s="14"/>
      <c r="S93" s="14"/>
      <c r="T93" s="14"/>
      <c r="U93" s="14"/>
      <c r="V93" s="14"/>
      <c r="W93" s="14"/>
      <c r="X93" s="14"/>
      <c r="Y93" s="14"/>
      <c r="Z93" s="14"/>
      <c r="AA93" s="14"/>
      <c r="AB93" s="14"/>
      <c r="AC93" s="14"/>
      <c r="AD93" s="14"/>
      <c r="AE93" s="14"/>
      <c r="AF93" s="14"/>
      <c r="AG93" s="14"/>
      <c r="AH93" s="14"/>
    </row>
    <row r="94" spans="1:34" ht="52.5" customHeight="1" x14ac:dyDescent="0.25">
      <c r="A94" s="1326"/>
      <c r="B94" s="1328">
        <f>B87+1</f>
        <v>65</v>
      </c>
      <c r="C94" s="1829" t="s">
        <v>2470</v>
      </c>
      <c r="D94" s="1859"/>
      <c r="E94" s="1580" t="s">
        <v>2148</v>
      </c>
      <c r="F94" s="50"/>
      <c r="G94" s="1"/>
      <c r="H94" s="1"/>
      <c r="I94" s="1"/>
      <c r="J94" s="8"/>
      <c r="K94" s="8"/>
      <c r="L94" s="14"/>
      <c r="M94" s="14"/>
      <c r="N94" s="14"/>
      <c r="O94" s="14"/>
      <c r="P94" s="14"/>
      <c r="Q94" s="14"/>
      <c r="R94" s="14"/>
      <c r="S94" s="14"/>
      <c r="T94" s="14"/>
      <c r="U94" s="14"/>
      <c r="V94" s="14"/>
      <c r="W94" s="14"/>
      <c r="X94" s="14"/>
      <c r="Y94" s="14"/>
      <c r="Z94" s="14"/>
      <c r="AA94" s="14"/>
      <c r="AB94" s="14"/>
      <c r="AC94" s="14"/>
      <c r="AD94" s="14"/>
      <c r="AE94" s="14"/>
      <c r="AF94" s="14"/>
      <c r="AG94" s="14"/>
      <c r="AH94" s="14"/>
    </row>
    <row r="95" spans="1:34" ht="52.5" customHeight="1" x14ac:dyDescent="0.25">
      <c r="A95" s="1326"/>
      <c r="B95" s="1328">
        <f>B94+1</f>
        <v>66</v>
      </c>
      <c r="C95" s="1825" t="s">
        <v>2471</v>
      </c>
      <c r="D95" s="1860"/>
      <c r="E95" s="1581" t="s">
        <v>2149</v>
      </c>
      <c r="F95" s="50"/>
      <c r="G95" s="1"/>
      <c r="H95" s="1"/>
      <c r="I95" s="1"/>
      <c r="J95" s="8"/>
      <c r="K95" s="8"/>
      <c r="L95" s="14"/>
      <c r="M95" s="14"/>
      <c r="N95" s="14"/>
      <c r="O95" s="14"/>
      <c r="P95" s="14"/>
      <c r="Q95" s="14"/>
      <c r="R95" s="14"/>
      <c r="S95" s="14"/>
      <c r="T95" s="14"/>
      <c r="U95" s="14"/>
      <c r="V95" s="14"/>
      <c r="W95" s="14"/>
      <c r="X95" s="14"/>
      <c r="Y95" s="14"/>
      <c r="Z95" s="14"/>
      <c r="AA95" s="14"/>
      <c r="AB95" s="14"/>
      <c r="AC95" s="14"/>
      <c r="AD95" s="14"/>
      <c r="AE95" s="14"/>
      <c r="AF95" s="14"/>
      <c r="AG95" s="14"/>
      <c r="AH95" s="14"/>
    </row>
    <row r="96" spans="1:34" ht="52.5" customHeight="1" x14ac:dyDescent="0.25">
      <c r="A96" s="1326"/>
      <c r="B96" s="1328">
        <f>B95+1</f>
        <v>67</v>
      </c>
      <c r="C96" s="1814" t="s">
        <v>2469</v>
      </c>
      <c r="D96" s="1861"/>
      <c r="E96" s="1582" t="s">
        <v>2150</v>
      </c>
      <c r="F96" s="50"/>
      <c r="G96" s="1"/>
      <c r="H96" s="1"/>
      <c r="I96" s="1"/>
      <c r="J96" s="8"/>
      <c r="K96" s="8"/>
      <c r="L96" s="14"/>
      <c r="M96" s="14"/>
      <c r="N96" s="14"/>
      <c r="O96" s="14"/>
      <c r="P96" s="14"/>
      <c r="Q96" s="14"/>
      <c r="R96" s="14"/>
      <c r="S96" s="14"/>
      <c r="T96" s="14"/>
      <c r="U96" s="14"/>
      <c r="V96" s="14"/>
      <c r="W96" s="14"/>
      <c r="X96" s="14"/>
      <c r="Y96" s="14"/>
      <c r="Z96" s="14"/>
      <c r="AA96" s="14"/>
      <c r="AB96" s="14"/>
      <c r="AC96" s="14"/>
      <c r="AD96" s="14"/>
      <c r="AE96" s="14"/>
      <c r="AF96" s="14"/>
      <c r="AG96" s="14"/>
      <c r="AH96" s="14"/>
    </row>
    <row r="97" spans="1:34" ht="30" customHeight="1" x14ac:dyDescent="0.25">
      <c r="A97" s="1326"/>
      <c r="B97" s="1310"/>
      <c r="C97" s="2069" t="s">
        <v>2436</v>
      </c>
      <c r="D97" s="2069"/>
      <c r="E97" s="2069"/>
      <c r="F97" s="50"/>
      <c r="G97" s="1"/>
      <c r="H97" s="1"/>
      <c r="I97" s="1"/>
      <c r="J97" s="8"/>
      <c r="K97" s="8"/>
      <c r="L97" s="14"/>
      <c r="M97" s="14"/>
      <c r="N97" s="14"/>
      <c r="O97" s="14"/>
      <c r="P97" s="14"/>
      <c r="Q97" s="14"/>
      <c r="R97" s="14"/>
      <c r="S97" s="14"/>
      <c r="T97" s="14"/>
      <c r="U97" s="14"/>
      <c r="V97" s="14"/>
      <c r="W97" s="14"/>
      <c r="X97" s="14"/>
      <c r="Y97" s="14"/>
      <c r="Z97" s="14"/>
      <c r="AA97" s="14"/>
      <c r="AB97" s="14"/>
      <c r="AC97" s="14"/>
      <c r="AD97" s="14"/>
      <c r="AE97" s="14"/>
      <c r="AF97" s="14"/>
      <c r="AG97" s="14"/>
      <c r="AH97" s="14"/>
    </row>
    <row r="98" spans="1:34" x14ac:dyDescent="0.25">
      <c r="A98" s="1326"/>
      <c r="B98" s="1310"/>
      <c r="C98" s="1248" t="s">
        <v>762</v>
      </c>
      <c r="D98" s="1"/>
      <c r="E98" s="1248" t="s">
        <v>1678</v>
      </c>
      <c r="F98" s="50"/>
      <c r="G98" s="1"/>
      <c r="H98" s="1"/>
      <c r="I98" s="1"/>
      <c r="J98" s="8"/>
      <c r="K98" s="8"/>
      <c r="L98" s="14"/>
      <c r="M98" s="14"/>
      <c r="N98" s="14"/>
      <c r="O98" s="14"/>
      <c r="P98" s="14"/>
      <c r="Q98" s="14"/>
      <c r="R98" s="14"/>
      <c r="S98" s="14"/>
      <c r="T98" s="14"/>
      <c r="U98" s="14"/>
      <c r="V98" s="14"/>
      <c r="W98" s="14"/>
      <c r="X98" s="14"/>
      <c r="Y98" s="14"/>
      <c r="Z98" s="14"/>
      <c r="AA98" s="14"/>
      <c r="AB98" s="14"/>
      <c r="AC98" s="14"/>
      <c r="AD98" s="14"/>
      <c r="AE98" s="14"/>
      <c r="AF98" s="14"/>
      <c r="AG98" s="14"/>
      <c r="AH98" s="14"/>
    </row>
    <row r="99" spans="1:34" x14ac:dyDescent="0.25">
      <c r="A99" s="1326"/>
      <c r="B99" s="1328">
        <f>B96+1</f>
        <v>68</v>
      </c>
      <c r="C99" s="1254"/>
      <c r="D99" s="1258">
        <f>B99+1</f>
        <v>69</v>
      </c>
      <c r="E99" s="10"/>
      <c r="F99" s="50"/>
      <c r="G99" s="1"/>
      <c r="H99" s="1"/>
      <c r="I99" s="1"/>
      <c r="J99" s="8"/>
      <c r="K99" s="8"/>
      <c r="L99" s="14"/>
      <c r="M99" s="14"/>
      <c r="N99" s="14"/>
      <c r="O99" s="14"/>
      <c r="P99" s="14"/>
      <c r="Q99" s="14"/>
      <c r="R99" s="14"/>
      <c r="S99" s="14"/>
      <c r="T99" s="14"/>
      <c r="U99" s="14"/>
      <c r="V99" s="14"/>
      <c r="W99" s="14"/>
      <c r="X99" s="14"/>
      <c r="Y99" s="14"/>
      <c r="Z99" s="14"/>
      <c r="AA99" s="14"/>
      <c r="AB99" s="14"/>
      <c r="AC99" s="14"/>
      <c r="AD99" s="14"/>
      <c r="AE99" s="14"/>
      <c r="AF99" s="14"/>
      <c r="AG99" s="14"/>
      <c r="AH99" s="14"/>
    </row>
    <row r="100" spans="1:34" ht="18" customHeight="1" x14ac:dyDescent="0.25">
      <c r="A100" s="1326"/>
      <c r="B100" s="1310"/>
      <c r="C100" s="1254"/>
      <c r="D100" s="1"/>
      <c r="E100" s="10"/>
      <c r="F100" s="50"/>
      <c r="G100" s="1"/>
      <c r="H100" s="1"/>
      <c r="I100" s="1"/>
      <c r="J100" s="8"/>
      <c r="K100" s="8"/>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8" customHeight="1" x14ac:dyDescent="0.25">
      <c r="A101" s="1326"/>
      <c r="B101" s="1310"/>
      <c r="C101" s="1254"/>
      <c r="D101" s="1"/>
      <c r="E101" s="10"/>
      <c r="F101" s="50"/>
      <c r="G101" s="1"/>
      <c r="H101" s="1"/>
      <c r="I101" s="1"/>
      <c r="J101" s="8"/>
      <c r="K101" s="8"/>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8" customHeight="1" x14ac:dyDescent="0.25">
      <c r="A102" s="1326"/>
      <c r="B102" s="1310"/>
      <c r="C102" s="1254"/>
      <c r="D102" s="1"/>
      <c r="E102" s="10"/>
      <c r="F102" s="50"/>
      <c r="G102" s="1"/>
      <c r="H102" s="1"/>
      <c r="I102" s="1"/>
      <c r="J102" s="8"/>
      <c r="K102" s="8"/>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8" customHeight="1" x14ac:dyDescent="0.25">
      <c r="A103" s="1326"/>
      <c r="B103" s="1310"/>
      <c r="C103" s="1"/>
      <c r="D103" s="1" t="str">
        <f>IF(SUM('Система отопления'!C4:C19)=0,"Не то","")</f>
        <v/>
      </c>
      <c r="E103" s="11"/>
      <c r="F103" s="50"/>
      <c r="G103" s="1"/>
      <c r="H103" s="1"/>
      <c r="I103" s="1"/>
      <c r="J103" s="8"/>
      <c r="K103" s="8"/>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8" customHeight="1" x14ac:dyDescent="0.25">
      <c r="A104" s="1326"/>
      <c r="B104" s="1310"/>
      <c r="C104" s="8"/>
      <c r="D104" s="1"/>
      <c r="E104" s="11"/>
      <c r="F104" s="50"/>
      <c r="G104" s="1"/>
      <c r="H104" s="1"/>
      <c r="I104" s="1"/>
      <c r="J104" s="8"/>
      <c r="K104" s="8"/>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8" customHeight="1" x14ac:dyDescent="0.25">
      <c r="A105" s="1326"/>
      <c r="B105" s="1310"/>
      <c r="C105" s="8"/>
      <c r="D105" s="1"/>
      <c r="E105" s="1254"/>
      <c r="F105" s="50"/>
      <c r="G105" s="1"/>
      <c r="H105" s="1"/>
      <c r="I105" s="1"/>
      <c r="J105" s="8"/>
      <c r="K105" s="8"/>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x14ac:dyDescent="0.25">
      <c r="A106" s="1326"/>
      <c r="B106" s="1310"/>
      <c r="C106" s="1"/>
      <c r="D106" s="1"/>
      <c r="E106" s="1"/>
      <c r="F106" s="50"/>
      <c r="G106" s="1"/>
      <c r="H106" s="1"/>
      <c r="I106" s="1"/>
      <c r="J106" s="8"/>
      <c r="K106" s="8"/>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27" customHeight="1" x14ac:dyDescent="0.3">
      <c r="A107" s="1326"/>
      <c r="B107" s="1310"/>
      <c r="C107" s="2068" t="s">
        <v>781</v>
      </c>
      <c r="D107" s="2068"/>
      <c r="E107" s="2068"/>
      <c r="F107" s="50"/>
      <c r="G107" s="1"/>
      <c r="H107" s="1"/>
      <c r="I107" s="1"/>
      <c r="J107" s="8"/>
      <c r="K107" s="8"/>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x14ac:dyDescent="0.25">
      <c r="A108" s="1326"/>
      <c r="B108" s="1310"/>
      <c r="C108" s="1"/>
      <c r="D108" s="1"/>
      <c r="E108" s="1"/>
      <c r="F108" s="50"/>
      <c r="G108" s="1"/>
      <c r="H108" s="1"/>
      <c r="I108" s="1"/>
      <c r="J108" s="8"/>
      <c r="K108" s="8"/>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x14ac:dyDescent="0.25">
      <c r="A109" s="1326"/>
      <c r="B109" s="1310"/>
      <c r="C109" s="1253" t="s">
        <v>782</v>
      </c>
      <c r="D109" s="14"/>
      <c r="E109" s="1253" t="s">
        <v>793</v>
      </c>
      <c r="F109" s="50"/>
      <c r="G109" s="1"/>
      <c r="H109" s="1"/>
      <c r="I109" s="1"/>
      <c r="J109" s="8"/>
      <c r="K109" s="8"/>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x14ac:dyDescent="0.25">
      <c r="A110" s="1326"/>
      <c r="B110" s="1328">
        <f>D99+1</f>
        <v>70</v>
      </c>
      <c r="C110" s="4"/>
      <c r="D110" s="1258">
        <f>B110+1</f>
        <v>71</v>
      </c>
      <c r="E110" s="3"/>
      <c r="F110" s="50"/>
      <c r="G110" s="1"/>
      <c r="H110" s="1"/>
      <c r="I110" s="1"/>
      <c r="J110" s="8"/>
      <c r="K110" s="8"/>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x14ac:dyDescent="0.25">
      <c r="A111" s="1326"/>
      <c r="B111" s="1310"/>
      <c r="C111" s="4"/>
      <c r="D111" s="14"/>
      <c r="E111" s="3"/>
      <c r="F111" s="50"/>
      <c r="G111" s="1"/>
      <c r="H111" s="1"/>
      <c r="I111" s="1"/>
      <c r="J111" s="8"/>
      <c r="K111" s="8"/>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34.5" customHeight="1" x14ac:dyDescent="0.25">
      <c r="A112" s="1326"/>
      <c r="B112" s="1310"/>
      <c r="C112" s="5"/>
      <c r="D112" s="14"/>
      <c r="E112" s="5"/>
      <c r="F112" s="50"/>
      <c r="G112" s="1"/>
      <c r="H112" s="1"/>
      <c r="I112" s="1"/>
      <c r="J112" s="8"/>
      <c r="K112" s="8"/>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39" customHeight="1" x14ac:dyDescent="0.25">
      <c r="A113" s="1326"/>
      <c r="B113" s="1310"/>
      <c r="C113" s="5"/>
      <c r="D113" s="14"/>
      <c r="E113" s="5"/>
      <c r="F113" s="50"/>
      <c r="G113" s="1"/>
      <c r="H113" s="1"/>
      <c r="I113" s="1"/>
      <c r="J113" s="8"/>
      <c r="K113" s="8"/>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43.5" customHeight="1" x14ac:dyDescent="0.25">
      <c r="A114" s="1326"/>
      <c r="B114" s="1310"/>
      <c r="C114" s="1250" t="str">
        <f>IF('Система ГВС'!F3=2,"Выбрана децентрализованная система ГВС!"&amp;CHAR(10)&amp;"Можно пропустить следующий блок (поля 71-85), и перейти к системе электроснабжения (поля 86 и далее).","")</f>
        <v/>
      </c>
      <c r="D114" s="14"/>
      <c r="E114" s="5"/>
      <c r="F114" s="50"/>
      <c r="G114" s="1"/>
      <c r="H114" s="1"/>
      <c r="I114" s="1"/>
      <c r="J114" s="8"/>
      <c r="K114" s="8"/>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s="13" customFormat="1" ht="16.5" customHeight="1" x14ac:dyDescent="0.25">
      <c r="A115" s="1326"/>
      <c r="B115" s="1310"/>
      <c r="C115" s="5"/>
      <c r="D115" s="14"/>
      <c r="E115" s="5"/>
      <c r="F115" s="50"/>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x14ac:dyDescent="0.25">
      <c r="A116" s="1326"/>
      <c r="B116" s="1310"/>
      <c r="C116" s="1"/>
      <c r="D116" s="1"/>
      <c r="E116" s="1"/>
      <c r="F116" s="50"/>
      <c r="G116" s="1"/>
      <c r="H116" s="1"/>
      <c r="I116" s="1"/>
      <c r="J116" s="8"/>
      <c r="K116" s="8"/>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33.75" customHeight="1" x14ac:dyDescent="0.25">
      <c r="A117" s="1326"/>
      <c r="B117" s="1310"/>
      <c r="C117" s="2066" t="s">
        <v>2438</v>
      </c>
      <c r="D117" s="2066"/>
      <c r="E117" s="2066"/>
      <c r="F117" s="50"/>
      <c r="G117" s="1"/>
      <c r="H117" s="1"/>
      <c r="I117" s="1"/>
      <c r="J117" s="8"/>
      <c r="K117" s="8"/>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76.5" customHeight="1" x14ac:dyDescent="0.25">
      <c r="A118" s="1326"/>
      <c r="B118" s="1328">
        <f>D110+1</f>
        <v>72</v>
      </c>
      <c r="C118" s="1862" t="s">
        <v>2159</v>
      </c>
      <c r="D118" s="1863"/>
      <c r="E118" s="1795" t="s">
        <v>2443</v>
      </c>
      <c r="F118" s="50"/>
      <c r="G118" s="1"/>
      <c r="H118" s="1"/>
      <c r="I118" s="1"/>
      <c r="J118" s="8"/>
      <c r="K118" s="8"/>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48" customHeight="1" x14ac:dyDescent="0.25">
      <c r="A119" s="1326"/>
      <c r="B119" s="1328">
        <f t="shared" ref="B119:B122" si="6">B118+1</f>
        <v>73</v>
      </c>
      <c r="C119" s="1813" t="s">
        <v>2445</v>
      </c>
      <c r="D119" s="1864"/>
      <c r="E119" s="1796" t="s">
        <v>2439</v>
      </c>
      <c r="F119" s="50"/>
      <c r="G119" s="1"/>
      <c r="H119" s="1"/>
      <c r="I119" s="1"/>
      <c r="J119" s="8"/>
      <c r="K119" s="8"/>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48" customHeight="1" x14ac:dyDescent="0.25">
      <c r="A120" s="1326"/>
      <c r="B120" s="1328">
        <f t="shared" si="6"/>
        <v>74</v>
      </c>
      <c r="C120" s="1825" t="s">
        <v>2446</v>
      </c>
      <c r="D120" s="1864"/>
      <c r="E120" s="1796" t="s">
        <v>2440</v>
      </c>
      <c r="F120" s="50"/>
      <c r="G120" s="1"/>
      <c r="H120" s="1"/>
      <c r="I120" s="1"/>
      <c r="J120" s="8"/>
      <c r="K120" s="8"/>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48" customHeight="1" x14ac:dyDescent="0.25">
      <c r="A121" s="1326"/>
      <c r="B121" s="1328">
        <f>B120+1</f>
        <v>75</v>
      </c>
      <c r="C121" s="1830" t="s">
        <v>2444</v>
      </c>
      <c r="D121" s="1864"/>
      <c r="E121" s="1796" t="s">
        <v>2441</v>
      </c>
      <c r="F121" s="50"/>
      <c r="G121" s="50"/>
      <c r="H121" s="1"/>
      <c r="I121" s="1"/>
      <c r="J121" s="8"/>
      <c r="K121" s="8"/>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48" customHeight="1" x14ac:dyDescent="0.25">
      <c r="A122" s="1326"/>
      <c r="B122" s="1328">
        <f t="shared" si="6"/>
        <v>76</v>
      </c>
      <c r="C122" s="1814" t="s">
        <v>2132</v>
      </c>
      <c r="D122" s="1865"/>
      <c r="E122" s="1797" t="s">
        <v>2442</v>
      </c>
      <c r="F122" s="50"/>
      <c r="G122" s="1"/>
      <c r="H122" s="1"/>
      <c r="I122" s="1"/>
      <c r="J122" s="8"/>
      <c r="K122" s="8"/>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30" customHeight="1" x14ac:dyDescent="0.25">
      <c r="A123" s="1326"/>
      <c r="B123" s="1310"/>
      <c r="C123" s="2069" t="s">
        <v>2436</v>
      </c>
      <c r="D123" s="2069"/>
      <c r="E123" s="2069"/>
      <c r="F123" s="50"/>
      <c r="G123" s="1"/>
      <c r="H123" s="1"/>
      <c r="I123" s="1"/>
      <c r="J123" s="8"/>
      <c r="K123" s="8"/>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s="13" customFormat="1" x14ac:dyDescent="0.25">
      <c r="A124" s="1326"/>
      <c r="B124" s="50"/>
      <c r="C124" s="50"/>
      <c r="D124" s="50"/>
      <c r="E124" s="50"/>
      <c r="F124" s="50"/>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s="13" customFormat="1" x14ac:dyDescent="0.25">
      <c r="A125" s="1326"/>
      <c r="B125" s="50"/>
      <c r="C125" s="2066" t="s">
        <v>2411</v>
      </c>
      <c r="D125" s="2066"/>
      <c r="E125" s="2066"/>
      <c r="F125" s="50"/>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s="13" customFormat="1" x14ac:dyDescent="0.25">
      <c r="A126" s="1326"/>
      <c r="B126" s="50"/>
      <c r="C126" s="1832" t="s">
        <v>2463</v>
      </c>
      <c r="D126" s="1832" t="s">
        <v>2410</v>
      </c>
      <c r="E126" s="2008" t="s">
        <v>2484</v>
      </c>
      <c r="F126" s="1988" t="str">
        <f>IF(OR(SUM(D127:D132)&lt;5,SUM(D127:D132)&gt;21,COUNTIF(D127:D132,"&gt;0")&gt;2),"Указана необычная продолжительность прекращения централизованного горячего водоснабжения!"&amp;CHAR(10)&amp;"Это повод перепроверить правильность данных.","")</f>
        <v/>
      </c>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s="13" customFormat="1" x14ac:dyDescent="0.25">
      <c r="A127" s="1326"/>
      <c r="B127" s="1328">
        <f>B122+1</f>
        <v>77</v>
      </c>
      <c r="C127" s="1829" t="str">
        <f>INDEX(Months,1)</f>
        <v>Апрель</v>
      </c>
      <c r="D127" s="1260"/>
      <c r="E127" s="2009"/>
      <c r="F127" s="198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s="13" customFormat="1" x14ac:dyDescent="0.25">
      <c r="A128" s="1326"/>
      <c r="B128" s="1328">
        <f>B127+1</f>
        <v>78</v>
      </c>
      <c r="C128" s="1831" t="str">
        <f>INDEX(Months,2)</f>
        <v>Май</v>
      </c>
      <c r="D128" s="1261"/>
      <c r="E128" s="2009"/>
      <c r="F128" s="198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s="13" customFormat="1" x14ac:dyDescent="0.25">
      <c r="A129" s="1326"/>
      <c r="B129" s="1328">
        <f t="shared" ref="B129:B132" si="7">B128+1</f>
        <v>79</v>
      </c>
      <c r="C129" s="1831" t="str">
        <f>INDEX(Months,3)</f>
        <v>Июнь</v>
      </c>
      <c r="D129" s="1261">
        <v>14</v>
      </c>
      <c r="E129" s="2009"/>
      <c r="F129" s="198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s="13" customFormat="1" x14ac:dyDescent="0.25">
      <c r="A130" s="1326"/>
      <c r="B130" s="1328">
        <f t="shared" si="7"/>
        <v>80</v>
      </c>
      <c r="C130" s="1831" t="str">
        <f>INDEX(Months,4)</f>
        <v>Июль</v>
      </c>
      <c r="D130" s="1261"/>
      <c r="E130" s="2009"/>
      <c r="F130" s="198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s="13" customFormat="1" x14ac:dyDescent="0.25">
      <c r="A131" s="1326"/>
      <c r="B131" s="1328">
        <f t="shared" si="7"/>
        <v>81</v>
      </c>
      <c r="C131" s="1831" t="str">
        <f>INDEX(Months,5)</f>
        <v>Август</v>
      </c>
      <c r="D131" s="1261"/>
      <c r="E131" s="2009"/>
      <c r="F131" s="198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s="13" customFormat="1" x14ac:dyDescent="0.25">
      <c r="A132" s="1326"/>
      <c r="B132" s="1328">
        <f t="shared" si="7"/>
        <v>82</v>
      </c>
      <c r="C132" s="1821" t="str">
        <f>INDEX(Months,6)</f>
        <v>Сентябрь</v>
      </c>
      <c r="D132" s="1262"/>
      <c r="E132" s="2010"/>
      <c r="F132" s="198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s="13" customFormat="1" ht="15" customHeight="1" x14ac:dyDescent="0.25">
      <c r="A133" s="50"/>
      <c r="B133" s="50"/>
      <c r="C133" s="2067" t="str">
        <f ca="1">IF(IFERROR(OR(J276-I276&lt;D127,J277-I277&lt;D128,J278-I278&lt;D129,J279-I279&lt;D130,J280-I280&lt;D131,J281-I281&lt;D132),FALSE),"Ошибка! Плановые прекращения подачи горячей воды не должны производиться в отопительный сезон.","")</f>
        <v/>
      </c>
      <c r="D133" s="2067" t="e">
        <f ca="1">IF(OR(J276-I276&lt;D127,J277-I277&lt;D128,J278-I278&lt;D129,J279-I279&lt;D130,J280-I280&lt;D131,J281-I281&lt;D132),"Ошибка! Плановые прекращения подачи горячей воды не должны производиться в отопительный период.","")</f>
        <v>#VALUE!</v>
      </c>
      <c r="E133" s="2067"/>
      <c r="F133" s="50"/>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s="13" customFormat="1" x14ac:dyDescent="0.25">
      <c r="A134" s="50"/>
      <c r="B134" s="50"/>
      <c r="C134" s="50"/>
      <c r="D134" s="678"/>
      <c r="E134" s="50"/>
      <c r="F134" s="50"/>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x14ac:dyDescent="0.25">
      <c r="A135" s="1326"/>
      <c r="B135" s="1328">
        <f>B132+1</f>
        <v>83</v>
      </c>
      <c r="C135" s="1248" t="s">
        <v>1394</v>
      </c>
      <c r="D135" s="14"/>
      <c r="E135" s="14"/>
      <c r="F135" s="50"/>
      <c r="G135" s="1"/>
      <c r="H135" s="1"/>
      <c r="I135" s="1"/>
      <c r="J135" s="8"/>
      <c r="K135" s="8"/>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8.75" customHeight="1" x14ac:dyDescent="0.25">
      <c r="A136" s="1326"/>
      <c r="B136" s="1310"/>
      <c r="C136" s="1923"/>
      <c r="D136" s="14"/>
      <c r="E136" s="14"/>
      <c r="F136" s="50"/>
      <c r="G136" s="1"/>
      <c r="H136" s="1"/>
      <c r="I136" s="1"/>
      <c r="J136" s="8"/>
      <c r="K136" s="8"/>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8.75" customHeight="1" x14ac:dyDescent="0.25">
      <c r="A137" s="1326"/>
      <c r="B137" s="1310"/>
      <c r="C137" s="1923"/>
      <c r="D137" s="14"/>
      <c r="E137" s="14"/>
      <c r="F137" s="50"/>
      <c r="G137" s="1"/>
      <c r="H137" s="1"/>
      <c r="I137" s="1"/>
      <c r="J137" s="8"/>
      <c r="K137" s="8"/>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8.75" customHeight="1" x14ac:dyDescent="0.25">
      <c r="A138" s="1326"/>
      <c r="B138" s="1310"/>
      <c r="C138" s="1923"/>
      <c r="D138" s="14"/>
      <c r="E138" s="14"/>
      <c r="F138" s="50"/>
      <c r="G138" s="1"/>
      <c r="H138" s="1"/>
      <c r="I138" s="1"/>
      <c r="J138" s="8"/>
      <c r="K138" s="8"/>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8.75" customHeight="1" x14ac:dyDescent="0.25">
      <c r="A139" s="1326"/>
      <c r="B139" s="1310"/>
      <c r="C139" s="1923"/>
      <c r="D139" s="14"/>
      <c r="E139" s="14"/>
      <c r="F139" s="50"/>
      <c r="G139" s="1"/>
      <c r="H139" s="1"/>
      <c r="I139" s="1"/>
      <c r="J139" s="8"/>
      <c r="K139" s="8"/>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8.75" customHeight="1" x14ac:dyDescent="0.25">
      <c r="A140" s="1326"/>
      <c r="B140" s="1310"/>
      <c r="C140" s="1923"/>
      <c r="D140" s="14"/>
      <c r="E140" s="14"/>
      <c r="F140" s="50"/>
      <c r="G140" s="1"/>
      <c r="H140" s="1"/>
      <c r="I140" s="1"/>
      <c r="J140" s="8"/>
      <c r="K140" s="8"/>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8.75" customHeight="1" x14ac:dyDescent="0.25">
      <c r="A141" s="1326"/>
      <c r="B141" s="1310"/>
      <c r="C141" s="1923"/>
      <c r="D141" s="14"/>
      <c r="E141" s="14"/>
      <c r="F141" s="50"/>
      <c r="G141" s="1"/>
      <c r="H141" s="1"/>
      <c r="I141" s="1"/>
      <c r="J141" s="8"/>
      <c r="K141" s="8"/>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s="13" customFormat="1" ht="14.25" customHeight="1" x14ac:dyDescent="0.25">
      <c r="A142" s="1326"/>
      <c r="B142" s="1310"/>
      <c r="C142" s="14"/>
      <c r="D142" s="14"/>
      <c r="E142" s="14"/>
      <c r="F142" s="50"/>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x14ac:dyDescent="0.25">
      <c r="A143" s="1326"/>
      <c r="B143" s="1310"/>
      <c r="C143" s="1248" t="s">
        <v>786</v>
      </c>
      <c r="D143" s="1"/>
      <c r="E143" s="1"/>
      <c r="F143" s="50"/>
      <c r="G143" s="1"/>
      <c r="H143" s="1"/>
      <c r="I143" s="1"/>
      <c r="J143" s="8"/>
      <c r="K143" s="8"/>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30" customHeight="1" x14ac:dyDescent="0.25">
      <c r="A144" s="1326"/>
      <c r="B144" s="1328">
        <f>B135+1</f>
        <v>84</v>
      </c>
      <c r="C144" s="6"/>
      <c r="D144" s="1"/>
      <c r="E144" s="1"/>
      <c r="F144" s="50"/>
      <c r="G144" s="1"/>
      <c r="H144" s="1"/>
      <c r="I144" s="1"/>
      <c r="J144" s="8"/>
      <c r="K144" s="8"/>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30" customHeight="1" x14ac:dyDescent="0.25">
      <c r="A145" s="1326"/>
      <c r="B145" s="1328">
        <f>B144+1</f>
        <v>85</v>
      </c>
      <c r="C145" s="6"/>
      <c r="D145" s="1"/>
      <c r="E145" s="1"/>
      <c r="F145" s="50"/>
      <c r="G145" s="1"/>
      <c r="H145" s="1"/>
      <c r="I145" s="1"/>
      <c r="J145" s="8"/>
      <c r="K145" s="8"/>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x14ac:dyDescent="0.25">
      <c r="A146" s="1326"/>
      <c r="B146" s="1310"/>
      <c r="C146" s="15" t="str">
        <f>IF(AND(списки!C63="",'Система ГВС'!F17=1),"Введите в поле 66а значение остывания горячей воды в циркуляционном трубопроводе","")</f>
        <v/>
      </c>
      <c r="D146" s="1"/>
      <c r="E146" s="1"/>
      <c r="F146" s="50"/>
      <c r="G146" s="1"/>
      <c r="H146" s="1"/>
      <c r="I146" s="1"/>
      <c r="J146" s="8"/>
      <c r="K146" s="8"/>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s="7" customFormat="1" ht="27" customHeight="1" x14ac:dyDescent="0.3">
      <c r="A147" s="1326"/>
      <c r="B147" s="1310"/>
      <c r="C147" s="2068" t="s">
        <v>966</v>
      </c>
      <c r="D147" s="2068"/>
      <c r="E147" s="2068"/>
      <c r="F147" s="50"/>
      <c r="G147" s="14"/>
      <c r="H147" s="14"/>
      <c r="I147" s="14"/>
      <c r="J147" s="8"/>
      <c r="K147" s="8"/>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s="13" customFormat="1" ht="22.5" customHeight="1" x14ac:dyDescent="0.25">
      <c r="A148" s="1326"/>
      <c r="B148" s="1310"/>
      <c r="C148" s="14"/>
      <c r="D148" s="14"/>
      <c r="E148" s="14"/>
      <c r="F148" s="50"/>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s="7" customFormat="1" x14ac:dyDescent="0.25">
      <c r="A149" s="1326"/>
      <c r="B149" s="1310"/>
      <c r="C149" s="2089" t="s">
        <v>987</v>
      </c>
      <c r="D149" s="2089"/>
      <c r="E149" s="2089"/>
      <c r="F149" s="2089"/>
      <c r="G149" s="2089"/>
      <c r="H149" s="2089"/>
      <c r="I149" s="2089"/>
      <c r="J149" s="2089"/>
      <c r="K149" s="2089"/>
      <c r="L149" s="2089"/>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s="7" customFormat="1" ht="64.5" customHeight="1" x14ac:dyDescent="0.25">
      <c r="A150" s="1326"/>
      <c r="B150" s="1310"/>
      <c r="C150" s="1833" t="s">
        <v>1679</v>
      </c>
      <c r="D150" s="1833" t="s">
        <v>1954</v>
      </c>
      <c r="E150" s="1833" t="s">
        <v>970</v>
      </c>
      <c r="F150" s="1833" t="s">
        <v>1953</v>
      </c>
      <c r="G150" s="1833" t="s">
        <v>975</v>
      </c>
      <c r="H150" s="2070" t="s">
        <v>2447</v>
      </c>
      <c r="I150" s="2071"/>
      <c r="J150" s="2071"/>
      <c r="K150" s="2071"/>
      <c r="L150" s="2072"/>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s="13" customFormat="1" ht="30" customHeight="1" x14ac:dyDescent="0.25">
      <c r="A151" s="1326"/>
      <c r="B151" s="1328">
        <f>B145+1</f>
        <v>86</v>
      </c>
      <c r="C151" s="1829" t="s">
        <v>1682</v>
      </c>
      <c r="D151" s="1260"/>
      <c r="E151" s="1574" t="s">
        <v>2415</v>
      </c>
      <c r="F151" s="1260"/>
      <c r="G151" s="1574" t="s">
        <v>467</v>
      </c>
      <c r="H151" s="1866"/>
      <c r="I151" s="2060" t="s">
        <v>2450</v>
      </c>
      <c r="J151" s="2061"/>
      <c r="K151" s="2061"/>
      <c r="L151" s="2062"/>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s="13" customFormat="1" ht="30" customHeight="1" x14ac:dyDescent="0.25">
      <c r="A152" s="1326"/>
      <c r="B152" s="1328">
        <f>B151+1</f>
        <v>87</v>
      </c>
      <c r="C152" s="1831" t="s">
        <v>1683</v>
      </c>
      <c r="D152" s="1261"/>
      <c r="E152" s="1575" t="s">
        <v>2415</v>
      </c>
      <c r="F152" s="1261"/>
      <c r="G152" s="1575" t="s">
        <v>467</v>
      </c>
      <c r="H152" s="1867"/>
      <c r="I152" s="2063" t="s">
        <v>2451</v>
      </c>
      <c r="J152" s="2064"/>
      <c r="K152" s="2064"/>
      <c r="L152" s="2065"/>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s="13" customFormat="1" ht="30" customHeight="1" x14ac:dyDescent="0.25">
      <c r="A153" s="1326"/>
      <c r="B153" s="1328">
        <f>B152+1</f>
        <v>88</v>
      </c>
      <c r="C153" s="1831" t="s">
        <v>1684</v>
      </c>
      <c r="D153" s="1261"/>
      <c r="E153" s="1575" t="s">
        <v>2415</v>
      </c>
      <c r="F153" s="1261"/>
      <c r="G153" s="1575" t="s">
        <v>467</v>
      </c>
      <c r="H153" s="1867"/>
      <c r="I153" s="1979" t="s">
        <v>2452</v>
      </c>
      <c r="J153" s="1979"/>
      <c r="K153" s="1979"/>
      <c r="L153" s="1979"/>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s="13" customFormat="1" ht="30" customHeight="1" x14ac:dyDescent="0.25">
      <c r="A154" s="1326"/>
      <c r="B154" s="1328">
        <f>B153+1</f>
        <v>89</v>
      </c>
      <c r="C154" s="1831" t="s">
        <v>1681</v>
      </c>
      <c r="D154" s="1261"/>
      <c r="E154" s="1575" t="s">
        <v>2415</v>
      </c>
      <c r="F154" s="1261"/>
      <c r="G154" s="1575" t="s">
        <v>467</v>
      </c>
      <c r="H154" s="1867"/>
      <c r="I154" s="1979" t="s">
        <v>2453</v>
      </c>
      <c r="J154" s="1979"/>
      <c r="K154" s="1979"/>
      <c r="L154" s="1979"/>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s="13" customFormat="1" ht="30" customHeight="1" x14ac:dyDescent="0.25">
      <c r="A155" s="1326"/>
      <c r="B155" s="1328">
        <f>B154+1</f>
        <v>90</v>
      </c>
      <c r="C155" s="1831" t="s">
        <v>1410</v>
      </c>
      <c r="D155" s="1261"/>
      <c r="E155" s="1575" t="s">
        <v>2415</v>
      </c>
      <c r="F155" s="1261"/>
      <c r="G155" s="1575" t="s">
        <v>467</v>
      </c>
      <c r="H155" s="1867"/>
      <c r="I155" s="1979" t="s">
        <v>2454</v>
      </c>
      <c r="J155" s="1979"/>
      <c r="K155" s="1979"/>
      <c r="L155" s="1979"/>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s="13" customFormat="1" ht="30" customHeight="1" x14ac:dyDescent="0.25">
      <c r="A156" s="1326"/>
      <c r="B156" s="1328">
        <f>B155+1</f>
        <v>91</v>
      </c>
      <c r="C156" s="1821" t="s">
        <v>1833</v>
      </c>
      <c r="D156" s="1262"/>
      <c r="E156" s="1577" t="s">
        <v>2415</v>
      </c>
      <c r="F156" s="1262"/>
      <c r="G156" s="1577" t="s">
        <v>467</v>
      </c>
      <c r="H156" s="1868"/>
      <c r="I156" s="1980" t="s">
        <v>2455</v>
      </c>
      <c r="J156" s="1980"/>
      <c r="K156" s="1980"/>
      <c r="L156" s="198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s="7" customFormat="1" x14ac:dyDescent="0.25">
      <c r="A157" s="1326"/>
      <c r="B157" s="1310"/>
      <c r="C157" s="8"/>
      <c r="D157" s="8"/>
      <c r="E157" s="14"/>
      <c r="F157" s="8"/>
      <c r="G157" s="8"/>
      <c r="H157" s="8"/>
      <c r="I157" s="8"/>
      <c r="J157" s="8"/>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s="7" customFormat="1" x14ac:dyDescent="0.25">
      <c r="A158" s="1326"/>
      <c r="B158" s="1310"/>
      <c r="C158" s="1974" t="s">
        <v>1411</v>
      </c>
      <c r="D158" s="1974"/>
      <c r="E158" s="1974"/>
      <c r="F158" s="8"/>
      <c r="G158" s="8"/>
      <c r="H158" s="8"/>
      <c r="I158" s="8"/>
      <c r="J158" s="8"/>
      <c r="K158" s="8"/>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s="7" customFormat="1" x14ac:dyDescent="0.25">
      <c r="A159" s="1326"/>
      <c r="B159" s="1328">
        <f>B156+1</f>
        <v>92</v>
      </c>
      <c r="C159" s="1820" t="s">
        <v>1950</v>
      </c>
      <c r="D159" s="1260"/>
      <c r="E159" s="1984" t="str">
        <f>IF(IFERROR(OR(AND(D159&gt;0,OR(D161=0,списки!C72=0)),AND(D161&gt;0,OR(D159=0,списки!C72=0))),FALSE),
              "Если лифты присутствуют, введите и количество, и мощность, и часы работы.","")</f>
        <v/>
      </c>
      <c r="F159" s="8"/>
      <c r="G159" s="8"/>
      <c r="H159" s="8"/>
      <c r="I159" s="8"/>
      <c r="J159" s="8"/>
      <c r="K159" s="8"/>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s="13" customFormat="1" ht="45" x14ac:dyDescent="0.25">
      <c r="A160" s="1326"/>
      <c r="B160" s="1328">
        <f>B159+1</f>
        <v>93</v>
      </c>
      <c r="C160" s="1834" t="s">
        <v>1956</v>
      </c>
      <c r="D160" s="1261"/>
      <c r="E160" s="1985"/>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s="7" customFormat="1" x14ac:dyDescent="0.25">
      <c r="A161" s="1326"/>
      <c r="B161" s="1328">
        <f>B160+1</f>
        <v>94</v>
      </c>
      <c r="C161" s="1827" t="s">
        <v>1951</v>
      </c>
      <c r="D161" s="1261"/>
      <c r="E161" s="1986"/>
      <c r="F161" s="8"/>
      <c r="G161" s="8"/>
      <c r="H161" s="8"/>
      <c r="I161" s="8"/>
      <c r="J161" s="8"/>
      <c r="K161" s="8"/>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s="7" customFormat="1" ht="30" customHeight="1" x14ac:dyDescent="0.25">
      <c r="A162" s="1326"/>
      <c r="B162" s="1328">
        <f>B161+1</f>
        <v>95</v>
      </c>
      <c r="C162" s="1821" t="s">
        <v>2459</v>
      </c>
      <c r="D162" s="1865"/>
      <c r="E162" s="1573" t="s">
        <v>2458</v>
      </c>
      <c r="F162" s="8"/>
      <c r="G162" s="8"/>
      <c r="H162" s="8"/>
      <c r="I162" s="8"/>
      <c r="J162" s="8"/>
      <c r="K162" s="8"/>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s="7" customFormat="1" x14ac:dyDescent="0.25">
      <c r="A163" s="1326"/>
      <c r="B163" s="1310"/>
      <c r="C163" s="8"/>
      <c r="D163" s="12"/>
      <c r="E163" s="8"/>
      <c r="F163" s="8"/>
      <c r="G163" s="8"/>
      <c r="H163" s="8"/>
      <c r="I163" s="8"/>
      <c r="J163" s="8"/>
      <c r="K163" s="8"/>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s="7" customFormat="1" x14ac:dyDescent="0.25">
      <c r="A164" s="1326"/>
      <c r="B164" s="1310"/>
      <c r="C164" s="1974" t="s">
        <v>1412</v>
      </c>
      <c r="D164" s="1974"/>
      <c r="E164" s="1974"/>
      <c r="F164" s="8"/>
      <c r="G164" s="8"/>
      <c r="H164" s="8"/>
      <c r="I164" s="8"/>
      <c r="J164" s="8"/>
      <c r="K164" s="8"/>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s="7" customFormat="1" ht="30" customHeight="1" x14ac:dyDescent="0.25">
      <c r="A165" s="1326"/>
      <c r="B165" s="1328">
        <f>B162+1</f>
        <v>96</v>
      </c>
      <c r="C165" s="1835" t="s">
        <v>1955</v>
      </c>
      <c r="D165" s="1260"/>
      <c r="E165" s="1981" t="str">
        <f>IF(IFERROR(D167/D165,0)&gt;0.8,
               "Убедитесь в том, что мощность введена в кВт (не в Вт)."&amp;CHAR(10)&amp;CHAR(10),"")&amp;
  IF(OR(AND(D165&gt;0,D167=0),AND(D167&gt;0,D165=0)),
              "Если насосы присутствуют, введите и количество, и мощность.","")</f>
        <v/>
      </c>
      <c r="F165" s="8"/>
      <c r="G165" s="8"/>
      <c r="H165" s="8"/>
      <c r="I165" s="8"/>
      <c r="J165" s="8"/>
      <c r="K165" s="8"/>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s="7" customFormat="1" ht="45" x14ac:dyDescent="0.25">
      <c r="A166" s="1326"/>
      <c r="B166" s="1328">
        <f>B165+1</f>
        <v>97</v>
      </c>
      <c r="C166" s="1834" t="s">
        <v>1959</v>
      </c>
      <c r="D166" s="1261"/>
      <c r="E166" s="1982"/>
      <c r="F166" s="8"/>
      <c r="G166" s="8"/>
      <c r="H166" s="8"/>
      <c r="I166" s="8"/>
      <c r="J166" s="8"/>
      <c r="K166" s="8"/>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s="7" customFormat="1" x14ac:dyDescent="0.25">
      <c r="A167" s="1326"/>
      <c r="B167" s="1328">
        <f t="shared" ref="B167:B176" si="8">B166+1</f>
        <v>98</v>
      </c>
      <c r="C167" s="1827" t="s">
        <v>1957</v>
      </c>
      <c r="D167" s="1261"/>
      <c r="E167" s="1983"/>
      <c r="F167" s="15"/>
      <c r="G167" s="8"/>
      <c r="H167" s="8"/>
      <c r="I167" s="8"/>
      <c r="J167" s="8"/>
      <c r="K167" s="8"/>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s="7" customFormat="1" ht="45" customHeight="1" x14ac:dyDescent="0.25">
      <c r="A168" s="1326"/>
      <c r="B168" s="1328">
        <f t="shared" si="8"/>
        <v>99</v>
      </c>
      <c r="C168" s="1821" t="s">
        <v>2460</v>
      </c>
      <c r="D168" s="1865"/>
      <c r="E168" s="1332" t="str">
        <f ca="1">CONCATENATE(IF(D209&gt;0,CONCATENATE("По умолчанию ",D209*24," часов",CHAR(10),"С"),"По умолчанию с"),"оответствует продолжительности отопительного периода в часах")</f>
        <v>По умолчанию соответствует продолжительности отопительного периода в часах</v>
      </c>
      <c r="F168" s="8"/>
      <c r="G168" s="8"/>
      <c r="H168" s="8"/>
      <c r="I168" s="8"/>
      <c r="J168" s="8"/>
      <c r="K168" s="8"/>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s="7" customFormat="1" ht="30" customHeight="1" x14ac:dyDescent="0.25">
      <c r="A169" s="1326"/>
      <c r="B169" s="1328">
        <f t="shared" si="8"/>
        <v>100</v>
      </c>
      <c r="C169" s="1835" t="s">
        <v>1958</v>
      </c>
      <c r="D169" s="1260"/>
      <c r="E169" s="1981" t="str">
        <f>IF(AND(D169=0,'Система ГВС'!F17=1,'Система ГВС'!F3=1),
               "Вы отметили ранее наличие циркуляционного трубопровода ГВС. Значит, есть и насосы."&amp;CHAR(10)&amp;CHAR(10),"")&amp;
  IF(AND(D169&gt;0,OR('Система ГВС'!F17=0,'Система ГВС'!F3=2)),
               "Вы отметили ранее отсутствие централизованного ГВС или циркуляционного трубопровода ГВС. Тогда насосов быть не должно."&amp;CHAR(10)&amp;CHAR(10),"")&amp;
  IF(IFERROR(D171/D169,0)&gt;0.8,
               "Убедитесь в том, что мощность введена в кВт (не в Вт)."&amp;CHAR(10)&amp;CHAR(10),"")&amp;
  IF(OR(AND(D169&gt;0,OR(D171=0,списки!C74=0)),AND(D171&gt;0,OR(D169=0,списки!C74=0))),
              "Если насосы присутствуют, введите и количество, и мощность, и часы работы.","")</f>
        <v/>
      </c>
      <c r="F169" s="8"/>
      <c r="G169" s="8"/>
      <c r="H169" s="8"/>
      <c r="I169" s="8"/>
      <c r="J169" s="8"/>
      <c r="K169" s="8"/>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s="13" customFormat="1" ht="45" x14ac:dyDescent="0.25">
      <c r="A170" s="1326"/>
      <c r="B170" s="1328">
        <f>B169+1</f>
        <v>101</v>
      </c>
      <c r="C170" s="1834" t="s">
        <v>1959</v>
      </c>
      <c r="D170" s="1261"/>
      <c r="E170" s="1982"/>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s="7" customFormat="1" x14ac:dyDescent="0.25">
      <c r="A171" s="1326"/>
      <c r="B171" s="1328">
        <f t="shared" si="8"/>
        <v>102</v>
      </c>
      <c r="C171" s="1827" t="s">
        <v>1957</v>
      </c>
      <c r="D171" s="1261"/>
      <c r="E171" s="1983"/>
      <c r="F171" s="8"/>
      <c r="G171" s="8"/>
      <c r="H171" s="8"/>
      <c r="I171" s="8"/>
      <c r="J171" s="8"/>
      <c r="K171" s="8"/>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s="7" customFormat="1" ht="60" customHeight="1" x14ac:dyDescent="0.25">
      <c r="A172" s="1326"/>
      <c r="B172" s="1328">
        <f t="shared" si="8"/>
        <v>103</v>
      </c>
      <c r="C172" s="1821" t="s">
        <v>2461</v>
      </c>
      <c r="D172" s="1871"/>
      <c r="E172" s="1332" t="str">
        <f>CONCATENATE("При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воды",CHAR(10),
"(",SUM(J273:J284)," ‒ продолжительность перерыва в днях) × 24 = ",(SUM(J273:J284)-SUM(D127:D132))*24)</f>
        <v>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 продолжительность перерыва в днях) × 24 = 8424</v>
      </c>
      <c r="F172" s="8"/>
      <c r="G172" s="8"/>
      <c r="H172" s="8"/>
      <c r="I172" s="8"/>
      <c r="J172" s="8"/>
      <c r="K172" s="8"/>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s="7" customFormat="1" ht="30" x14ac:dyDescent="0.25">
      <c r="A173" s="1326"/>
      <c r="B173" s="1328">
        <f t="shared" si="8"/>
        <v>104</v>
      </c>
      <c r="C173" s="1835" t="s">
        <v>1960</v>
      </c>
      <c r="D173" s="1260"/>
      <c r="E173" s="1981" t="str">
        <f>IF(IFERROR(D175/D173,0)&gt;0.8,
               "Убедитесь в том, что мощность введена в кВт (не в Вт)."&amp;CHAR(10)&amp;CHAR(10),"")&amp;
  IF(OR(AND(D173&gt;0,OR(D175=0,списки!C75=0)),AND(D175&gt;0,OR(D173=0,списки!C75=0))),
              "Если насосы присутствуют, введите и количество, и мощность, и часы работы.","")</f>
        <v/>
      </c>
      <c r="F173" s="8"/>
      <c r="G173" s="8"/>
      <c r="H173" s="8"/>
      <c r="I173" s="8"/>
      <c r="J173" s="8"/>
      <c r="K173" s="8"/>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s="13" customFormat="1" ht="45" x14ac:dyDescent="0.25">
      <c r="A174" s="1326"/>
      <c r="B174" s="1328">
        <f>B173+1</f>
        <v>105</v>
      </c>
      <c r="C174" s="1834" t="s">
        <v>1959</v>
      </c>
      <c r="D174" s="1261"/>
      <c r="E174" s="1982"/>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s="7" customFormat="1" x14ac:dyDescent="0.25">
      <c r="A175" s="1326"/>
      <c r="B175" s="1328">
        <f t="shared" si="8"/>
        <v>106</v>
      </c>
      <c r="C175" s="1827" t="s">
        <v>1957</v>
      </c>
      <c r="D175" s="1261"/>
      <c r="E175" s="1983"/>
      <c r="F175" s="8"/>
      <c r="G175" s="8"/>
      <c r="H175" s="8"/>
      <c r="I175" s="8"/>
      <c r="J175" s="8"/>
      <c r="K175" s="8"/>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s="7" customFormat="1" ht="33.6" customHeight="1" x14ac:dyDescent="0.25">
      <c r="A176" s="1326"/>
      <c r="B176" s="1328">
        <f t="shared" si="8"/>
        <v>107</v>
      </c>
      <c r="C176" s="1821" t="s">
        <v>2460</v>
      </c>
      <c r="D176" s="1865"/>
      <c r="E176" s="1332" t="s">
        <v>2462</v>
      </c>
      <c r="F176" s="8"/>
      <c r="G176" s="8"/>
      <c r="H176" s="8"/>
      <c r="I176" s="8"/>
      <c r="J176" s="8"/>
      <c r="K176" s="8"/>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s="7" customFormat="1" x14ac:dyDescent="0.25">
      <c r="A177" s="1326"/>
      <c r="B177" s="1310"/>
      <c r="C177" s="8"/>
      <c r="D177" s="8"/>
      <c r="E177" s="8"/>
      <c r="F177" s="8"/>
      <c r="G177" s="8"/>
      <c r="H177" s="8"/>
      <c r="I177" s="8"/>
      <c r="J177" s="8"/>
      <c r="K177" s="8"/>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s="7" customFormat="1" x14ac:dyDescent="0.25">
      <c r="A178" s="1326"/>
      <c r="B178" s="1310"/>
      <c r="C178" s="1975" t="s">
        <v>1413</v>
      </c>
      <c r="D178" s="1975"/>
      <c r="E178" s="1975"/>
      <c r="F178" s="8"/>
      <c r="G178" s="8"/>
      <c r="H178" s="8"/>
      <c r="I178" s="8"/>
      <c r="J178" s="8"/>
      <c r="K178" s="8"/>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s="7" customFormat="1" ht="30" customHeight="1" x14ac:dyDescent="0.25">
      <c r="A179" s="1326"/>
      <c r="B179" s="1328">
        <f>B176+1</f>
        <v>108</v>
      </c>
      <c r="C179" s="1820" t="s">
        <v>1961</v>
      </c>
      <c r="D179" s="1260"/>
      <c r="E179" s="1970" t="str">
        <f>IF(D180*D179&gt;4380+N("4380 кВтч - это эквивалент работы оборудования мощностью 1 кВт в течении 6-ти месяцев"),
              "Будьте внимательны в указании мощности!"&amp;CHAR(10)&amp;
              "Указан значительный неизвестный потребитель электроэнергии."&amp;CHAR(10)&amp;
              "В случае ошибки здесь, прогноз эффекта будет не верен!","")</f>
        <v/>
      </c>
      <c r="F179" s="8"/>
      <c r="G179" s="8"/>
      <c r="H179" s="8"/>
      <c r="I179" s="8"/>
      <c r="J179" s="8"/>
      <c r="K179" s="8"/>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s="7" customFormat="1" ht="30" customHeight="1" x14ac:dyDescent="0.25">
      <c r="A180" s="1326"/>
      <c r="B180" s="1328">
        <f>B179+1</f>
        <v>109</v>
      </c>
      <c r="C180" s="1821" t="s">
        <v>1962</v>
      </c>
      <c r="D180" s="1262"/>
      <c r="E180" s="1971"/>
      <c r="F180" s="8"/>
      <c r="G180" s="8"/>
      <c r="H180" s="8"/>
      <c r="I180" s="8"/>
      <c r="J180" s="8"/>
      <c r="K180" s="8"/>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s="7" customFormat="1" ht="45" customHeight="1" x14ac:dyDescent="0.25">
      <c r="A181" s="1326"/>
      <c r="B181" s="1310"/>
      <c r="C181" s="8"/>
      <c r="D181" s="8"/>
      <c r="E181" s="8"/>
      <c r="F181" s="8"/>
      <c r="G181" s="8"/>
      <c r="H181" s="8"/>
      <c r="I181" s="8"/>
      <c r="J181" s="8"/>
      <c r="K181" s="8"/>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s="7" customFormat="1" ht="15.75" thickBot="1" x14ac:dyDescent="0.3">
      <c r="A182" s="1326"/>
      <c r="B182" s="1310"/>
      <c r="C182" s="8"/>
      <c r="D182" s="8"/>
      <c r="E182" s="8"/>
      <c r="F182" s="8"/>
      <c r="G182" s="8"/>
      <c r="H182" s="8"/>
      <c r="I182" s="8"/>
      <c r="J182" s="8"/>
      <c r="K182" s="8"/>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s="7" customFormat="1" ht="25.5" customHeight="1" thickBot="1" x14ac:dyDescent="0.3">
      <c r="A183" s="1326"/>
      <c r="B183" s="1327">
        <f>4/8</f>
        <v>0.5</v>
      </c>
      <c r="C183" s="1968" t="s">
        <v>2488</v>
      </c>
      <c r="D183" s="1968"/>
      <c r="E183" s="1968"/>
      <c r="F183" s="8"/>
      <c r="G183" s="8"/>
      <c r="H183" s="8"/>
      <c r="I183" s="8"/>
      <c r="J183" s="8"/>
      <c r="K183" s="8"/>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s="7" customFormat="1" x14ac:dyDescent="0.25">
      <c r="A184" s="1326"/>
      <c r="B184" s="1310"/>
      <c r="C184" s="8"/>
      <c r="D184" s="8"/>
      <c r="E184" s="8"/>
      <c r="F184" s="8"/>
      <c r="G184" s="8"/>
      <c r="H184" s="8"/>
      <c r="I184" s="8"/>
      <c r="J184" s="8"/>
      <c r="K184" s="8"/>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s="7" customFormat="1" ht="30" customHeight="1" x14ac:dyDescent="0.25">
      <c r="A185" s="1326"/>
      <c r="B185" s="1328">
        <f>B180+1</f>
        <v>110</v>
      </c>
      <c r="C185" s="1817" t="s">
        <v>1963</v>
      </c>
      <c r="D185" s="1869" t="str">
        <f>IF(AND(ISBLANK(D186),ISBLANK(D187),ISBLANK(D188)),"",SUM(D186:D188))</f>
        <v/>
      </c>
      <c r="E185" s="2008" t="s">
        <v>978</v>
      </c>
      <c r="F185" s="8"/>
      <c r="G185" s="8"/>
      <c r="H185" s="8"/>
      <c r="I185" s="8"/>
      <c r="J185" s="8"/>
      <c r="K185" s="8"/>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s="7" customFormat="1" x14ac:dyDescent="0.25">
      <c r="A186" s="1326"/>
      <c r="B186" s="1328">
        <f>B185+1</f>
        <v>111</v>
      </c>
      <c r="C186" s="1818" t="s">
        <v>1964</v>
      </c>
      <c r="D186" s="1870"/>
      <c r="E186" s="2009"/>
      <c r="F186" s="8"/>
      <c r="G186" s="8"/>
      <c r="H186" s="8"/>
      <c r="I186" s="8"/>
      <c r="J186" s="8"/>
      <c r="K186" s="8"/>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s="7" customFormat="1" x14ac:dyDescent="0.25">
      <c r="A187" s="1326"/>
      <c r="B187" s="1328">
        <f>B186+1</f>
        <v>112</v>
      </c>
      <c r="C187" s="1818" t="s">
        <v>1965</v>
      </c>
      <c r="D187" s="1870"/>
      <c r="E187" s="2009"/>
      <c r="F187" s="8"/>
      <c r="G187" s="8"/>
      <c r="H187" s="8"/>
      <c r="I187" s="8"/>
      <c r="J187" s="8"/>
      <c r="K187" s="8"/>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s="7" customFormat="1" ht="45" x14ac:dyDescent="0.25">
      <c r="A188" s="1326"/>
      <c r="B188" s="1328">
        <f>B187+1</f>
        <v>113</v>
      </c>
      <c r="C188" s="1819" t="s">
        <v>1966</v>
      </c>
      <c r="D188" s="1865"/>
      <c r="E188" s="2010"/>
      <c r="F188" s="8"/>
      <c r="G188" s="8"/>
      <c r="H188" s="8"/>
      <c r="I188" s="8"/>
      <c r="J188" s="8"/>
      <c r="K188" s="8"/>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s="7" customFormat="1" x14ac:dyDescent="0.25">
      <c r="A189" s="1326"/>
      <c r="B189" s="1310"/>
      <c r="C189" s="1910" t="s">
        <v>1531</v>
      </c>
      <c r="D189" s="8"/>
      <c r="E189" s="8"/>
      <c r="F189" s="8"/>
      <c r="G189" s="8"/>
      <c r="H189" s="8"/>
      <c r="I189" s="8"/>
      <c r="J189" s="8"/>
      <c r="K189" s="8"/>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s="7" customFormat="1" x14ac:dyDescent="0.25">
      <c r="A190" s="1326"/>
      <c r="B190" s="1310"/>
      <c r="C190" s="8"/>
      <c r="D190" s="8"/>
      <c r="E190" s="8"/>
      <c r="F190" s="8"/>
      <c r="G190" s="8"/>
      <c r="H190" s="8"/>
      <c r="I190" s="8"/>
      <c r="J190" s="8"/>
      <c r="K190" s="8"/>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s="7" customFormat="1" x14ac:dyDescent="0.25">
      <c r="A191" s="1326"/>
      <c r="B191" s="1328"/>
      <c r="C191" s="1977" t="s">
        <v>1685</v>
      </c>
      <c r="D191" s="1978"/>
      <c r="E191" s="2008" t="s">
        <v>978</v>
      </c>
      <c r="F191" s="8"/>
      <c r="G191" s="8"/>
      <c r="H191" s="8"/>
      <c r="I191" s="8"/>
      <c r="J191" s="8"/>
      <c r="K191" s="8"/>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s="7" customFormat="1" ht="30" x14ac:dyDescent="0.25">
      <c r="A192" s="1326"/>
      <c r="B192" s="1328">
        <f>B188+1</f>
        <v>114</v>
      </c>
      <c r="C192" s="1815" t="s">
        <v>2163</v>
      </c>
      <c r="D192" s="1869"/>
      <c r="E192" s="2009"/>
      <c r="F192" s="8"/>
      <c r="G192" s="8"/>
      <c r="H192" s="8"/>
      <c r="I192" s="8"/>
      <c r="J192" s="8"/>
      <c r="K192" s="8"/>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s="7" customFormat="1" ht="30" x14ac:dyDescent="0.25">
      <c r="A193" s="1326"/>
      <c r="B193" s="1328">
        <f>B192+1</f>
        <v>115</v>
      </c>
      <c r="C193" s="1816" t="s">
        <v>2164</v>
      </c>
      <c r="D193" s="1865"/>
      <c r="E193" s="2010"/>
      <c r="F193" s="8"/>
      <c r="G193" s="8"/>
      <c r="H193" s="8"/>
      <c r="I193" s="8"/>
      <c r="J193" s="8"/>
      <c r="K193" s="8"/>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s="7" customFormat="1" x14ac:dyDescent="0.25">
      <c r="A194" s="1326"/>
      <c r="B194" s="1328"/>
      <c r="C194" s="1910" t="s">
        <v>1531</v>
      </c>
      <c r="D194" s="8"/>
      <c r="E194" s="8"/>
      <c r="F194" s="8"/>
      <c r="G194" s="8"/>
      <c r="H194" s="8"/>
      <c r="I194" s="8"/>
      <c r="J194" s="8"/>
      <c r="K194" s="8"/>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s="7" customFormat="1" x14ac:dyDescent="0.25">
      <c r="A195" s="1326"/>
      <c r="B195" s="1328"/>
      <c r="C195" s="8"/>
      <c r="D195" s="8"/>
      <c r="E195" s="8"/>
      <c r="F195" s="8"/>
      <c r="G195" s="8"/>
      <c r="H195" s="8"/>
      <c r="I195" s="8"/>
      <c r="J195" s="8"/>
      <c r="K195" s="8"/>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s="7" customFormat="1" x14ac:dyDescent="0.25">
      <c r="A196" s="1326"/>
      <c r="B196" s="1328"/>
      <c r="C196" s="1977" t="s">
        <v>979</v>
      </c>
      <c r="D196" s="1978"/>
      <c r="E196" s="2008" t="s">
        <v>978</v>
      </c>
      <c r="F196" s="8"/>
      <c r="G196" s="8"/>
      <c r="H196" s="8"/>
      <c r="I196" s="8"/>
      <c r="J196" s="8"/>
      <c r="K196" s="8"/>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s="7" customFormat="1" ht="30" x14ac:dyDescent="0.25">
      <c r="A197" s="1326"/>
      <c r="B197" s="1328">
        <f>B193+1</f>
        <v>116</v>
      </c>
      <c r="C197" s="1813" t="s">
        <v>2165</v>
      </c>
      <c r="D197" s="1570"/>
      <c r="E197" s="2009"/>
      <c r="F197" s="8"/>
      <c r="G197" s="1695"/>
      <c r="H197" s="8"/>
      <c r="I197" s="8"/>
      <c r="J197" s="8"/>
      <c r="K197" s="8"/>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s="7" customFormat="1" ht="30" x14ac:dyDescent="0.25">
      <c r="A198" s="1326"/>
      <c r="B198" s="1328">
        <f>B197+1</f>
        <v>117</v>
      </c>
      <c r="C198" s="1814" t="s">
        <v>2166</v>
      </c>
      <c r="D198" s="1571"/>
      <c r="E198" s="2010"/>
      <c r="F198" s="8"/>
      <c r="G198" s="8"/>
      <c r="H198" s="8"/>
      <c r="I198" s="8"/>
      <c r="J198" s="8"/>
      <c r="K198" s="8"/>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s="7" customFormat="1" x14ac:dyDescent="0.25">
      <c r="A199" s="1326"/>
      <c r="B199" s="1326"/>
      <c r="C199" s="8"/>
      <c r="D199" s="1798" t="str">
        <f>IF(OR(D197="",D198=""),"Введите температурный график!","")</f>
        <v>Введите температурный график!</v>
      </c>
      <c r="E199" s="8"/>
      <c r="F199" s="8"/>
      <c r="G199" s="8"/>
      <c r="H199" s="8"/>
      <c r="I199" s="8"/>
      <c r="J199" s="8"/>
      <c r="K199" s="8"/>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s="13" customFormat="1" ht="45" customHeight="1" thickBot="1" x14ac:dyDescent="0.3">
      <c r="A200" s="1326"/>
      <c r="B200" s="1326"/>
      <c r="C200" s="14"/>
      <c r="D200" s="14"/>
      <c r="E200" s="14"/>
      <c r="F200" s="50"/>
      <c r="G200" s="285"/>
      <c r="H200" s="50"/>
      <c r="I200" s="50"/>
      <c r="J200" s="50"/>
      <c r="K200" s="50"/>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s="13" customFormat="1" ht="25.5" customHeight="1" thickBot="1" x14ac:dyDescent="0.3">
      <c r="A201" s="1326"/>
      <c r="B201" s="1327">
        <f>5/8</f>
        <v>0.625</v>
      </c>
      <c r="C201" s="2004" t="s">
        <v>2486</v>
      </c>
      <c r="D201" s="2004"/>
      <c r="E201" s="2004"/>
      <c r="F201" s="50"/>
      <c r="G201" s="50"/>
      <c r="H201" s="50"/>
      <c r="I201" s="50"/>
      <c r="J201" s="50"/>
      <c r="K201" s="50"/>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s="13" customFormat="1" ht="22.5" customHeight="1" x14ac:dyDescent="0.25">
      <c r="A202" s="1326"/>
      <c r="B202" s="1328">
        <f>B198+1</f>
        <v>118</v>
      </c>
      <c r="C202" s="1812" t="s">
        <v>1712</v>
      </c>
      <c r="D202" s="1785" t="s">
        <v>2415</v>
      </c>
      <c r="E202" s="1786">
        <v>2019</v>
      </c>
      <c r="F202" s="1789" t="str">
        <f ca="1">IFERROR(
IF(OR(ISBLANK(D202),ISBLANK(E202),D202=INDEX(Months12ext,1)),
        "Укажите месяц и год",
        IF(TODAY()&lt;EDATE(DATEVALUE(D202&amp;" "&amp;E202),1),
                    "Окончание периода оплаты позднее, чем сегодняшняя дата!","")),"")</f>
        <v>Укажите месяц и год</v>
      </c>
      <c r="G202" s="1905"/>
      <c r="H202" s="50"/>
      <c r="I202" s="50"/>
      <c r="J202" s="50"/>
      <c r="K202" s="50"/>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s="13" customFormat="1" x14ac:dyDescent="0.25">
      <c r="A203" s="1326"/>
      <c r="B203" s="50"/>
      <c r="C203" s="50"/>
      <c r="D203" s="50"/>
      <c r="E203" s="1904"/>
      <c r="F203" s="1903" t="str">
        <f ca="1">IF(AND(MONTH(TODAY())&gt;3,E202&lt;&gt;YEAR(TODAY())),"Счета давно не выставляются","")</f>
        <v/>
      </c>
      <c r="G203" s="50"/>
      <c r="H203" s="50"/>
      <c r="I203" s="50"/>
      <c r="J203" s="50"/>
      <c r="K203" s="50"/>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s="13" customFormat="1" ht="22.5" customHeight="1" x14ac:dyDescent="0.25">
      <c r="A204" s="1326"/>
      <c r="B204" s="50"/>
      <c r="C204" s="50"/>
      <c r="D204" s="2005" t="s">
        <v>2478</v>
      </c>
      <c r="E204" s="2006"/>
      <c r="F204" s="1905"/>
      <c r="G204" s="50"/>
      <c r="H204" s="50"/>
      <c r="I204" s="50"/>
      <c r="J204" s="50"/>
      <c r="K204" s="50"/>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s="13" customFormat="1" ht="22.5" customHeight="1" x14ac:dyDescent="0.25">
      <c r="A205" s="1326"/>
      <c r="B205" s="1326"/>
      <c r="C205" s="1907" t="s">
        <v>1715</v>
      </c>
      <c r="D205" s="1906" t="s">
        <v>1716</v>
      </c>
      <c r="E205" s="1906" t="s">
        <v>1717</v>
      </c>
      <c r="F205" s="50"/>
      <c r="G205" s="50"/>
      <c r="H205" s="50"/>
      <c r="I205" s="50"/>
      <c r="J205" s="50"/>
      <c r="K205" s="50"/>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s="13" customFormat="1" ht="22.5" customHeight="1" x14ac:dyDescent="0.25">
      <c r="A206" s="1326"/>
      <c r="B206" s="1328">
        <f>B202+1</f>
        <v>119</v>
      </c>
      <c r="C206" s="1900" t="str">
        <f>CONCATENATE(E202-2,"/",E202-1," гг. ")</f>
        <v xml:space="preserve">2017/2018 гг. </v>
      </c>
      <c r="D206" s="1898" t="s">
        <v>1714</v>
      </c>
      <c r="E206" s="1894"/>
      <c r="F206" s="1924" t="str">
        <f>IFERROR(IF(
                AND(NOT(ISBLANK(E206)),NOT(MONTH(DATEVALUE(D202&amp;" "&amp;E202))&lt;7)),
                "Можно не заполнять окончание отопительного сезона "&amp;CONCATENATE(E202-2,"/",E202-1," гг.")&amp;", если оно состоялось раньше, чем за год до последнего счета!",
IF(AND(E206=0,MONTH(E207+10+N("10 дней про запас на всякий случай"))&gt;=MONTH(datebill)),"Окончание отопительного сезона "&amp;CONCATENATE(E202-2,"/",E202-1," гг. не указано!"),"")),"")</f>
        <v/>
      </c>
      <c r="G206" s="1925"/>
      <c r="H206" s="1925"/>
      <c r="I206" s="1925"/>
      <c r="J206" s="1925"/>
      <c r="K206" s="1925"/>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s="13" customFormat="1" ht="22.5" customHeight="1" x14ac:dyDescent="0.25">
      <c r="A207" s="1326"/>
      <c r="B207" s="1328">
        <f>B206+1</f>
        <v>120</v>
      </c>
      <c r="C207" s="1900" t="str">
        <f>CONCATENATE(E202-1,"/",E202," гг. ")</f>
        <v xml:space="preserve">2018/2019 гг. </v>
      </c>
      <c r="D207" s="1897"/>
      <c r="E207" s="1897"/>
      <c r="F207" s="1908"/>
      <c r="G207" s="1909"/>
      <c r="H207" s="1909"/>
      <c r="I207" s="1909"/>
      <c r="J207" s="1909"/>
      <c r="K207" s="1909"/>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s="13" customFormat="1" ht="22.5" customHeight="1" x14ac:dyDescent="0.25">
      <c r="A208" s="1326"/>
      <c r="B208" s="1328">
        <f>B207+1</f>
        <v>121</v>
      </c>
      <c r="C208" s="1896" t="str">
        <f>CONCATENATE(E202,"/",E202+1," гг.* ")</f>
        <v xml:space="preserve">2019/2020 гг.* </v>
      </c>
      <c r="D208" s="1894"/>
      <c r="E208" s="1898" t="s">
        <v>1714</v>
      </c>
      <c r="F208" s="1924" t="str">
        <f ca="1">IFERROR(IF(OR(
                AND(NOT(ISBLANK(D208)),MONTH(datebill)&lt;7),
                D208-10&gt;datebill),
                "Можно не заполнять начало отопительного сезона "&amp;CONCATENATE(E202,"/",E202+1," гг.")&amp;", если оно позже, чем месяц последнего счета!",
IF(AND(D208=0,MONTH(D207-10+N("10 дней про запас на всякий случай"))&lt;=MONTH(datebill),EDATE(datebill+1,1)&lt;TODAY()),"Начало отопительного сезона "&amp;CONCATENATE(E202,"/",E202+1," гг. не указано!"),"")),"")</f>
        <v/>
      </c>
      <c r="G208" s="1926"/>
      <c r="H208" s="1926"/>
      <c r="I208" s="1926"/>
      <c r="J208" s="1926"/>
      <c r="K208" s="1926"/>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s="13" customFormat="1" ht="22.5" customHeight="1" x14ac:dyDescent="0.25">
      <c r="A209" s="1326"/>
      <c r="B209" s="1326"/>
      <c r="C209" s="1896" t="s">
        <v>1976</v>
      </c>
      <c r="D209" s="2026">
        <f ca="1">SUM(I273:I284)</f>
        <v>0</v>
      </c>
      <c r="E209" s="2027"/>
      <c r="F209" s="1895" t="str">
        <f>IF(YEAR(datebill)&lt;&gt;E202,"",IFERROR(IF(OR(J276-I276&lt;D127,J277-I277&lt;D128,J278-I278&lt;D129,J279-I279&lt;D130,J280-I280&lt;D131,J281-I281&lt;D132),"Ошибка! Отопительный сезон пересекается с периодом планового прекращения подачи горячей воды!",""),""))</f>
        <v/>
      </c>
      <c r="G209" s="50"/>
      <c r="H209" s="50"/>
      <c r="I209" s="50"/>
      <c r="J209" s="50"/>
      <c r="K209" s="50"/>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s="13" customFormat="1" ht="15" customHeight="1" x14ac:dyDescent="0.25">
      <c r="A210" s="1326"/>
      <c r="B210" s="1326"/>
      <c r="C210" s="50"/>
      <c r="D210" s="1802" t="str">
        <f>IF(OR(YEAR(E207)&lt;&gt;E202,YEAR(D207)&lt;&gt;E202-1,E207&lt;D207,AND(IFERROR(MONTH(DATEVALUE(D202&amp;" "&amp;E202))&lt;7,FALSE),YEAR(E206)&lt;&gt;E202-1,E206&gt;D207),AND(NOT(ISBLANK(D208)),YEAR(D208)&lt;&gt;E202)),"Введите корректные даты отопительного периода! ","")</f>
        <v xml:space="preserve">Введите корректные даты отопительного периода! </v>
      </c>
      <c r="E210" s="1901" t="str">
        <f ca="1">IFERROR(
        IF(AND(D209&gt;0,'Расчет базового уровня'!D148&gt;0),
        IF(OR(
             D209&lt;0.8*'Расчет базового уровня'!D148,
             D209&gt;1.2*'Расчет базового уровня'!D148),
                "Продолжительность сильно отличается от норматива, проверьте даты!",""),""),"")</f>
        <v/>
      </c>
      <c r="F210" s="50"/>
      <c r="G210" s="50"/>
      <c r="H210" s="14"/>
      <c r="I210" s="1695"/>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s="13" customFormat="1" x14ac:dyDescent="0.25">
      <c r="A211" s="1326"/>
      <c r="B211" s="1328"/>
      <c r="C211" s="1892" t="s">
        <v>1369</v>
      </c>
      <c r="D211" s="1893">
        <f>IF(E207="",E206,E207)</f>
        <v>0</v>
      </c>
      <c r="E211" s="50"/>
      <c r="F211" s="50"/>
      <c r="G211" s="50"/>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s="13" customFormat="1" ht="15.75" thickBot="1" x14ac:dyDescent="0.3">
      <c r="A212" s="1326"/>
      <c r="B212" s="1326"/>
      <c r="C212" s="50"/>
      <c r="D212" s="50"/>
      <c r="E212" s="50"/>
      <c r="F212" s="50"/>
      <c r="G212" s="50"/>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s="13" customFormat="1" ht="26.25" customHeight="1" thickBot="1" x14ac:dyDescent="0.3">
      <c r="A213" s="1326"/>
      <c r="B213" s="1327">
        <f>6/8</f>
        <v>0.75</v>
      </c>
      <c r="C213" s="2002" t="s">
        <v>2489</v>
      </c>
      <c r="D213" s="2002"/>
      <c r="E213" s="2002"/>
      <c r="F213" s="2002"/>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s="7" customFormat="1" ht="44.25" customHeight="1" x14ac:dyDescent="0.25">
      <c r="A214" s="1326"/>
      <c r="B214" s="1326"/>
      <c r="C214" s="8"/>
      <c r="D214" s="8"/>
      <c r="E214" s="8"/>
      <c r="F214" s="8"/>
      <c r="G214" s="8"/>
      <c r="H214" s="8"/>
      <c r="I214" s="8"/>
      <c r="J214" s="8"/>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s="7" customFormat="1" ht="18" customHeight="1" x14ac:dyDescent="0.25">
      <c r="A215" s="1326"/>
      <c r="B215" s="1326"/>
      <c r="C215" s="1801" t="s">
        <v>2463</v>
      </c>
      <c r="D215" s="2015" t="s">
        <v>1968</v>
      </c>
      <c r="E215" s="2016"/>
      <c r="F215" s="2017"/>
      <c r="G215" s="50"/>
      <c r="H215" s="50"/>
      <c r="I215" s="2003" t="s">
        <v>1459</v>
      </c>
      <c r="J215" s="2003"/>
      <c r="K215" s="2003"/>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s="7" customFormat="1" ht="41.25" x14ac:dyDescent="0.25">
      <c r="A216" s="1326"/>
      <c r="B216" s="1326"/>
      <c r="C216" s="1803" t="s">
        <v>2467</v>
      </c>
      <c r="D216" s="1263" t="s">
        <v>2466</v>
      </c>
      <c r="E216" s="1263" t="s">
        <v>2465</v>
      </c>
      <c r="F216" s="1263" t="s">
        <v>2464</v>
      </c>
      <c r="G216" s="50"/>
      <c r="H216" s="50"/>
      <c r="I216" s="1836" t="s">
        <v>2416</v>
      </c>
      <c r="J216" s="1836" t="s">
        <v>982</v>
      </c>
      <c r="K216" s="1836" t="s">
        <v>983</v>
      </c>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s="7" customFormat="1" ht="15" customHeight="1" x14ac:dyDescent="0.25">
      <c r="A217" s="1326"/>
      <c r="B217" s="1328">
        <f>B208+1</f>
        <v>122</v>
      </c>
      <c r="C217" s="1790" t="str">
        <f>INDEX(months12,1)&amp;IFERROR(IF(DATEVALUE("1 "&amp;INDEX(months12,1)&amp;" "&amp;E$202)&lt;=DATEVALUE("1 "&amp;D$202&amp;" "&amp;E$202)," "&amp;E$202," "&amp;E$202-1),"")</f>
        <v>январь</v>
      </c>
      <c r="D217" s="1852"/>
      <c r="E217" s="1852"/>
      <c r="F217" s="1852"/>
      <c r="G217" s="1988" t="str">
        <f>IF(AND(F223=0,E223=0,D223&gt;1.3*(F242*(1+IF(списки!$B$59=списки!$Y$54,'Расчет базового уровня'!$D$178,0))*(списки!$C$59-списки!$C$61)/1000+E242*списки!$C$63/1000)),
              "Расход теплоэнергии в летние месяцы сильно выше теоретического на основе введенного водоразбора!"&amp;CHAR(10)&amp;"Стоит обратиться в поддержку: expert_ekr@fondgkh.ru",
              IF(AND('Система отопления'!$B$30=1,'Система ГВС'!F3=1,OR(COUNTIF($D$217:$D$228,0)&gt;0,COUNTBLANK($D$217:$D$228)&gt;0)),
                           "Потребление ТЭ в одном или нескольких месяцах отсутствует! ",
                           IF(AND('Система отопления'!$B$30=2,ROUND(D229,0)&lt;&gt;ROUND(E229+F229,0)),
                                     "Заполните данные по потреблению теплоэнергии!"&amp;CHAR(10)&amp;"Всего, в т.ч. на отопление (и вентиляцию) и на горячее водоснабжение!",
                                      "")))</f>
        <v/>
      </c>
      <c r="H217" s="1989"/>
      <c r="I217" s="1837" t="str">
        <f>IFERROR(IF(IF(E273="",F273,G273)=0,IF(J217=0,"",J217/(IF(E273="",F273,G273)+10^-15)),J217/IF(E273="",F273,G273)),"-")</f>
        <v>-</v>
      </c>
      <c r="J217" s="1838">
        <f>ROUND(IF(AND(D217&lt;&gt;"",E217=""),D217-K217,E217),3)</f>
        <v>0</v>
      </c>
      <c r="K217" s="1839">
        <f ca="1">ROUND(IF('Система ГВС'!$F$3=2,0,IF(F217=0,(F236*(1+IF(списки!$B$59=списки!$Y$54,'Расчет базового уровня'!$D$178,0))*(списки!$C$59-M273)+E236*списки!$C$63)/1000,F217)),3)</f>
        <v>0</v>
      </c>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s="7" customFormat="1" ht="15" customHeight="1" x14ac:dyDescent="0.25">
      <c r="A218" s="1326"/>
      <c r="B218" s="1328">
        <f>B217+1</f>
        <v>123</v>
      </c>
      <c r="C218" s="1791" t="str">
        <f>INDEX(months12,2)&amp;IFERROR(IF(DATEVALUE("1 "&amp;INDEX(months12,2)&amp;" "&amp;E$202)&lt;=DATEVALUE("1 "&amp;D$202&amp;" "&amp;E$202)," "&amp;E$202," "&amp;E$202-1),"")</f>
        <v>февраль</v>
      </c>
      <c r="D218" s="1339"/>
      <c r="E218" s="1339"/>
      <c r="F218" s="1339"/>
      <c r="G218" s="1988"/>
      <c r="H218" s="1989"/>
      <c r="I218" s="1840" t="str">
        <f>IFERROR(IF(IF(E274="",F274,G274)=0,IF(J218=0,"",J218/(IF(E274="",F274,G274)+10^-15)),J218/IF(E274="",F274,G274)),"-")</f>
        <v>-</v>
      </c>
      <c r="J218" s="1841">
        <f t="shared" ref="J218:J228" si="9">ROUND(IF(AND(D218&lt;&gt;"",E218=""),D218-K218,E218),3)</f>
        <v>0</v>
      </c>
      <c r="K218" s="1842">
        <f ca="1">ROUND(IF('Система ГВС'!$F$3=2,0,IF(F218=0,(F237*(1+IF(списки!$B$59=списки!$Y$54,'Расчет базового уровня'!$D$178,0))*(списки!$C$59-M274)+E237*списки!$C$63)/1000,F218)),3)</f>
        <v>0</v>
      </c>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s="7" customFormat="1" ht="15" customHeight="1" x14ac:dyDescent="0.25">
      <c r="A219" s="1326"/>
      <c r="B219" s="1328">
        <f t="shared" ref="B219:B228" si="10">B218+1</f>
        <v>124</v>
      </c>
      <c r="C219" s="1791" t="str">
        <f>INDEX(months12,3)&amp;IFERROR(IF(DATEVALUE("1 "&amp;INDEX(months12,3)&amp;" "&amp;E$202)&lt;=DATEVALUE("1 "&amp;D$202&amp;" "&amp;E$202)," "&amp;E$202," "&amp;E$202-1),"")</f>
        <v>март</v>
      </c>
      <c r="D219" s="1339"/>
      <c r="E219" s="1339"/>
      <c r="F219" s="1339"/>
      <c r="G219" s="1988"/>
      <c r="H219" s="1989"/>
      <c r="I219" s="1840" t="str">
        <f t="shared" ref="I219:I229" si="11">IFERROR(IF(IF(E275="",F275,G275)=0,IF(J219=0,"",J219/(IF(E275="",F275,G275)+10^-15)),J219/IF(E275="",F275,G275)),"-")</f>
        <v>-</v>
      </c>
      <c r="J219" s="1841">
        <f t="shared" si="9"/>
        <v>0</v>
      </c>
      <c r="K219" s="1842">
        <f ca="1">ROUND(IF('Система ГВС'!$F$3=2,0,IF(F219=0,(F238*(1+IF(списки!$B$59=списки!$Y$54,'Расчет базового уровня'!$D$178,0))*(списки!$C$59-M275)+E238*списки!$C$63)/1000,F219)),3)</f>
        <v>0</v>
      </c>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s="7" customFormat="1" ht="15" customHeight="1" x14ac:dyDescent="0.25">
      <c r="A220" s="1326"/>
      <c r="B220" s="1328">
        <f t="shared" si="10"/>
        <v>125</v>
      </c>
      <c r="C220" s="1791" t="str">
        <f>INDEX(months12,4)&amp;IFERROR(IF(DATEVALUE("1 "&amp;INDEX(months12,4)&amp;" "&amp;E$202)&lt;=DATEVALUE("1 "&amp;D$202&amp;" "&amp;E$202)," "&amp;E$202," "&amp;E$202-1),"")</f>
        <v>апрель</v>
      </c>
      <c r="D220" s="1339"/>
      <c r="E220" s="1339"/>
      <c r="F220" s="1339"/>
      <c r="G220" s="1988"/>
      <c r="H220" s="1989"/>
      <c r="I220" s="1840" t="str">
        <f t="shared" si="11"/>
        <v>-</v>
      </c>
      <c r="J220" s="1841">
        <f t="shared" si="9"/>
        <v>0</v>
      </c>
      <c r="K220" s="1842">
        <f ca="1">ROUND(IF('Система ГВС'!$F$3=2,0,IF(F220=0,(F239*(1+IF(списки!$B$59=списки!$Y$54,'Расчет базового уровня'!$D$178,0))*(списки!$C$59-M276)+E239*списки!$C$63)/1000,F220)),3)</f>
        <v>0</v>
      </c>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s="7" customFormat="1" ht="15" customHeight="1" x14ac:dyDescent="0.25">
      <c r="A221" s="1326"/>
      <c r="B221" s="1328">
        <f t="shared" si="10"/>
        <v>126</v>
      </c>
      <c r="C221" s="1791" t="str">
        <f>INDEX(months12,5)&amp;IFERROR(IF(DATEVALUE("1 "&amp;INDEX(months12,5)&amp;" "&amp;E$202)&lt;=DATEVALUE("1 "&amp;D$202&amp;" "&amp;E$202)," "&amp;E$202," "&amp;E$202-1),"")</f>
        <v>май</v>
      </c>
      <c r="D221" s="1339"/>
      <c r="E221" s="1339"/>
      <c r="F221" s="1339"/>
      <c r="G221" s="1988"/>
      <c r="H221" s="1989"/>
      <c r="I221" s="1840" t="str">
        <f t="shared" si="11"/>
        <v>-</v>
      </c>
      <c r="J221" s="1841">
        <f t="shared" si="9"/>
        <v>0</v>
      </c>
      <c r="K221" s="1842">
        <f ca="1">ROUND(IF('Система ГВС'!$F$3=2,0,IF(F221=0,(F240*(1+IF(списки!$B$59=списки!$Y$54,'Расчет базового уровня'!$D$178,0))*(списки!$C$59-M277)+E240*списки!$C$63)/1000,F221)),3)</f>
        <v>0</v>
      </c>
      <c r="L221" s="1428">
        <f>IF(AND(F221=0,SUM(E221)=0,D221&lt;&gt;"",D221&lt;&gt;0,OR(D221&gt;1.2*((F240*(1+IF(списки!$B$59=INDEX(TempWat,1),'Расчет базового уровня'!$D$178,0))*(списки!$C$59-списки!$C$61)/1000+E240*списки!$C$63/1000)),D221&lt;0.8*((F240*(1+IF(списки!$B$59=INDEX(TempWat,1),'Расчет базового уровня'!$D$178,0))*(списки!$C$59-списки!$C$61)/1000+E240*списки!$C$63/1000)))),1,0)</f>
        <v>0</v>
      </c>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s="7" customFormat="1" ht="15" customHeight="1" x14ac:dyDescent="0.25">
      <c r="A222" s="1326"/>
      <c r="B222" s="1328">
        <f t="shared" si="10"/>
        <v>127</v>
      </c>
      <c r="C222" s="1791" t="str">
        <f>INDEX(months12,6)&amp;IFERROR(IF(DATEVALUE("1 "&amp;INDEX(months12,6)&amp;" "&amp;E$202)&lt;=DATEVALUE("1 "&amp;D$202&amp;" "&amp;E$202)," "&amp;E$202," "&amp;E$202-1),"")</f>
        <v>июнь</v>
      </c>
      <c r="D222" s="1339"/>
      <c r="E222" s="1339"/>
      <c r="F222" s="1339"/>
      <c r="G222" s="1988"/>
      <c r="H222" s="1989"/>
      <c r="I222" s="1840" t="str">
        <f t="shared" si="11"/>
        <v>-</v>
      </c>
      <c r="J222" s="1841">
        <f t="shared" si="9"/>
        <v>0</v>
      </c>
      <c r="K222" s="1842">
        <f ca="1">ROUND(IF('Система ГВС'!$F$3=2,0,IF(F222=0,(F241*(1+IF(списки!$B$59=списки!$Y$54,'Расчет базового уровня'!$D$178,0))*(списки!$C$59-M278)+E241*списки!$C$63)/1000,F222)),3)</f>
        <v>0</v>
      </c>
      <c r="L222" s="1428">
        <f>IF(AND(F222=0,SUM(E222)=0,D222&lt;&gt;"",D222&lt;&gt;0,OR(D222&gt;1.2*((F241*(1+IF(списки!$B$59=INDEX(TempWat,1),'Расчет базового уровня'!$D$178,0))*(списки!$C$59-списки!$C$61)/1000+E241*списки!$C$63/1000)),D222&lt;0.8*((F241*(1+IF(списки!$B$59=INDEX(TempWat,1),'Расчет базового уровня'!$D$178,0))*(списки!$C$59-списки!$C$61)/1000+E241*списки!$C$63/1000)))),1,0)</f>
        <v>0</v>
      </c>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s="7" customFormat="1" ht="15" customHeight="1" x14ac:dyDescent="0.25">
      <c r="A223" s="1326"/>
      <c r="B223" s="1328">
        <f t="shared" si="10"/>
        <v>128</v>
      </c>
      <c r="C223" s="1791" t="str">
        <f>INDEX(months12,7)&amp;IFERROR(IF(DATEVALUE("1 "&amp;INDEX(months12,7)&amp;" "&amp;E$202)&lt;=DATEVALUE("1 "&amp;D$202&amp;" "&amp;E$202)," "&amp;E$202," "&amp;E$202-1),"")</f>
        <v>июль</v>
      </c>
      <c r="D223" s="1339"/>
      <c r="E223" s="1339"/>
      <c r="F223" s="1339"/>
      <c r="G223" s="1988"/>
      <c r="H223" s="1989"/>
      <c r="I223" s="1840" t="str">
        <f t="shared" si="11"/>
        <v>-</v>
      </c>
      <c r="J223" s="1841">
        <f t="shared" si="9"/>
        <v>0</v>
      </c>
      <c r="K223" s="1842">
        <f ca="1">ROUND(IF('Система ГВС'!$F$3=2,0,IF(F223=0,(F242*(1+IF(списки!$B$59=списки!$Y$54,'Расчет базового уровня'!$D$178,0))*(списки!$C$59-M279)+E242*списки!$C$63)/1000,F223)),3)</f>
        <v>0</v>
      </c>
      <c r="L223" s="1428">
        <f>IF(AND(F223=0,SUM(E223)=0,D223&lt;&gt;"",D223&lt;&gt;0,OR(D223&gt;1.2*((F242*(1+IF(списки!$B$59=INDEX(TempWat,1),'Расчет базового уровня'!$D$178,0))*(списки!$C$59-списки!$C$61)/1000+E242*списки!$C$63/1000)),D223&lt;0.8*((F242*(1+IF(списки!$B$59=INDEX(TempWat,1),'Расчет базового уровня'!$D$178,0))*(списки!$C$59-списки!$C$61)/1000+E242*списки!$C$63/1000)))),1,0)</f>
        <v>0</v>
      </c>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s="7" customFormat="1" ht="15" customHeight="1" x14ac:dyDescent="0.25">
      <c r="A224" s="1326"/>
      <c r="B224" s="1328">
        <f t="shared" si="10"/>
        <v>129</v>
      </c>
      <c r="C224" s="1791" t="str">
        <f>INDEX(months12,8)&amp;IFERROR(IF(DATEVALUE("1 "&amp;INDEX(months12,8)&amp;" "&amp;E$202)&lt;=DATEVALUE("1 "&amp;D$202&amp;" "&amp;E$202)," "&amp;E$202," "&amp;E$202-1),"")</f>
        <v>август</v>
      </c>
      <c r="D224" s="1339"/>
      <c r="E224" s="1339"/>
      <c r="F224" s="1339"/>
      <c r="G224" s="1988"/>
      <c r="H224" s="1989"/>
      <c r="I224" s="1840" t="str">
        <f t="shared" si="11"/>
        <v>-</v>
      </c>
      <c r="J224" s="1841">
        <f t="shared" si="9"/>
        <v>0</v>
      </c>
      <c r="K224" s="1842">
        <f ca="1">ROUND(IF('Система ГВС'!$F$3=2,0,IF(F224=0,(F243*(1+IF(списки!$B$59=списки!$Y$54,'Расчет базового уровня'!$D$178,0))*(списки!$C$59-M280)+E243*списки!$C$63)/1000,F224)),3)</f>
        <v>0</v>
      </c>
      <c r="L224" s="1428">
        <f>IF(AND(F224=0,SUM(E224)=0,D224&lt;&gt;"",D224&lt;&gt;0,OR(D224&gt;1.2*((F243*(1+IF(списки!$B$59=INDEX(TempWat,1),'Расчет базового уровня'!$D$178,0))*(списки!$C$59-списки!$C$61)/1000+E243*списки!$C$63/1000)),D224&lt;0.8*((F243*(1+IF(списки!$B$59=INDEX(TempWat,1),'Расчет базового уровня'!$D$178,0))*(списки!$C$59-списки!$C$61)/1000+E243*списки!$C$63/1000)))),1,0)</f>
        <v>0</v>
      </c>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s="7" customFormat="1" ht="15" customHeight="1" x14ac:dyDescent="0.25">
      <c r="A225" s="1326"/>
      <c r="B225" s="1328">
        <f t="shared" si="10"/>
        <v>130</v>
      </c>
      <c r="C225" s="1791" t="str">
        <f>INDEX(months12,9)&amp;IFERROR(IF(DATEVALUE("1 "&amp;INDEX(months12,9)&amp;" "&amp;E$202)&lt;=DATEVALUE("1 "&amp;D$202&amp;" "&amp;E$202)," "&amp;E$202," "&amp;E$202-1),"")</f>
        <v>сентябрь</v>
      </c>
      <c r="D225" s="1339"/>
      <c r="E225" s="1339"/>
      <c r="F225" s="1339"/>
      <c r="G225" s="1988"/>
      <c r="H225" s="1989"/>
      <c r="I225" s="1840" t="str">
        <f t="shared" si="11"/>
        <v>-</v>
      </c>
      <c r="J225" s="1841">
        <f t="shared" si="9"/>
        <v>0</v>
      </c>
      <c r="K225" s="1842">
        <f ca="1">ROUND(IF('Система ГВС'!$F$3=2,0,IF(F225=0,(F244*(1+IF(списки!$B$59=списки!$Y$54,'Расчет базового уровня'!$D$178,0))*(списки!$C$59-M281)+E244*списки!$C$63)/1000,F225)),3)</f>
        <v>0</v>
      </c>
      <c r="L225" s="1428"/>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s="7" customFormat="1" ht="15" customHeight="1" x14ac:dyDescent="0.25">
      <c r="A226" s="1326"/>
      <c r="B226" s="1328">
        <f t="shared" si="10"/>
        <v>131</v>
      </c>
      <c r="C226" s="1791" t="str">
        <f>INDEX(months12,10)&amp;IFERROR(IF(DATEVALUE("1 "&amp;INDEX(months12,10)&amp;" "&amp;E$202)&lt;=DATEVALUE("1 "&amp;D$202&amp;" "&amp;E$202)," "&amp;E$202," "&amp;E$202-1),"")</f>
        <v>октябрь</v>
      </c>
      <c r="D226" s="1339"/>
      <c r="E226" s="1339"/>
      <c r="F226" s="1339"/>
      <c r="G226" s="1988"/>
      <c r="H226" s="1989"/>
      <c r="I226" s="1840" t="str">
        <f t="shared" si="11"/>
        <v>-</v>
      </c>
      <c r="J226" s="1841">
        <f t="shared" si="9"/>
        <v>0</v>
      </c>
      <c r="K226" s="1842">
        <f ca="1">ROUND(IF('Система ГВС'!$F$3=2,0,IF(F226=0,(F245*(1+IF(списки!$B$59=списки!$Y$54,'Расчет базового уровня'!$D$178,0))*(списки!$C$59-M282)+E245*списки!$C$63)/1000,F226)),3)</f>
        <v>0</v>
      </c>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s="7" customFormat="1" ht="15" customHeight="1" x14ac:dyDescent="0.25">
      <c r="A227" s="1326"/>
      <c r="B227" s="1328">
        <f t="shared" si="10"/>
        <v>132</v>
      </c>
      <c r="C227" s="1791" t="str">
        <f>INDEX(months12,11)&amp;IFERROR(IF(DATEVALUE("1 "&amp;INDEX(months12,11)&amp;" "&amp;E$202)&lt;=DATEVALUE("1 "&amp;D$202&amp;" "&amp;E$202)," "&amp;E$202," "&amp;E$202-1),"")</f>
        <v>ноябрь</v>
      </c>
      <c r="D227" s="1339"/>
      <c r="E227" s="1339"/>
      <c r="F227" s="1339"/>
      <c r="G227" s="1988"/>
      <c r="H227" s="1989"/>
      <c r="I227" s="1840" t="str">
        <f t="shared" si="11"/>
        <v>-</v>
      </c>
      <c r="J227" s="1841">
        <f t="shared" si="9"/>
        <v>0</v>
      </c>
      <c r="K227" s="1842">
        <f ca="1">ROUND(IF('Система ГВС'!$F$3=2,0,IF(F227=0,(F246*(1+IF(списки!$B$59=списки!$Y$54,'Расчет базового уровня'!$D$178,0))*(списки!$C$59-M283)+E246*списки!$C$63)/1000,F227)),3)</f>
        <v>0</v>
      </c>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s="7" customFormat="1" ht="15" customHeight="1" x14ac:dyDescent="0.25">
      <c r="A228" s="1326"/>
      <c r="B228" s="1328">
        <f t="shared" si="10"/>
        <v>133</v>
      </c>
      <c r="C228" s="1792" t="str">
        <f>INDEX(months12,12)&amp;IFERROR(IF(DATEVALUE("1 "&amp;INDEX(months12,12)&amp;" "&amp;E$202)&lt;=DATEVALUE("1 "&amp;D$202&amp;" "&amp;E$202)," "&amp;E$202," "&amp;E$202-1),"")</f>
        <v>декабрь</v>
      </c>
      <c r="D228" s="1853"/>
      <c r="E228" s="1853"/>
      <c r="F228" s="1853"/>
      <c r="G228" s="1988"/>
      <c r="H228" s="1989"/>
      <c r="I228" s="1843" t="str">
        <f t="shared" si="11"/>
        <v>-</v>
      </c>
      <c r="J228" s="1844">
        <f t="shared" si="9"/>
        <v>0</v>
      </c>
      <c r="K228" s="1845">
        <f ca="1">ROUND(IF('Система ГВС'!$F$3=2,0,IF(F228=0,(F247*(1+IF(списки!$B$59=списки!$Y$54,'Расчет базового уровня'!$D$178,0))*(списки!$C$59-M284)+E247*списки!$C$63)/1000,F228)),3)</f>
        <v>0</v>
      </c>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s="7" customFormat="1" ht="15" customHeight="1" x14ac:dyDescent="0.25">
      <c r="A229" s="1326"/>
      <c r="B229" s="1326"/>
      <c r="C229" s="1264" t="s">
        <v>984</v>
      </c>
      <c r="D229" s="1928">
        <f>SUM(D217:D228)</f>
        <v>0</v>
      </c>
      <c r="E229" s="1927">
        <f>SUM(E217:E228)</f>
        <v>0</v>
      </c>
      <c r="F229" s="1928">
        <f>SUM(F217:F228)</f>
        <v>0</v>
      </c>
      <c r="G229" s="50"/>
      <c r="H229" s="50"/>
      <c r="I229" s="1846" t="str">
        <f t="shared" ca="1" si="11"/>
        <v>-</v>
      </c>
      <c r="J229" s="1847">
        <f ca="1">IF(E229=0,D229-K229,E229)</f>
        <v>0</v>
      </c>
      <c r="K229" s="1847">
        <f ca="1">ROUND(SUM(K217:K228),3)</f>
        <v>0</v>
      </c>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s="7" customFormat="1" x14ac:dyDescent="0.25">
      <c r="A230" s="1326"/>
      <c r="B230" s="1326"/>
      <c r="C230" s="8"/>
      <c r="D230" s="8"/>
      <c r="E230" s="8"/>
      <c r="F230" s="1246">
        <f>F248*55*1.3</f>
        <v>0</v>
      </c>
      <c r="G230" s="8"/>
      <c r="H230" s="8"/>
      <c r="I230" s="8"/>
      <c r="J230" s="8"/>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s="7" customFormat="1" x14ac:dyDescent="0.25">
      <c r="A231" s="1326"/>
      <c r="B231" s="1326"/>
      <c r="C231" s="8"/>
      <c r="D231" s="8"/>
      <c r="E231" s="8"/>
      <c r="F231" s="15" t="str">
        <f>IFERROR(IF(AVEDEV(F217:F228)/AVERAGE(F217:F228)&gt;=0.3,"Проверьте данные, слишком нестабильно",""),"")</f>
        <v/>
      </c>
      <c r="G231" s="8"/>
      <c r="H231" s="8"/>
      <c r="I231" s="8"/>
      <c r="J231" s="8"/>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s="7" customFormat="1" ht="18.75" x14ac:dyDescent="0.3">
      <c r="A232" s="1326"/>
      <c r="B232" s="1326"/>
      <c r="C232" s="2014" t="str">
        <f>IF('Система ГВС'!F3=2,"Таблицу ниже можно не заполнять, т.к. в поле 70 выбрана децентрализованная система ГВС","")</f>
        <v/>
      </c>
      <c r="D232" s="2014"/>
      <c r="E232" s="2014"/>
      <c r="F232" s="2014"/>
      <c r="G232" s="8"/>
      <c r="H232" s="8"/>
      <c r="I232" s="8"/>
      <c r="J232" s="8"/>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s="7" customFormat="1" ht="25.5" customHeight="1" x14ac:dyDescent="0.25">
      <c r="A233" s="1326"/>
      <c r="B233" s="1326"/>
      <c r="C233" s="2002" t="s">
        <v>2490</v>
      </c>
      <c r="D233" s="2002"/>
      <c r="E233" s="2002"/>
      <c r="F233" s="2002"/>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s="7" customFormat="1" ht="16.5" customHeight="1" x14ac:dyDescent="0.25">
      <c r="A234" s="1326"/>
      <c r="B234" s="1326"/>
      <c r="C234" s="2019" t="s">
        <v>2463</v>
      </c>
      <c r="D234" s="1991" t="s">
        <v>985</v>
      </c>
      <c r="E234" s="1992"/>
      <c r="F234" s="1993"/>
      <c r="G234" s="8"/>
      <c r="H234" s="14"/>
      <c r="I234" s="14"/>
      <c r="J234" s="8"/>
      <c r="K234" s="8"/>
      <c r="L234" s="8"/>
      <c r="M234" s="8"/>
      <c r="N234" s="8"/>
      <c r="O234" s="14"/>
      <c r="P234" s="14"/>
      <c r="Q234" s="14"/>
      <c r="R234" s="14"/>
      <c r="S234" s="14"/>
      <c r="T234" s="14"/>
      <c r="U234" s="14"/>
      <c r="V234" s="14"/>
      <c r="W234" s="14"/>
      <c r="X234" s="14"/>
      <c r="Y234" s="14"/>
      <c r="Z234" s="14"/>
      <c r="AA234" s="14"/>
      <c r="AB234" s="14"/>
      <c r="AC234" s="14"/>
      <c r="AD234" s="14"/>
      <c r="AE234" s="14"/>
      <c r="AF234" s="14"/>
      <c r="AG234" s="14"/>
      <c r="AH234" s="14"/>
    </row>
    <row r="235" spans="1:34" s="7" customFormat="1" ht="49.5" x14ac:dyDescent="0.25">
      <c r="A235" s="1326"/>
      <c r="B235" s="1326"/>
      <c r="C235" s="2019"/>
      <c r="D235" s="1875" t="s">
        <v>2133</v>
      </c>
      <c r="E235" s="1263" t="s">
        <v>2134</v>
      </c>
      <c r="F235" s="1263" t="s">
        <v>2135</v>
      </c>
      <c r="G235" s="2012" t="str">
        <f>IF(SUM(L220:L227)&gt;=1,"Расход ТЭ в летние месяцы сильно отличается от теоретического на основе введенного водоразбора! Стоит обратиться в поддержку: expert_ekr@fondgkh.ru","")</f>
        <v/>
      </c>
      <c r="H235" s="2013"/>
      <c r="I235" s="2013"/>
      <c r="J235" s="2013"/>
      <c r="K235" s="2013"/>
      <c r="L235" s="8"/>
      <c r="M235" s="8"/>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s="7" customFormat="1" ht="15" customHeight="1" x14ac:dyDescent="0.25">
      <c r="A236" s="1326"/>
      <c r="B236" s="1328">
        <f>B228+1</f>
        <v>134</v>
      </c>
      <c r="C236" s="1265" t="str">
        <f>INDEX(months12,1)&amp;IFERROR(IF(DATEVALUE("1 "&amp;INDEX(months12,1)&amp;" "&amp;E$202)&lt;=DATEVALUE("1 "&amp;D$202&amp;" "&amp;E$202)," "&amp;E$202," "&amp;E$202-1),"")</f>
        <v>январь</v>
      </c>
      <c r="D236" s="1852"/>
      <c r="E236" s="1852"/>
      <c r="F236" s="1852"/>
      <c r="G236" s="2000" t="str">
        <f>IFERROR(
             IF(AND('Система ГВС'!F3=1,$F$248/SUM(J273:J284)/$D$22*1000&lt;0.85*SUMPRODUCT('Система ГВС'!$D$5:$D$9,'Система ГВС'!$E$5:$E$9)*(1-0.4*$D$21/$D$20)),
                         CONCATENATE("Средний на человека расход воды в сутки ниже норматива по СП 30.13330 «СНиП 2.04.01.85*» на ",ROUND(L236/L237,2)*100-100,"%!",CHAR(10),CHAR(10),
                                               "Проверьте, правильно ли введено количество жителей, объем водоразбора по месяцам и параметры системы  ГВС.",CHAR(10),CHAR(10),"Если это не поможет, возможно, информация о числе жителей некорректна, либо часть из них регулярно отсутствует."),
             IF(AND('Система ГВС'!F3=1,$F$248/SUM(J273:J284)/$D$22*1000&gt;1.1*SUMPRODUCT('Система ГВС'!$D$5:$D$9,'Система ГВС'!$E$5:$E$9)*(1-0.4*$D$21/$D$20)),
                         CONCATENATE("Средний на человека расход воды в сутки выше норматива по СП 30.13330 «СНиП 2.04.01.85*» на ",ROUND(L236/L237,2)*100-100,"%!",CHAR(10),CHAR(10),
                                              "Проверьте, правильно ли введено количество жителей, объем водоразбора по месяцам и параметры системы ГВС.",CHAR(10),CHAR(10),"Если это не поможет, возможно, информация о числе жителей некорректна."),"")),"")</f>
        <v/>
      </c>
      <c r="H236" s="2001"/>
      <c r="I236" s="2022" t="str">
        <f>IF(AND(F229&lt;&gt;"",F248*55*('Расчет базового уровня'!D178+1)/1000+E248*списки!C63/1000&lt;0.85*F229),
               "Вероятен перегрев горячей воды!"&amp;CHAR(10)&amp;CHAR(10)&amp;"Стоит обратить внимание на мероприятия:"&amp;CHAR(10)&amp;
               "1 - Установка регуляторов температуры горячей воды;"&amp;CHAR(10)&amp;
               "2 - Модернизация ИТП с установкой теплообменника ГВС;"&amp;CHAR(10)&amp;
               "3 - Установка АИТП.","")</f>
        <v/>
      </c>
      <c r="J236" s="2022"/>
      <c r="K236" s="2022"/>
      <c r="L236" s="1314" t="e">
        <f>$F$248/365/$D$22*1000</f>
        <v>#DIV/0!</v>
      </c>
      <c r="M236" s="8"/>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s="7" customFormat="1" ht="15" customHeight="1" x14ac:dyDescent="0.25">
      <c r="A237" s="1326"/>
      <c r="B237" s="1328">
        <f>B236+1</f>
        <v>135</v>
      </c>
      <c r="C237" s="1266" t="str">
        <f>INDEX(months12,2)&amp;IFERROR(IF(DATEVALUE("1 "&amp;INDEX(months12,2)&amp;" "&amp;E$202)&lt;=DATEVALUE("1 "&amp;D$202&amp;" "&amp;E$202)," "&amp;E$202," "&amp;E$202-1),"")</f>
        <v>февраль</v>
      </c>
      <c r="D237" s="1339"/>
      <c r="E237" s="1339"/>
      <c r="F237" s="1339"/>
      <c r="G237" s="2000"/>
      <c r="H237" s="2001"/>
      <c r="I237" s="2022"/>
      <c r="J237" s="2022"/>
      <c r="K237" s="2022"/>
      <c r="L237" s="1314" t="e">
        <f>SUMPRODUCT('Система ГВС'!$D$5:$D$9,'Система ГВС'!$E$5:$E$9)*(1-0.4*$D$21/$D$20)</f>
        <v>#DIV/0!</v>
      </c>
      <c r="M237" s="8"/>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s="7" customFormat="1" ht="15" customHeight="1" x14ac:dyDescent="0.25">
      <c r="A238" s="1326"/>
      <c r="B238" s="1328">
        <f t="shared" ref="B238:B247" si="12">B237+1</f>
        <v>136</v>
      </c>
      <c r="C238" s="1266" t="str">
        <f>INDEX(months12,3)&amp;IFERROR(IF(DATEVALUE("1 "&amp;INDEX(months12,3)&amp;" "&amp;E$202)&lt;=DATEVALUE("1 "&amp;D$202&amp;" "&amp;E$202)," "&amp;E$202," "&amp;E$202-1),"")</f>
        <v>март</v>
      </c>
      <c r="D238" s="1339"/>
      <c r="E238" s="1339"/>
      <c r="F238" s="1339"/>
      <c r="G238" s="2000"/>
      <c r="H238" s="2001"/>
      <c r="I238" s="2022"/>
      <c r="J238" s="2022"/>
      <c r="K238" s="2022"/>
      <c r="L238" s="8"/>
      <c r="M238" s="8"/>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s="7" customFormat="1" ht="15" customHeight="1" x14ac:dyDescent="0.25">
      <c r="A239" s="1326"/>
      <c r="B239" s="1328">
        <f t="shared" si="12"/>
        <v>137</v>
      </c>
      <c r="C239" s="1266" t="str">
        <f>INDEX(months12,4)&amp;IFERROR(IF(DATEVALUE("1 "&amp;INDEX(months12,4)&amp;" "&amp;E$202)&lt;=DATEVALUE("1 "&amp;D$202&amp;" "&amp;E$202)," "&amp;E$202," "&amp;E$202-1),"")</f>
        <v>апрель</v>
      </c>
      <c r="D239" s="1339"/>
      <c r="E239" s="1339"/>
      <c r="F239" s="1339"/>
      <c r="G239" s="2000"/>
      <c r="H239" s="2001"/>
      <c r="I239" s="2022"/>
      <c r="J239" s="2022"/>
      <c r="K239" s="2022"/>
      <c r="L239" s="8"/>
      <c r="M239" s="8"/>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s="7" customFormat="1" ht="15" customHeight="1" x14ac:dyDescent="0.25">
      <c r="A240" s="1326"/>
      <c r="B240" s="1328">
        <f t="shared" si="12"/>
        <v>138</v>
      </c>
      <c r="C240" s="1266" t="str">
        <f>INDEX(months12,5)&amp;IFERROR(IF(DATEVALUE("1 "&amp;INDEX(months12,5)&amp;" "&amp;E$202)&lt;=DATEVALUE("1 "&amp;D$202&amp;" "&amp;E$202)," "&amp;E$202," "&amp;E$202-1),"")</f>
        <v>май</v>
      </c>
      <c r="D240" s="1339"/>
      <c r="E240" s="1339"/>
      <c r="F240" s="1339"/>
      <c r="G240" s="2000"/>
      <c r="H240" s="2001"/>
      <c r="I240" s="2022"/>
      <c r="J240" s="2022"/>
      <c r="K240" s="2022"/>
      <c r="L240" s="8"/>
      <c r="M240" s="8"/>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s="7" customFormat="1" ht="15" customHeight="1" x14ac:dyDescent="0.25">
      <c r="A241" s="1326"/>
      <c r="B241" s="1328">
        <f t="shared" si="12"/>
        <v>139</v>
      </c>
      <c r="C241" s="1266" t="str">
        <f>INDEX(months12,6)&amp;IFERROR(IF(DATEVALUE("1 "&amp;INDEX(months12,6)&amp;" "&amp;E$202)&lt;=DATEVALUE("1 "&amp;D$202&amp;" "&amp;E$202)," "&amp;E$202," "&amp;E$202-1),"")</f>
        <v>июнь</v>
      </c>
      <c r="D241" s="1339"/>
      <c r="E241" s="1339"/>
      <c r="F241" s="1339"/>
      <c r="G241" s="2000"/>
      <c r="H241" s="2001"/>
      <c r="I241" s="2022"/>
      <c r="J241" s="2022"/>
      <c r="K241" s="2022"/>
      <c r="L241" s="8"/>
      <c r="M241" s="8"/>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s="7" customFormat="1" ht="15" customHeight="1" x14ac:dyDescent="0.25">
      <c r="A242" s="1326"/>
      <c r="B242" s="1328">
        <f t="shared" si="12"/>
        <v>140</v>
      </c>
      <c r="C242" s="1266" t="str">
        <f>INDEX(months12,7)&amp;IFERROR(IF(DATEVALUE("1 "&amp;INDEX(months12,7)&amp;" "&amp;E$202)&lt;=DATEVALUE("1 "&amp;D$202&amp;" "&amp;E$202)," "&amp;E$202," "&amp;E$202-1),"")</f>
        <v>июль</v>
      </c>
      <c r="D242" s="1339"/>
      <c r="E242" s="1339"/>
      <c r="F242" s="1339"/>
      <c r="G242" s="2000"/>
      <c r="H242" s="2001"/>
      <c r="I242" s="2022"/>
      <c r="J242" s="2022"/>
      <c r="K242" s="2022"/>
      <c r="L242" s="8"/>
      <c r="M242" s="8"/>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s="7" customFormat="1" ht="15" customHeight="1" x14ac:dyDescent="0.25">
      <c r="A243" s="1326"/>
      <c r="B243" s="1328">
        <f t="shared" si="12"/>
        <v>141</v>
      </c>
      <c r="C243" s="1266" t="str">
        <f>INDEX(months12,8)&amp;IFERROR(IF(DATEVALUE("1 "&amp;INDEX(months12,8)&amp;" "&amp;E$202)&lt;=DATEVALUE("1 "&amp;D$202&amp;" "&amp;E$202)," "&amp;E$202," "&amp;E$202-1),"")</f>
        <v>август</v>
      </c>
      <c r="D243" s="1339"/>
      <c r="E243" s="1339"/>
      <c r="F243" s="1339"/>
      <c r="G243" s="2000"/>
      <c r="H243" s="2001"/>
      <c r="I243" s="2022"/>
      <c r="J243" s="2022"/>
      <c r="K243" s="2022"/>
      <c r="L243" s="8"/>
      <c r="M243" s="8"/>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s="7" customFormat="1" ht="15" customHeight="1" x14ac:dyDescent="0.25">
      <c r="A244" s="1326"/>
      <c r="B244" s="1328">
        <f t="shared" si="12"/>
        <v>142</v>
      </c>
      <c r="C244" s="1266" t="str">
        <f>INDEX(months12,9)&amp;IFERROR(IF(DATEVALUE("1 "&amp;INDEX(months12,9)&amp;" "&amp;E$202)&lt;=DATEVALUE("1 "&amp;D$202&amp;" "&amp;E$202)," "&amp;E$202," "&amp;E$202-1),"")</f>
        <v>сентябрь</v>
      </c>
      <c r="D244" s="1339"/>
      <c r="E244" s="1339"/>
      <c r="F244" s="1339"/>
      <c r="G244" s="2000"/>
      <c r="H244" s="2001"/>
      <c r="I244" s="2022"/>
      <c r="J244" s="2022"/>
      <c r="K244" s="2022"/>
      <c r="L244" s="8"/>
      <c r="M244" s="8"/>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s="7" customFormat="1" ht="15" customHeight="1" x14ac:dyDescent="0.25">
      <c r="A245" s="1326"/>
      <c r="B245" s="1328">
        <f t="shared" si="12"/>
        <v>143</v>
      </c>
      <c r="C245" s="1266" t="str">
        <f>INDEX(months12,10)&amp;IFERROR(IF(DATEVALUE("1 "&amp;INDEX(months12,10)&amp;" "&amp;E$202)&lt;=DATEVALUE("1 "&amp;D$202&amp;" "&amp;E$202)," "&amp;E$202," "&amp;E$202-1),"")</f>
        <v>октябрь</v>
      </c>
      <c r="D245" s="1339"/>
      <c r="E245" s="1339"/>
      <c r="F245" s="1339"/>
      <c r="G245" s="2000"/>
      <c r="H245" s="2001"/>
      <c r="I245" s="2022"/>
      <c r="J245" s="2022"/>
      <c r="K245" s="2022"/>
      <c r="L245" s="8"/>
      <c r="M245" s="8"/>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s="7" customFormat="1" ht="15" customHeight="1" x14ac:dyDescent="0.25">
      <c r="A246" s="1326"/>
      <c r="B246" s="1328">
        <f t="shared" si="12"/>
        <v>144</v>
      </c>
      <c r="C246" s="1266" t="str">
        <f>INDEX(months12,11)&amp;IFERROR(IF(DATEVALUE("1 "&amp;INDEX(months12,11)&amp;" "&amp;E$202)&lt;=DATEVALUE("1 "&amp;D$202&amp;" "&amp;E$202)," "&amp;E$202," "&amp;E$202-1),"")</f>
        <v>ноябрь</v>
      </c>
      <c r="D246" s="1339"/>
      <c r="E246" s="1339"/>
      <c r="F246" s="1339"/>
      <c r="G246" s="2000"/>
      <c r="H246" s="2001"/>
      <c r="I246" s="2022"/>
      <c r="J246" s="2022"/>
      <c r="K246" s="2022"/>
      <c r="L246" s="8"/>
      <c r="M246" s="8"/>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s="7" customFormat="1" ht="15" customHeight="1" x14ac:dyDescent="0.25">
      <c r="A247" s="1326"/>
      <c r="B247" s="1328">
        <f t="shared" si="12"/>
        <v>145</v>
      </c>
      <c r="C247" s="1267" t="str">
        <f>INDEX(months12,12)&amp;IFERROR(IF(DATEVALUE("1 "&amp;INDEX(months12,12)&amp;" "&amp;E$202)&lt;=DATEVALUE("1 "&amp;D$202&amp;" "&amp;E$202)," "&amp;E$202," "&amp;E$202-1),"")</f>
        <v>декабрь</v>
      </c>
      <c r="D247" s="1853"/>
      <c r="E247" s="1853"/>
      <c r="F247" s="1853"/>
      <c r="G247" s="2000"/>
      <c r="H247" s="2001"/>
      <c r="I247" s="2022"/>
      <c r="J247" s="2022"/>
      <c r="K247" s="2022"/>
      <c r="L247" s="8"/>
      <c r="M247" s="8"/>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s="7" customFormat="1" ht="15" customHeight="1" x14ac:dyDescent="0.25">
      <c r="A248" s="1326"/>
      <c r="B248" s="1326"/>
      <c r="C248" s="1264" t="s">
        <v>984</v>
      </c>
      <c r="D248" s="1927">
        <f>SUM(D236:D247)</f>
        <v>0</v>
      </c>
      <c r="E248" s="1927">
        <f>SUM(E236:E247)</f>
        <v>0</v>
      </c>
      <c r="F248" s="1928">
        <f>SUM(F236:F247)</f>
        <v>0</v>
      </c>
      <c r="G248" s="2000"/>
      <c r="H248" s="2001"/>
      <c r="I248" s="2022"/>
      <c r="J248" s="2022"/>
      <c r="K248" s="2022"/>
      <c r="L248" s="14"/>
      <c r="M248" s="8"/>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s="7" customFormat="1" x14ac:dyDescent="0.25">
      <c r="A249" s="1326"/>
      <c r="B249" s="1326"/>
      <c r="C249" s="8"/>
      <c r="D249" s="8"/>
      <c r="E249" s="15" t="str">
        <f>IFERROR(IF(AVEDEV(E236:E247)/AVERAGE(E236:E247)&gt;=0.3,"Проверьте данные, слишком нестабильно",""),"")</f>
        <v/>
      </c>
      <c r="F249" s="15" t="str">
        <f>IFERROR(IF(AVEDEV(F236:F247)/AVERAGE(F236:F247)&gt;=0.3,"Проверьте данные, слишком нестабильно",""),"")</f>
        <v/>
      </c>
      <c r="G249" s="8"/>
      <c r="H249" s="8"/>
      <c r="I249" s="8"/>
      <c r="J249" s="8"/>
      <c r="K249" s="8"/>
      <c r="L249" s="8"/>
      <c r="M249" s="8"/>
      <c r="N249" s="8"/>
      <c r="O249" s="14"/>
      <c r="P249" s="14"/>
      <c r="Q249" s="14"/>
      <c r="R249" s="14"/>
      <c r="S249" s="14"/>
      <c r="T249" s="14"/>
      <c r="U249" s="14"/>
      <c r="V249" s="14"/>
      <c r="W249" s="14"/>
      <c r="X249" s="14"/>
      <c r="Y249" s="14"/>
      <c r="Z249" s="14"/>
      <c r="AA249" s="14"/>
      <c r="AB249" s="14"/>
      <c r="AC249" s="14"/>
      <c r="AD249" s="14"/>
      <c r="AE249" s="14"/>
      <c r="AF249" s="14"/>
      <c r="AG249" s="14"/>
      <c r="AH249" s="14"/>
    </row>
    <row r="250" spans="1:34" s="7" customFormat="1" ht="25.5" customHeight="1" x14ac:dyDescent="0.25">
      <c r="A250" s="1326"/>
      <c r="B250" s="1326"/>
      <c r="C250" s="2002" t="s">
        <v>2491</v>
      </c>
      <c r="D250" s="2002"/>
      <c r="E250" s="2002"/>
      <c r="F250" s="2002"/>
      <c r="G250" s="2002"/>
      <c r="H250" s="2002"/>
      <c r="I250" s="2002"/>
      <c r="J250" s="2002"/>
      <c r="K250" s="8"/>
      <c r="L250" s="8"/>
      <c r="M250" s="8"/>
      <c r="N250" s="8"/>
      <c r="O250" s="14"/>
      <c r="P250" s="14"/>
      <c r="Q250" s="14"/>
      <c r="R250" s="14"/>
      <c r="S250" s="14"/>
      <c r="T250" s="14"/>
      <c r="U250" s="14"/>
      <c r="V250" s="14"/>
      <c r="W250" s="14"/>
      <c r="X250" s="14"/>
      <c r="Y250" s="14"/>
      <c r="Z250" s="14"/>
      <c r="AA250" s="14"/>
      <c r="AB250" s="14"/>
      <c r="AC250" s="14"/>
      <c r="AD250" s="14"/>
      <c r="AE250" s="14"/>
      <c r="AF250" s="14"/>
      <c r="AG250" s="14"/>
      <c r="AH250" s="14"/>
    </row>
    <row r="251" spans="1:34" s="7" customFormat="1" ht="21.6" customHeight="1" x14ac:dyDescent="0.25">
      <c r="A251" s="1326"/>
      <c r="B251" s="1326"/>
      <c r="C251" s="1976" t="s">
        <v>2463</v>
      </c>
      <c r="D251" s="1994" t="s">
        <v>1970</v>
      </c>
      <c r="E251" s="1996" t="s">
        <v>1969</v>
      </c>
      <c r="F251" s="1997" t="s">
        <v>1971</v>
      </c>
      <c r="G251" s="1998"/>
      <c r="H251" s="1998"/>
      <c r="I251" s="1998"/>
      <c r="J251" s="1999"/>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14"/>
      <c r="AH251" s="14"/>
    </row>
    <row r="252" spans="1:34" s="7" customFormat="1" ht="117.75" customHeight="1" x14ac:dyDescent="0.25">
      <c r="A252" s="1326"/>
      <c r="B252" s="1326"/>
      <c r="C252" s="1976"/>
      <c r="D252" s="1995"/>
      <c r="E252" s="1996"/>
      <c r="F252" s="1874" t="s">
        <v>981</v>
      </c>
      <c r="G252" s="1804" t="s">
        <v>1972</v>
      </c>
      <c r="H252" s="1804" t="s">
        <v>1973</v>
      </c>
      <c r="I252" s="1804" t="s">
        <v>1974</v>
      </c>
      <c r="J252" s="1804" t="s">
        <v>1975</v>
      </c>
      <c r="K252" s="50"/>
      <c r="L252" s="50"/>
      <c r="M252" s="50"/>
      <c r="N252" s="50"/>
      <c r="O252" s="50"/>
      <c r="P252" s="1415" t="s">
        <v>981</v>
      </c>
      <c r="Q252" s="1415" t="s">
        <v>987</v>
      </c>
      <c r="R252" s="1415" t="s">
        <v>1365</v>
      </c>
      <c r="S252" s="1415" t="s">
        <v>1364</v>
      </c>
      <c r="T252" s="1415" t="s">
        <v>982</v>
      </c>
      <c r="U252" s="1415" t="s">
        <v>541</v>
      </c>
      <c r="V252" s="1415" t="s">
        <v>1313</v>
      </c>
      <c r="W252" s="1416" t="s">
        <v>1366</v>
      </c>
      <c r="X252" s="1417"/>
      <c r="Y252" s="1415" t="s">
        <v>981</v>
      </c>
      <c r="Z252" s="1415" t="s">
        <v>987</v>
      </c>
      <c r="AA252" s="1415" t="s">
        <v>1365</v>
      </c>
      <c r="AB252" s="1415" t="s">
        <v>1364</v>
      </c>
      <c r="AC252" s="1415" t="s">
        <v>982</v>
      </c>
      <c r="AD252" s="1415" t="s">
        <v>541</v>
      </c>
      <c r="AE252" s="1415" t="s">
        <v>1313</v>
      </c>
      <c r="AF252" s="1416" t="s">
        <v>1366</v>
      </c>
      <c r="AG252" s="14"/>
      <c r="AH252" s="14"/>
    </row>
    <row r="253" spans="1:34" s="7" customFormat="1" x14ac:dyDescent="0.25">
      <c r="A253" s="1326"/>
      <c r="B253" s="1328">
        <f>B247+1</f>
        <v>146</v>
      </c>
      <c r="C253" s="1805" t="str">
        <f>INDEX(months12,1)&amp;IFERROR(IF(DATEVALUE("1 "&amp;INDEX(months12,1)&amp;" "&amp;E$202)&lt;=DATEVALUE("1 "&amp;D$202&amp;" "&amp;E$202)," "&amp;E$202," "&amp;E$202-1),"")</f>
        <v>январь</v>
      </c>
      <c r="D253" s="1852"/>
      <c r="E253" s="1852"/>
      <c r="F253" s="1852"/>
      <c r="G253" s="1852"/>
      <c r="H253" s="1852"/>
      <c r="I253" s="1876"/>
      <c r="J253" s="1877"/>
      <c r="K253" s="1969" t="s">
        <v>1967</v>
      </c>
      <c r="L253" s="1969"/>
      <c r="M253" s="50"/>
      <c r="N253" s="50"/>
      <c r="O253" s="50"/>
      <c r="P253" s="1849">
        <f>SUM(Q253:S253,W253)</f>
        <v>0</v>
      </c>
      <c r="Q253" s="1850">
        <f>($D$151*$F$151*списки!$C$65+$F$152*$D$152*списки!$C$66+$F$153*$D$153*списки!$C$67+$F$154*$D$154*списки!$C$68+$F$155*$D$155*списки!$C$69+$F$156*$D$156*списки!$C$70)*($J273/SUM($J$273:$J$284))*10^-6   +N("1 / 1 000 000 - переводной коэффициент [Вт-ч] --&gt; [тыс. кВт-ч]")</f>
        <v>0</v>
      </c>
      <c r="R253" s="1850">
        <f>$D$161*списки!$C$72*($J273/SUM($J$273:$J$284))*10^-3   +N("1 / 1000 - переводной коэффициент [кВт-ч] --&gt; [тыс. кВт-ч]")</f>
        <v>0</v>
      </c>
      <c r="S253" s="1850">
        <f>SUM(T253:V253)</f>
        <v>0</v>
      </c>
      <c r="T253" s="1850">
        <f>$D$167*IFERROR('Расчет базового уровня'!$G$148,0)*24/1000</f>
        <v>0</v>
      </c>
      <c r="U253" s="1850">
        <f>$D$171*'Расчет базового уровня'!$G$172*24/1000</f>
        <v>0</v>
      </c>
      <c r="V253" s="1850">
        <f>$D$175*'Расчет базового уровня'!$G$167*24/1000</f>
        <v>0</v>
      </c>
      <c r="W253" s="1851">
        <f t="shared" ref="W253:W264" si="13">$D$179*$D$180*($J273/SUM($J$273:$J$284))*10^-3   +N("1 / 1000 - переводной коэффициент [кВт-ч] --&gt; [тыс. кВт-ч]")</f>
        <v>0</v>
      </c>
      <c r="X253" s="1324"/>
      <c r="Y253" s="1849">
        <f>SUM(Z253:AB253,AF253)</f>
        <v>0</v>
      </c>
      <c r="Z253" s="1850">
        <f>IF(G253=0,IFERROR($F253*Q253/$P253,0),G253)</f>
        <v>0</v>
      </c>
      <c r="AA253" s="1850">
        <f t="shared" ref="AA253:AA264" si="14">IF(H253=0,IF(AND(G253&lt;&gt;0,$D$161&lt;&gt;0,SUM($D$165,$D$169,$D$173,$D$179)=0),F253-G253,IFERROR($F253*R253/$P253,0)),H253)</f>
        <v>0</v>
      </c>
      <c r="AB253" s="1850">
        <f t="shared" ref="AB253:AB264" si="15">IF(I253=0,IF(AND(G253&lt;&gt;0,$D$161=0,SUM($D$165,$D$169,$D$173,$D$179)&gt;0),F253-G253,IFERROR($F253*S253/$P253,0)),I253)</f>
        <v>0</v>
      </c>
      <c r="AC253" s="1850">
        <f>IFERROR($AB253*T253/$S253,0)</f>
        <v>0</v>
      </c>
      <c r="AD253" s="1850">
        <f t="shared" ref="AD253:AE264" si="16">IFERROR($AB253*U253/$S253,0)</f>
        <v>0</v>
      </c>
      <c r="AE253" s="1850">
        <f t="shared" si="16"/>
        <v>0</v>
      </c>
      <c r="AF253" s="1850">
        <f>IFERROR(IF(J253=0,$F253*W253/$P253,P253),0)</f>
        <v>0</v>
      </c>
      <c r="AG253" s="14"/>
      <c r="AH253" s="14"/>
    </row>
    <row r="254" spans="1:34" s="7" customFormat="1" x14ac:dyDescent="0.25">
      <c r="A254" s="1326"/>
      <c r="B254" s="1328">
        <f>B253+1</f>
        <v>147</v>
      </c>
      <c r="C254" s="1806" t="str">
        <f>INDEX(months12,2)&amp;IFERROR(IF(DATEVALUE("1 "&amp;INDEX(months12,2)&amp;" "&amp;E$202)&lt;=DATEVALUE("1 "&amp;D$202&amp;" "&amp;E$202)," "&amp;E$202," "&amp;E$202-1),"")</f>
        <v>февраль</v>
      </c>
      <c r="D254" s="1339"/>
      <c r="E254" s="1339"/>
      <c r="F254" s="1339"/>
      <c r="G254" s="1339"/>
      <c r="H254" s="1339"/>
      <c r="I254" s="1336"/>
      <c r="J254" s="1335"/>
      <c r="K254" s="1969"/>
      <c r="L254" s="1969"/>
      <c r="M254" s="50"/>
      <c r="N254" s="50"/>
      <c r="O254" s="50"/>
      <c r="P254" s="1849">
        <f t="shared" ref="P254:P264" si="17">SUM(Q254:S254,W254)</f>
        <v>0</v>
      </c>
      <c r="Q254" s="1850">
        <f>($D$151*$F$151*списки!$C$65+$F$152*$D$152*списки!$C$66+$F$153*$D$153*списки!$C$67+$F$154*$D$154*списки!$C$68+$F$155*$D$155*списки!$C$69+$F$156*$D$156*списки!$C$70)*($J274/SUM($J$273:$J$284))*10^-6   +N("1 / 1 000 000 - переводной коэффициент [Вт-ч] --&gt; [тыс. кВт-ч]")</f>
        <v>0</v>
      </c>
      <c r="R254" s="1850">
        <f>$D$161*списки!$C$72*($J274/SUM($J$273:$J$284))*10^-3   +N("1 / 1000 - переводной коэффициент [кВт-ч] --&gt; [тыс. кВт-ч]")</f>
        <v>0</v>
      </c>
      <c r="S254" s="1850">
        <f t="shared" ref="S254:S264" si="18">SUM(T254:V254)</f>
        <v>0</v>
      </c>
      <c r="T254" s="1850">
        <f>$D$167*IFERROR('Расчет базового уровня'!$G$148,0)*24/1000</f>
        <v>0</v>
      </c>
      <c r="U254" s="1850">
        <f>$D$171*'Расчет базового уровня'!$H$172*24/1000</f>
        <v>0</v>
      </c>
      <c r="V254" s="1850">
        <f>$D$175*'Расчет базового уровня'!$H$167*24/1000</f>
        <v>0</v>
      </c>
      <c r="W254" s="1851">
        <f t="shared" si="13"/>
        <v>0</v>
      </c>
      <c r="X254" s="1324"/>
      <c r="Y254" s="1849">
        <f t="shared" ref="Y254:Y264" si="19">SUM(Z254:AB254,AF254)</f>
        <v>0</v>
      </c>
      <c r="Z254" s="1850">
        <f t="shared" ref="Z254:Z264" si="20">IF(G254=0,IFERROR($F254*Q254/$P254,0),G254)</f>
        <v>0</v>
      </c>
      <c r="AA254" s="1850">
        <f t="shared" si="14"/>
        <v>0</v>
      </c>
      <c r="AB254" s="1850">
        <f t="shared" si="15"/>
        <v>0</v>
      </c>
      <c r="AC254" s="1850">
        <f t="shared" ref="AC254:AC264" si="21">IFERROR($AB254*T254/$S254,0)</f>
        <v>0</v>
      </c>
      <c r="AD254" s="1850">
        <f t="shared" si="16"/>
        <v>0</v>
      </c>
      <c r="AE254" s="1850">
        <f t="shared" si="16"/>
        <v>0</v>
      </c>
      <c r="AF254" s="1850">
        <f t="shared" ref="AF254:AF264" si="22">IFERROR(IF(J254=0,$F254*W254/$P254,P254),0)</f>
        <v>0</v>
      </c>
      <c r="AG254" s="14"/>
      <c r="AH254" s="14"/>
    </row>
    <row r="255" spans="1:34" s="7" customFormat="1" x14ac:dyDescent="0.25">
      <c r="A255" s="1326"/>
      <c r="B255" s="1328">
        <f t="shared" ref="B255:B264" si="23">B254+1</f>
        <v>148</v>
      </c>
      <c r="C255" s="1806" t="str">
        <f>INDEX(months12,3)&amp;IFERROR(IF(DATEVALUE("1 "&amp;INDEX(months12,3)&amp;" "&amp;E$202)&lt;=DATEVALUE("1 "&amp;D$202&amp;" "&amp;E$202)," "&amp;E$202," "&amp;E$202-1),"")</f>
        <v>март</v>
      </c>
      <c r="D255" s="1339"/>
      <c r="E255" s="1339"/>
      <c r="F255" s="1339"/>
      <c r="G255" s="1339"/>
      <c r="H255" s="1339"/>
      <c r="I255" s="1336"/>
      <c r="J255" s="1335"/>
      <c r="K255" s="1969"/>
      <c r="L255" s="1969"/>
      <c r="M255" s="50"/>
      <c r="N255" s="50"/>
      <c r="O255" s="50"/>
      <c r="P255" s="1849">
        <f t="shared" si="17"/>
        <v>0</v>
      </c>
      <c r="Q255" s="1850">
        <f>($D$151*$F$151*списки!$C$65+$F$152*$D$152*списки!$C$66+$F$153*$D$153*списки!$C$67+$F$154*$D$154*списки!$C$68+$F$155*$D$155*списки!$C$69+$F$156*$D$156*списки!$C$70)*($J275/SUM($J$273:$J$284))*10^-6   +N("1 / 1 000 000 - переводной коэффициент [Вт-ч] --&gt; [тыс. кВт-ч]")</f>
        <v>0</v>
      </c>
      <c r="R255" s="1850">
        <f>$D$161*списки!$C$72*($J275/SUM($J$273:$J$284))*10^-3   +N("1 / 1000 - переводной коэффициент [кВт-ч] --&gt; [тыс. кВт-ч]")</f>
        <v>0</v>
      </c>
      <c r="S255" s="1850">
        <f t="shared" si="18"/>
        <v>0</v>
      </c>
      <c r="T255" s="1850">
        <f>$D$167*IFERROR('Расчет базового уровня'!$G$148,0)*24/1000</f>
        <v>0</v>
      </c>
      <c r="U255" s="1850">
        <f>$D$171*'Расчет базового уровня'!$I$172*24/1000</f>
        <v>0</v>
      </c>
      <c r="V255" s="1850">
        <f>$D$175*'Расчет базового уровня'!$I$167*24/1000</f>
        <v>0</v>
      </c>
      <c r="W255" s="1851">
        <f t="shared" si="13"/>
        <v>0</v>
      </c>
      <c r="X255" s="1324"/>
      <c r="Y255" s="1849">
        <f t="shared" si="19"/>
        <v>0</v>
      </c>
      <c r="Z255" s="1850">
        <f t="shared" si="20"/>
        <v>0</v>
      </c>
      <c r="AA255" s="1850">
        <f t="shared" si="14"/>
        <v>0</v>
      </c>
      <c r="AB255" s="1850">
        <f t="shared" si="15"/>
        <v>0</v>
      </c>
      <c r="AC255" s="1850">
        <f t="shared" si="21"/>
        <v>0</v>
      </c>
      <c r="AD255" s="1850">
        <f t="shared" si="16"/>
        <v>0</v>
      </c>
      <c r="AE255" s="1850">
        <f t="shared" si="16"/>
        <v>0</v>
      </c>
      <c r="AF255" s="1850">
        <f t="shared" si="22"/>
        <v>0</v>
      </c>
      <c r="AG255" s="14"/>
      <c r="AH255" s="14"/>
    </row>
    <row r="256" spans="1:34" s="7" customFormat="1" x14ac:dyDescent="0.25">
      <c r="A256" s="1326"/>
      <c r="B256" s="1328">
        <f t="shared" si="23"/>
        <v>149</v>
      </c>
      <c r="C256" s="1806" t="str">
        <f>INDEX(months12,4)&amp;IFERROR(IF(DATEVALUE("1 "&amp;INDEX(months12,4)&amp;" "&amp;E$202)&lt;=DATEVALUE("1 "&amp;D$202&amp;" "&amp;E$202)," "&amp;E$202," "&amp;E$202-1),"")</f>
        <v>апрель</v>
      </c>
      <c r="D256" s="1339"/>
      <c r="E256" s="1339"/>
      <c r="F256" s="1339"/>
      <c r="G256" s="1339"/>
      <c r="H256" s="1339"/>
      <c r="I256" s="1336"/>
      <c r="J256" s="1335"/>
      <c r="K256" s="1969"/>
      <c r="L256" s="1969"/>
      <c r="M256" s="50"/>
      <c r="N256" s="50"/>
      <c r="O256" s="50"/>
      <c r="P256" s="1849">
        <f t="shared" si="17"/>
        <v>0</v>
      </c>
      <c r="Q256" s="1850">
        <f>($D$151*$F$151*списки!$C$65+$F$152*$D$152*списки!$C$66+$F$153*$D$153*списки!$C$67+$F$154*$D$154*списки!$C$68+$F$155*$D$155*списки!$C$69+$F$156*$D$156*списки!$C$70)*($J276/SUM($J$273:$J$284))*10^-6   +N("1 / 1 000 000 - переводной коэффициент [Вт-ч] --&gt; [тыс. кВт-ч]")</f>
        <v>0</v>
      </c>
      <c r="R256" s="1850">
        <f>$D$161*списки!$C$72*($J276/SUM($J$273:$J$284))*10^-3   +N("1 / 1000 - переводной коэффициент [кВт-ч] --&gt; [тыс. кВт-ч]")</f>
        <v>0</v>
      </c>
      <c r="S256" s="1850">
        <f t="shared" si="18"/>
        <v>0</v>
      </c>
      <c r="T256" s="1850">
        <f>$D$167*IFERROR('Расчет базового уровня'!$G$148,0)*24/1000</f>
        <v>0</v>
      </c>
      <c r="U256" s="1850">
        <f>$D$171*'Расчет базового уровня'!$J$172*24/1000</f>
        <v>0</v>
      </c>
      <c r="V256" s="1850">
        <f>$D$175*'Расчет базового уровня'!$J$167*24/1000</f>
        <v>0</v>
      </c>
      <c r="W256" s="1851">
        <f t="shared" si="13"/>
        <v>0</v>
      </c>
      <c r="X256" s="1324"/>
      <c r="Y256" s="1849">
        <f t="shared" si="19"/>
        <v>0</v>
      </c>
      <c r="Z256" s="1850">
        <f t="shared" si="20"/>
        <v>0</v>
      </c>
      <c r="AA256" s="1850">
        <f t="shared" si="14"/>
        <v>0</v>
      </c>
      <c r="AB256" s="1850">
        <f t="shared" si="15"/>
        <v>0</v>
      </c>
      <c r="AC256" s="1850">
        <f t="shared" si="21"/>
        <v>0</v>
      </c>
      <c r="AD256" s="1850">
        <f t="shared" si="16"/>
        <v>0</v>
      </c>
      <c r="AE256" s="1850">
        <f t="shared" si="16"/>
        <v>0</v>
      </c>
      <c r="AF256" s="1850">
        <f t="shared" si="22"/>
        <v>0</v>
      </c>
      <c r="AG256" s="14"/>
      <c r="AH256" s="14"/>
    </row>
    <row r="257" spans="1:34" s="7" customFormat="1" x14ac:dyDescent="0.25">
      <c r="A257" s="1326"/>
      <c r="B257" s="1328">
        <f t="shared" si="23"/>
        <v>150</v>
      </c>
      <c r="C257" s="1806" t="str">
        <f>INDEX(months12,5)&amp;IFERROR(IF(DATEVALUE("1 "&amp;INDEX(months12,5)&amp;" "&amp;E$202)&lt;=DATEVALUE("1 "&amp;D$202&amp;" "&amp;E$202)," "&amp;E$202," "&amp;E$202-1),"")</f>
        <v>май</v>
      </c>
      <c r="D257" s="1339"/>
      <c r="E257" s="1339"/>
      <c r="F257" s="1339"/>
      <c r="G257" s="1339"/>
      <c r="H257" s="1339"/>
      <c r="I257" s="1336"/>
      <c r="J257" s="1335"/>
      <c r="K257" s="1969"/>
      <c r="L257" s="1969"/>
      <c r="M257" s="50"/>
      <c r="N257" s="50"/>
      <c r="O257" s="50"/>
      <c r="P257" s="1849">
        <f t="shared" si="17"/>
        <v>0</v>
      </c>
      <c r="Q257" s="1850">
        <f>($D$151*$F$151*списки!$C$65+$F$152*$D$152*списки!$C$66+$F$153*$D$153*списки!$C$67+$F$154*$D$154*списки!$C$68+$F$155*$D$155*списки!$C$69+$F$156*$D$156*списки!$C$70)*($J277/SUM($J$273:$J$284))*10^-6   +N("1 / 1 000 000 - переводной коэффициент [Вт-ч] --&gt; [тыс. кВт-ч]")</f>
        <v>0</v>
      </c>
      <c r="R257" s="1850">
        <f>$D$161*списки!$C$72*($J277/SUM($J$273:$J$284))*10^-3   +N("1 / 1000 - переводной коэффициент [кВт-ч] --&gt; [тыс. кВт-ч]")</f>
        <v>0</v>
      </c>
      <c r="S257" s="1850">
        <f t="shared" si="18"/>
        <v>0</v>
      </c>
      <c r="T257" s="1850">
        <f>$D$167*IFERROR('Расчет базового уровня'!$G$148,0)*24/1000</f>
        <v>0</v>
      </c>
      <c r="U257" s="1850">
        <f>$D$171*'Расчет базового уровня'!$K$172*24/1000</f>
        <v>0</v>
      </c>
      <c r="V257" s="1850">
        <f>$D$175*'Расчет базового уровня'!$K$167*24/1000</f>
        <v>0</v>
      </c>
      <c r="W257" s="1851">
        <f t="shared" si="13"/>
        <v>0</v>
      </c>
      <c r="X257" s="1324"/>
      <c r="Y257" s="1849">
        <f t="shared" si="19"/>
        <v>0</v>
      </c>
      <c r="Z257" s="1850">
        <f t="shared" si="20"/>
        <v>0</v>
      </c>
      <c r="AA257" s="1850">
        <f t="shared" si="14"/>
        <v>0</v>
      </c>
      <c r="AB257" s="1850">
        <f t="shared" si="15"/>
        <v>0</v>
      </c>
      <c r="AC257" s="1850">
        <f t="shared" si="21"/>
        <v>0</v>
      </c>
      <c r="AD257" s="1850">
        <f t="shared" si="16"/>
        <v>0</v>
      </c>
      <c r="AE257" s="1850">
        <f t="shared" si="16"/>
        <v>0</v>
      </c>
      <c r="AF257" s="1850">
        <f t="shared" si="22"/>
        <v>0</v>
      </c>
      <c r="AG257" s="14"/>
      <c r="AH257" s="14"/>
    </row>
    <row r="258" spans="1:34" s="7" customFormat="1" x14ac:dyDescent="0.25">
      <c r="A258" s="1326"/>
      <c r="B258" s="1328">
        <f t="shared" si="23"/>
        <v>151</v>
      </c>
      <c r="C258" s="1806" t="str">
        <f>INDEX(months12,6)&amp;IFERROR(IF(DATEVALUE("1 "&amp;INDEX(months12,6)&amp;" "&amp;E$202)&lt;=DATEVALUE("1 "&amp;D$202&amp;" "&amp;E$202)," "&amp;E$202," "&amp;E$202-1),"")</f>
        <v>июнь</v>
      </c>
      <c r="D258" s="1339"/>
      <c r="E258" s="1339"/>
      <c r="F258" s="1339"/>
      <c r="G258" s="1339"/>
      <c r="H258" s="1339"/>
      <c r="I258" s="1336"/>
      <c r="J258" s="1335"/>
      <c r="K258" s="1969"/>
      <c r="L258" s="1969"/>
      <c r="M258" s="50"/>
      <c r="N258" s="50"/>
      <c r="O258" s="50"/>
      <c r="P258" s="1849">
        <f t="shared" si="17"/>
        <v>0</v>
      </c>
      <c r="Q258" s="1850">
        <f>($D$151*$F$151*списки!$C$65+$F$152*$D$152*списки!$C$66+$F$153*$D$153*списки!$C$67+$F$154*$D$154*списки!$C$68+$F$155*$D$155*списки!$C$69+$F$156*$D$156*списки!$C$70)*($J278/SUM($J$273:$J$284))*10^-6   +N("1 / 1 000 000 - переводной коэффициент [Вт-ч] --&gt; [тыс. кВт-ч]")</f>
        <v>0</v>
      </c>
      <c r="R258" s="1850">
        <f>$D$161*списки!$C$72*($J278/SUM($J$273:$J$284))*10^-3   +N("1 / 1000 - переводной коэффициент [кВт-ч] --&gt; [тыс. кВт-ч]")</f>
        <v>0</v>
      </c>
      <c r="S258" s="1850">
        <f t="shared" si="18"/>
        <v>0</v>
      </c>
      <c r="T258" s="1850">
        <f>$D$167*IFERROR('Расчет базового уровня'!$G$148,0)*24/1000</f>
        <v>0</v>
      </c>
      <c r="U258" s="1850">
        <f>$D$171*'Расчет базового уровня'!$L$172*24/1000</f>
        <v>0</v>
      </c>
      <c r="V258" s="1850">
        <f>$D$175*'Расчет базового уровня'!$L$167*24/1000</f>
        <v>0</v>
      </c>
      <c r="W258" s="1851">
        <f t="shared" si="13"/>
        <v>0</v>
      </c>
      <c r="X258" s="1324"/>
      <c r="Y258" s="1849">
        <f t="shared" si="19"/>
        <v>0</v>
      </c>
      <c r="Z258" s="1850">
        <f t="shared" si="20"/>
        <v>0</v>
      </c>
      <c r="AA258" s="1850">
        <f t="shared" si="14"/>
        <v>0</v>
      </c>
      <c r="AB258" s="1850">
        <f t="shared" si="15"/>
        <v>0</v>
      </c>
      <c r="AC258" s="1850">
        <f t="shared" si="21"/>
        <v>0</v>
      </c>
      <c r="AD258" s="1850">
        <f t="shared" si="16"/>
        <v>0</v>
      </c>
      <c r="AE258" s="1850">
        <f t="shared" si="16"/>
        <v>0</v>
      </c>
      <c r="AF258" s="1850">
        <f t="shared" si="22"/>
        <v>0</v>
      </c>
      <c r="AG258" s="14"/>
      <c r="AH258" s="14"/>
    </row>
    <row r="259" spans="1:34" s="7" customFormat="1" x14ac:dyDescent="0.25">
      <c r="A259" s="1326"/>
      <c r="B259" s="1328">
        <f t="shared" si="23"/>
        <v>152</v>
      </c>
      <c r="C259" s="1806" t="str">
        <f>INDEX(months12,7)&amp;IFERROR(IF(DATEVALUE("1 "&amp;INDEX(months12,7)&amp;" "&amp;E$202)&lt;=DATEVALUE("1 "&amp;D$202&amp;" "&amp;E$202)," "&amp;E$202," "&amp;E$202-1),"")</f>
        <v>июль</v>
      </c>
      <c r="D259" s="1339"/>
      <c r="E259" s="1339"/>
      <c r="F259" s="1339"/>
      <c r="G259" s="1339"/>
      <c r="H259" s="1339"/>
      <c r="I259" s="1336"/>
      <c r="J259" s="1335"/>
      <c r="K259" s="1969"/>
      <c r="L259" s="1969"/>
      <c r="M259" s="50"/>
      <c r="N259" s="50"/>
      <c r="O259" s="50"/>
      <c r="P259" s="1849">
        <f t="shared" si="17"/>
        <v>0</v>
      </c>
      <c r="Q259" s="1850">
        <f>($D$151*$F$151*списки!$C$65+$F$152*$D$152*списки!$C$66+$F$153*$D$153*списки!$C$67+$F$154*$D$154*списки!$C$68+$F$155*$D$155*списки!$C$69+$F$156*$D$156*списки!$C$70)*($J279/SUM($J$273:$J$284))*10^-6   +N("1 / 1 000 000 - переводной коэффициент [Вт-ч] --&gt; [тыс. кВт-ч]")</f>
        <v>0</v>
      </c>
      <c r="R259" s="1850">
        <f>$D$161*списки!$C$72*($J279/SUM($J$273:$J$284))*10^-3   +N("1 / 1000 - переводной коэффициент [кВт-ч] --&gt; [тыс. кВт-ч]")</f>
        <v>0</v>
      </c>
      <c r="S259" s="1850">
        <f t="shared" si="18"/>
        <v>0</v>
      </c>
      <c r="T259" s="1850">
        <f>$D$167*IFERROR('Расчет базового уровня'!$G$148,0)*24/1000</f>
        <v>0</v>
      </c>
      <c r="U259" s="1850">
        <f>$D$171*'Расчет базового уровня'!$M$172*24/1000</f>
        <v>0</v>
      </c>
      <c r="V259" s="1850">
        <f>$D$175*'Расчет базового уровня'!$M$167*24/1000</f>
        <v>0</v>
      </c>
      <c r="W259" s="1851">
        <f t="shared" si="13"/>
        <v>0</v>
      </c>
      <c r="X259" s="1324"/>
      <c r="Y259" s="1849">
        <f t="shared" si="19"/>
        <v>0</v>
      </c>
      <c r="Z259" s="1850">
        <f t="shared" si="20"/>
        <v>0</v>
      </c>
      <c r="AA259" s="1850">
        <f t="shared" si="14"/>
        <v>0</v>
      </c>
      <c r="AB259" s="1850">
        <f t="shared" si="15"/>
        <v>0</v>
      </c>
      <c r="AC259" s="1850">
        <f t="shared" si="21"/>
        <v>0</v>
      </c>
      <c r="AD259" s="1850">
        <f t="shared" si="16"/>
        <v>0</v>
      </c>
      <c r="AE259" s="1850">
        <f t="shared" si="16"/>
        <v>0</v>
      </c>
      <c r="AF259" s="1850">
        <f t="shared" si="22"/>
        <v>0</v>
      </c>
      <c r="AG259" s="14"/>
      <c r="AH259" s="14"/>
    </row>
    <row r="260" spans="1:34" s="7" customFormat="1" x14ac:dyDescent="0.25">
      <c r="A260" s="1326"/>
      <c r="B260" s="1328">
        <f t="shared" si="23"/>
        <v>153</v>
      </c>
      <c r="C260" s="1806" t="str">
        <f>INDEX(months12,8)&amp;IFERROR(IF(DATEVALUE("1 "&amp;INDEX(months12,8)&amp;" "&amp;E$202)&lt;=DATEVALUE("1 "&amp;D$202&amp;" "&amp;E$202)," "&amp;E$202," "&amp;E$202-1),"")</f>
        <v>август</v>
      </c>
      <c r="D260" s="1339"/>
      <c r="E260" s="1339"/>
      <c r="F260" s="1339"/>
      <c r="G260" s="1339"/>
      <c r="H260" s="1339"/>
      <c r="I260" s="1336"/>
      <c r="J260" s="1335"/>
      <c r="K260" s="1969"/>
      <c r="L260" s="1969"/>
      <c r="M260" s="50"/>
      <c r="N260" s="50"/>
      <c r="O260" s="50"/>
      <c r="P260" s="1849">
        <f t="shared" si="17"/>
        <v>0</v>
      </c>
      <c r="Q260" s="1850">
        <f>($D$151*$F$151*списки!$C$65+$F$152*$D$152*списки!$C$66+$F$153*$D$153*списки!$C$67+$F$154*$D$154*списки!$C$68+$F$155*$D$155*списки!$C$69+$F$156*$D$156*списки!$C$70)*($J280/SUM($J$273:$J$284))*10^-6   +N("1 / 1 000 000 - переводной коэффициент [Вт-ч] --&gt; [тыс. кВт-ч]")</f>
        <v>0</v>
      </c>
      <c r="R260" s="1850">
        <f>$D$161*списки!$C$72*($J280/SUM($J$273:$J$284))*10^-3   +N("1 / 1000 - переводной коэффициент [кВт-ч] --&gt; [тыс. кВт-ч]")</f>
        <v>0</v>
      </c>
      <c r="S260" s="1850">
        <f t="shared" si="18"/>
        <v>0</v>
      </c>
      <c r="T260" s="1850">
        <f>$D$167*IFERROR('Расчет базового уровня'!$G$148,0)*24/1000</f>
        <v>0</v>
      </c>
      <c r="U260" s="1850">
        <f>$D$171*'Расчет базового уровня'!$N$172*24/1000</f>
        <v>0</v>
      </c>
      <c r="V260" s="1850">
        <f>$D$175*'Расчет базового уровня'!$N$167*24/1000</f>
        <v>0</v>
      </c>
      <c r="W260" s="1851">
        <f t="shared" si="13"/>
        <v>0</v>
      </c>
      <c r="X260" s="1324"/>
      <c r="Y260" s="1849">
        <f t="shared" si="19"/>
        <v>0</v>
      </c>
      <c r="Z260" s="1850">
        <f t="shared" si="20"/>
        <v>0</v>
      </c>
      <c r="AA260" s="1850">
        <f t="shared" si="14"/>
        <v>0</v>
      </c>
      <c r="AB260" s="1850">
        <f t="shared" si="15"/>
        <v>0</v>
      </c>
      <c r="AC260" s="1850">
        <f t="shared" si="21"/>
        <v>0</v>
      </c>
      <c r="AD260" s="1850">
        <f t="shared" si="16"/>
        <v>0</v>
      </c>
      <c r="AE260" s="1850">
        <f t="shared" si="16"/>
        <v>0</v>
      </c>
      <c r="AF260" s="1850">
        <f t="shared" si="22"/>
        <v>0</v>
      </c>
      <c r="AG260" s="14"/>
      <c r="AH260" s="14"/>
    </row>
    <row r="261" spans="1:34" s="7" customFormat="1" x14ac:dyDescent="0.25">
      <c r="A261" s="1326"/>
      <c r="B261" s="1328">
        <f t="shared" si="23"/>
        <v>154</v>
      </c>
      <c r="C261" s="1806" t="str">
        <f>INDEX(months12,9)&amp;IFERROR(IF(DATEVALUE("1 "&amp;INDEX(months12,9)&amp;" "&amp;E$202)&lt;=DATEVALUE("1 "&amp;D$202&amp;" "&amp;E$202)," "&amp;E$202," "&amp;E$202-1),"")</f>
        <v>сентябрь</v>
      </c>
      <c r="D261" s="1339"/>
      <c r="E261" s="1339"/>
      <c r="F261" s="1339"/>
      <c r="G261" s="1339"/>
      <c r="H261" s="1339"/>
      <c r="I261" s="1336"/>
      <c r="J261" s="1335"/>
      <c r="K261" s="1969"/>
      <c r="L261" s="1969"/>
      <c r="M261" s="50"/>
      <c r="N261" s="50"/>
      <c r="O261" s="50"/>
      <c r="P261" s="1849">
        <f t="shared" si="17"/>
        <v>0</v>
      </c>
      <c r="Q261" s="1850">
        <f>($D$151*$F$151*списки!$C$65+$F$152*$D$152*списки!$C$66+$F$153*$D$153*списки!$C$67+$F$154*$D$154*списки!$C$68+$F$155*$D$155*списки!$C$69+$F$156*$D$156*списки!$C$70)*($J281/SUM($J$273:$J$284))*10^-6   +N("1 / 1 000 000 - переводной коэффициент [Вт-ч] --&gt; [тыс. кВт-ч]")</f>
        <v>0</v>
      </c>
      <c r="R261" s="1850">
        <f>$D$161*списки!$C$72*($J281/SUM($J$273:$J$284))*10^-3   +N("1 / 1000 - переводной коэффициент [кВт-ч] --&gt; [тыс. кВт-ч]")</f>
        <v>0</v>
      </c>
      <c r="S261" s="1850">
        <f t="shared" si="18"/>
        <v>0</v>
      </c>
      <c r="T261" s="1850">
        <f>$D$167*IFERROR('Расчет базового уровня'!$G$148,0)*24/1000</f>
        <v>0</v>
      </c>
      <c r="U261" s="1850">
        <f>$D$171*'Расчет базового уровня'!$O$172*24/1000</f>
        <v>0</v>
      </c>
      <c r="V261" s="1850">
        <f>$D$175*'Расчет базового уровня'!$O$167*24/1000</f>
        <v>0</v>
      </c>
      <c r="W261" s="1851">
        <f t="shared" si="13"/>
        <v>0</v>
      </c>
      <c r="X261" s="1324"/>
      <c r="Y261" s="1849">
        <f t="shared" si="19"/>
        <v>0</v>
      </c>
      <c r="Z261" s="1850">
        <f t="shared" si="20"/>
        <v>0</v>
      </c>
      <c r="AA261" s="1850">
        <f t="shared" si="14"/>
        <v>0</v>
      </c>
      <c r="AB261" s="1850">
        <f t="shared" si="15"/>
        <v>0</v>
      </c>
      <c r="AC261" s="1850">
        <f t="shared" si="21"/>
        <v>0</v>
      </c>
      <c r="AD261" s="1850">
        <f t="shared" si="16"/>
        <v>0</v>
      </c>
      <c r="AE261" s="1850">
        <f t="shared" si="16"/>
        <v>0</v>
      </c>
      <c r="AF261" s="1850">
        <f t="shared" si="22"/>
        <v>0</v>
      </c>
      <c r="AG261" s="14"/>
      <c r="AH261" s="14"/>
    </row>
    <row r="262" spans="1:34" s="7" customFormat="1" x14ac:dyDescent="0.25">
      <c r="A262" s="1326"/>
      <c r="B262" s="1328">
        <f t="shared" si="23"/>
        <v>155</v>
      </c>
      <c r="C262" s="1806" t="str">
        <f>INDEX(months12,10)&amp;IFERROR(IF(DATEVALUE("1 "&amp;INDEX(months12,10)&amp;" "&amp;E$202)&lt;=DATEVALUE("1 "&amp;D$202&amp;" "&amp;E$202)," "&amp;E$202," "&amp;E$202-1),"")</f>
        <v>октябрь</v>
      </c>
      <c r="D262" s="1339"/>
      <c r="E262" s="1339"/>
      <c r="F262" s="1339"/>
      <c r="G262" s="1339"/>
      <c r="H262" s="1339"/>
      <c r="I262" s="1336"/>
      <c r="J262" s="1335"/>
      <c r="K262" s="1969"/>
      <c r="L262" s="1969"/>
      <c r="M262" s="50"/>
      <c r="N262" s="50"/>
      <c r="O262" s="50"/>
      <c r="P262" s="1849">
        <f t="shared" si="17"/>
        <v>0</v>
      </c>
      <c r="Q262" s="1850">
        <f>($D$151*$F$151*списки!$C$65+$F$152*$D$152*списки!$C$66+$F$153*$D$153*списки!$C$67+$F$154*$D$154*списки!$C$68+$F$155*$D$155*списки!$C$69+$F$156*$D$156*списки!$C$70)*($J282/SUM($J$273:$J$284))*10^-6   +N("1 / 1 000 000 - переводной коэффициент [Вт-ч] --&gt; [тыс. кВт-ч]")</f>
        <v>0</v>
      </c>
      <c r="R262" s="1850">
        <f>$D$161*списки!$C$72*($J282/SUM($J$273:$J$284))*10^-3   +N("1 / 1000 - переводной коэффициент [кВт-ч] --&gt; [тыс. кВт-ч]")</f>
        <v>0</v>
      </c>
      <c r="S262" s="1850">
        <f t="shared" si="18"/>
        <v>0</v>
      </c>
      <c r="T262" s="1850">
        <f>$D$167*IFERROR('Расчет базового уровня'!$G$148,0)*24/1000</f>
        <v>0</v>
      </c>
      <c r="U262" s="1850">
        <f>$D$171*'Расчет базового уровня'!$P$172*24/1000</f>
        <v>0</v>
      </c>
      <c r="V262" s="1850">
        <f>$D$175*'Расчет базового уровня'!$P$167*24/1000</f>
        <v>0</v>
      </c>
      <c r="W262" s="1851">
        <f t="shared" si="13"/>
        <v>0</v>
      </c>
      <c r="X262" s="1324"/>
      <c r="Y262" s="1849">
        <f t="shared" si="19"/>
        <v>0</v>
      </c>
      <c r="Z262" s="1850">
        <f t="shared" si="20"/>
        <v>0</v>
      </c>
      <c r="AA262" s="1850">
        <f t="shared" si="14"/>
        <v>0</v>
      </c>
      <c r="AB262" s="1850">
        <f t="shared" si="15"/>
        <v>0</v>
      </c>
      <c r="AC262" s="1850">
        <f t="shared" si="21"/>
        <v>0</v>
      </c>
      <c r="AD262" s="1850">
        <f t="shared" si="16"/>
        <v>0</v>
      </c>
      <c r="AE262" s="1850">
        <f t="shared" si="16"/>
        <v>0</v>
      </c>
      <c r="AF262" s="1850">
        <f t="shared" si="22"/>
        <v>0</v>
      </c>
      <c r="AG262" s="14"/>
      <c r="AH262" s="14"/>
    </row>
    <row r="263" spans="1:34" s="7" customFormat="1" x14ac:dyDescent="0.25">
      <c r="A263" s="1326"/>
      <c r="B263" s="1328">
        <f t="shared" si="23"/>
        <v>156</v>
      </c>
      <c r="C263" s="1806" t="str">
        <f>INDEX(months12,11)&amp;IFERROR(IF(DATEVALUE("1 "&amp;INDEX(months12,11)&amp;" "&amp;E$202)&lt;=DATEVALUE("1 "&amp;D$202&amp;" "&amp;E$202)," "&amp;E$202," "&amp;E$202-1),"")</f>
        <v>ноябрь</v>
      </c>
      <c r="D263" s="1339"/>
      <c r="E263" s="1339"/>
      <c r="F263" s="1339"/>
      <c r="G263" s="1339"/>
      <c r="H263" s="1339"/>
      <c r="I263" s="1336"/>
      <c r="J263" s="1335"/>
      <c r="K263" s="1969"/>
      <c r="L263" s="1969"/>
      <c r="M263" s="50"/>
      <c r="N263" s="50"/>
      <c r="O263" s="50"/>
      <c r="P263" s="1849">
        <f t="shared" si="17"/>
        <v>0</v>
      </c>
      <c r="Q263" s="1850">
        <f>($D$151*$F$151*списки!$C$65+$F$152*$D$152*списки!$C$66+$F$153*$D$153*списки!$C$67+$F$154*$D$154*списки!$C$68+$F$155*$D$155*списки!$C$69+$F$156*$D$156*списки!$C$70)*($J283/SUM($J$273:$J$284))*10^-6   +N("1 / 1 000 000 - переводной коэффициент [Вт-ч] --&gt; [тыс. кВт-ч]")</f>
        <v>0</v>
      </c>
      <c r="R263" s="1850">
        <f>$D$161*списки!$C$72*($J283/SUM($J$273:$J$284))*10^-3   +N("1 / 1000 - переводной коэффициент [кВт-ч] --&gt; [тыс. кВт-ч]")</f>
        <v>0</v>
      </c>
      <c r="S263" s="1850">
        <f t="shared" si="18"/>
        <v>0</v>
      </c>
      <c r="T263" s="1850">
        <f>$D$167*IFERROR('Расчет базового уровня'!$G$148,0)*24/1000</f>
        <v>0</v>
      </c>
      <c r="U263" s="1850">
        <f>$D$171*'Расчет базового уровня'!$Q$172*24/1000</f>
        <v>0</v>
      </c>
      <c r="V263" s="1850">
        <f>$D$175*'Расчет базового уровня'!$Q$167*24/1000</f>
        <v>0</v>
      </c>
      <c r="W263" s="1851">
        <f t="shared" si="13"/>
        <v>0</v>
      </c>
      <c r="X263" s="1324"/>
      <c r="Y263" s="1849">
        <f t="shared" si="19"/>
        <v>0</v>
      </c>
      <c r="Z263" s="1850">
        <f t="shared" si="20"/>
        <v>0</v>
      </c>
      <c r="AA263" s="1850">
        <f t="shared" si="14"/>
        <v>0</v>
      </c>
      <c r="AB263" s="1850">
        <f t="shared" si="15"/>
        <v>0</v>
      </c>
      <c r="AC263" s="1850">
        <f t="shared" si="21"/>
        <v>0</v>
      </c>
      <c r="AD263" s="1850">
        <f t="shared" si="16"/>
        <v>0</v>
      </c>
      <c r="AE263" s="1850">
        <f t="shared" si="16"/>
        <v>0</v>
      </c>
      <c r="AF263" s="1850">
        <f t="shared" si="22"/>
        <v>0</v>
      </c>
      <c r="AG263" s="14"/>
      <c r="AH263" s="14"/>
    </row>
    <row r="264" spans="1:34" s="7" customFormat="1" x14ac:dyDescent="0.25">
      <c r="A264" s="1326"/>
      <c r="B264" s="1328">
        <f t="shared" si="23"/>
        <v>157</v>
      </c>
      <c r="C264" s="1807" t="str">
        <f>INDEX(months12,12)&amp;IFERROR(IF(DATEVALUE("1 "&amp;INDEX(months12,12)&amp;" "&amp;E$202)&lt;=DATEVALUE("1 "&amp;D$202&amp;" "&amp;E$202)," "&amp;E$202," "&amp;E$202-1),"")</f>
        <v>декабрь</v>
      </c>
      <c r="D264" s="1853"/>
      <c r="E264" s="1853"/>
      <c r="F264" s="1853"/>
      <c r="G264" s="1853"/>
      <c r="H264" s="1853"/>
      <c r="I264" s="1878"/>
      <c r="J264" s="1879"/>
      <c r="K264" s="1969"/>
      <c r="L264" s="1969"/>
      <c r="M264" s="50"/>
      <c r="N264" s="50"/>
      <c r="O264" s="50"/>
      <c r="P264" s="1849">
        <f t="shared" si="17"/>
        <v>0</v>
      </c>
      <c r="Q264" s="1850">
        <f>($D$151*$F$151*списки!$C$65+$F$152*$D$152*списки!$C$66+$F$153*$D$153*списки!$C$67+$F$154*$D$154*списки!$C$68+$F$155*$D$155*списки!$C$69+$F$156*$D$156*списки!$C$70)*($J284/SUM($J$273:$J$284))*10^-6   +N("1 / 1 000 000 - переводной коэффициент [Вт-ч] --&gt; [тыс. кВт-ч]")</f>
        <v>0</v>
      </c>
      <c r="R264" s="1850">
        <f>$D$161*списки!$C$72*($J284/SUM($J$273:$J$284))*10^-3   +N("1 / 1000 - переводной коэффициент [кВт-ч] --&gt; [тыс. кВт-ч]")</f>
        <v>0</v>
      </c>
      <c r="S264" s="1850">
        <f t="shared" si="18"/>
        <v>0</v>
      </c>
      <c r="T264" s="1850">
        <f>$D$167*IFERROR('Расчет базового уровня'!$G$148,0)*24/1000</f>
        <v>0</v>
      </c>
      <c r="U264" s="1850">
        <f>$D$171*'Расчет базового уровня'!$R$172*24/1000</f>
        <v>0</v>
      </c>
      <c r="V264" s="1850">
        <f>$D$175*'Расчет базового уровня'!$R$167*24/1000</f>
        <v>0</v>
      </c>
      <c r="W264" s="1851">
        <f t="shared" si="13"/>
        <v>0</v>
      </c>
      <c r="X264" s="1324"/>
      <c r="Y264" s="1849">
        <f t="shared" si="19"/>
        <v>0</v>
      </c>
      <c r="Z264" s="1850">
        <f t="shared" si="20"/>
        <v>0</v>
      </c>
      <c r="AA264" s="1850">
        <f t="shared" si="14"/>
        <v>0</v>
      </c>
      <c r="AB264" s="1850">
        <f t="shared" si="15"/>
        <v>0</v>
      </c>
      <c r="AC264" s="1850">
        <f t="shared" si="21"/>
        <v>0</v>
      </c>
      <c r="AD264" s="1850">
        <f t="shared" si="16"/>
        <v>0</v>
      </c>
      <c r="AE264" s="1850">
        <f t="shared" si="16"/>
        <v>0</v>
      </c>
      <c r="AF264" s="1850">
        <f t="shared" si="22"/>
        <v>0</v>
      </c>
      <c r="AG264" s="14"/>
      <c r="AH264" s="14"/>
    </row>
    <row r="265" spans="1:34" s="7" customFormat="1" x14ac:dyDescent="0.25">
      <c r="A265" s="1326"/>
      <c r="B265" s="1326"/>
      <c r="C265" s="1808" t="s">
        <v>984</v>
      </c>
      <c r="D265" s="1927">
        <f t="shared" ref="D265:J265" si="24">SUM(D253:D264)</f>
        <v>0</v>
      </c>
      <c r="E265" s="1927">
        <f t="shared" si="24"/>
        <v>0</v>
      </c>
      <c r="F265" s="1927">
        <f t="shared" si="24"/>
        <v>0</v>
      </c>
      <c r="G265" s="1927">
        <f t="shared" si="24"/>
        <v>0</v>
      </c>
      <c r="H265" s="1927">
        <f t="shared" si="24"/>
        <v>0</v>
      </c>
      <c r="I265" s="1927">
        <f t="shared" si="24"/>
        <v>0</v>
      </c>
      <c r="J265" s="1928">
        <f t="shared" si="24"/>
        <v>0</v>
      </c>
      <c r="K265" s="1969"/>
      <c r="L265" s="1969"/>
      <c r="M265" s="50"/>
      <c r="N265" s="50"/>
      <c r="O265" s="50"/>
      <c r="P265" s="1849">
        <f t="shared" ref="P265:W265" si="25">SUM(P253:P264)</f>
        <v>0</v>
      </c>
      <c r="Q265" s="1850">
        <f t="shared" si="25"/>
        <v>0</v>
      </c>
      <c r="R265" s="1850">
        <f t="shared" si="25"/>
        <v>0</v>
      </c>
      <c r="S265" s="1850">
        <f t="shared" si="25"/>
        <v>0</v>
      </c>
      <c r="T265" s="1850">
        <f t="shared" si="25"/>
        <v>0</v>
      </c>
      <c r="U265" s="1850">
        <f t="shared" si="25"/>
        <v>0</v>
      </c>
      <c r="V265" s="1850">
        <f t="shared" si="25"/>
        <v>0</v>
      </c>
      <c r="W265" s="1850">
        <f t="shared" si="25"/>
        <v>0</v>
      </c>
      <c r="X265" s="1324"/>
      <c r="Y265" s="1849">
        <f>ROUND(SUM(Z265:AB265,AF265),5)</f>
        <v>0</v>
      </c>
      <c r="Z265" s="1850">
        <f>ROUND(IF(G265=0,IFERROR($F265*Q265/$P265,0),G265),5)</f>
        <v>0</v>
      </c>
      <c r="AA265" s="1850">
        <f>ROUND(IF(H265=0,IF(AND(G265&lt;&gt;0,$D$161&lt;&gt;0,SUM($D$165,$D$169,$D$173,$D$179)=0),F265-G265,IFERROR($F265*R265/$P265,0)),H265),5)</f>
        <v>0</v>
      </c>
      <c r="AB265" s="1850">
        <f>ROUND(IF(I265=0,IF(AND(G265&lt;&gt;0,$D$161=0,SUM($D$165,$D$169,$D$173,$D$179)&gt;0),F265-G265,IFERROR($F265*S265/$P265,0)),I265),5)</f>
        <v>0</v>
      </c>
      <c r="AC265" s="1850">
        <f>ROUND(IFERROR($AB265*T265/$S265,0),5)</f>
        <v>0</v>
      </c>
      <c r="AD265" s="1850">
        <f>ROUND(IFERROR($AB265*U265/$S265,0),5)</f>
        <v>0</v>
      </c>
      <c r="AE265" s="1850">
        <f>ROUND(IFERROR($AB265*V265/$S265,0),5)</f>
        <v>0</v>
      </c>
      <c r="AF265" s="1850">
        <f>ROUND(IFERROR(IF(J265=0,$F265*W265/$P265,P265),0),5)</f>
        <v>0</v>
      </c>
      <c r="AG265" s="1848">
        <f>Y265-SUM(Z265:AB265,AF265)</f>
        <v>0</v>
      </c>
      <c r="AH265" s="14"/>
    </row>
    <row r="266" spans="1:34" s="7" customFormat="1" ht="29.25" customHeight="1" x14ac:dyDescent="0.25">
      <c r="A266" s="1326"/>
      <c r="B266" s="1326"/>
      <c r="C266" s="50"/>
      <c r="D266" s="50"/>
      <c r="E266" s="1787" t="str">
        <f>IF(E265&gt;10000,"Вводите показания в ТЫС кВтч","")</f>
        <v/>
      </c>
      <c r="F266" s="2023" t="str">
        <f>IF(AND(D179&gt;0,D179*D180&gt;=0.9*J265),"Введенная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66" s="2023"/>
      <c r="H266" s="2023"/>
      <c r="I266" s="2023"/>
      <c r="J266" s="2023"/>
      <c r="K266" s="50"/>
      <c r="L266" s="50"/>
      <c r="M266" s="8"/>
      <c r="N266" s="8"/>
      <c r="O266" s="14"/>
      <c r="P266" s="14"/>
      <c r="Q266" s="14"/>
      <c r="R266" s="14"/>
      <c r="S266" s="14"/>
      <c r="T266" s="14"/>
      <c r="U266" s="14"/>
      <c r="V266" s="14"/>
      <c r="W266" s="14"/>
      <c r="X266" s="14"/>
      <c r="Y266" s="14"/>
      <c r="Z266" s="14"/>
      <c r="AA266" s="14"/>
      <c r="AB266" s="14"/>
      <c r="AC266" s="14"/>
      <c r="AD266" s="14"/>
      <c r="AE266" s="14"/>
      <c r="AF266" s="14"/>
      <c r="AG266" s="14"/>
      <c r="AH266" s="14"/>
    </row>
    <row r="267" spans="1:34" x14ac:dyDescent="0.25">
      <c r="A267" s="1326"/>
      <c r="B267" s="1326"/>
      <c r="C267" s="50"/>
      <c r="D267" s="50"/>
      <c r="E267" s="50"/>
      <c r="F267" s="2011" t="str">
        <f>IF(SUM(G265:J265)&gt;F265,"Сумма компонентов больше графы Всего","")</f>
        <v/>
      </c>
      <c r="G267" s="2011"/>
      <c r="H267" s="2011"/>
      <c r="I267" s="2011"/>
      <c r="J267" s="2011"/>
      <c r="K267" s="50"/>
      <c r="L267" s="50"/>
      <c r="M267" s="8"/>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x14ac:dyDescent="0.25">
      <c r="A268" s="1326"/>
      <c r="B268" s="1326"/>
      <c r="C268" s="50"/>
      <c r="D268" s="50"/>
      <c r="E268" s="50"/>
      <c r="F268" s="2011" t="str">
        <f>IF(AND(G265&lt;&gt;0,F265&gt;G265,H265=0,I265=0,J265=0,SUM(D179+D175+D171+D167+D161)=0),"Есть неизвестный потребитель электроэнергии. Проверьте, действительно ли лифты и насосы отсутствуют","")</f>
        <v/>
      </c>
      <c r="G268" s="2011"/>
      <c r="H268" s="2011"/>
      <c r="I268" s="2011"/>
      <c r="J268" s="2011"/>
      <c r="K268" s="50"/>
      <c r="L268" s="50"/>
      <c r="M268" s="8"/>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30" customHeight="1" thickBot="1" x14ac:dyDescent="0.3">
      <c r="A269" s="1326"/>
      <c r="B269" s="1326"/>
      <c r="C269" s="1326"/>
      <c r="D269" s="1326"/>
      <c r="E269" s="1326"/>
      <c r="F269" s="1990" t="str">
        <f>IFERROR(
  IF(ROUND(Y265,1)&lt;&gt;ROUND(F265,1),"Не получается разбить потребление электроэнергии на цели использования!"&amp;CHAR(10)&amp;"Обратитесь в поддержку: expert_ekr@fondgkh.ru",
  IF(OR(F265&gt;P265*10,
                          F265&lt;P265/10,
                 ABS(F265-P265)&gt;50),
"Потребление электроэнергии на ОДН значительно отличается от расчитанного по мощности электрооборудования!"&amp;CHAR(10)&amp;"Обратитесь в поддержку: expert_ekr@fondgkh.ru","")),"")</f>
        <v/>
      </c>
      <c r="G269" s="1990"/>
      <c r="H269" s="1990"/>
      <c r="I269" s="1990"/>
      <c r="J269" s="1990"/>
      <c r="K269" s="1990"/>
      <c r="L269" s="199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s="13" customFormat="1" ht="30" customHeight="1" thickBot="1" x14ac:dyDescent="0.3">
      <c r="A270" s="1326"/>
      <c r="B270" s="1327">
        <f>7/8</f>
        <v>0.875</v>
      </c>
      <c r="C270" s="2004" t="s">
        <v>2485</v>
      </c>
      <c r="D270" s="2004"/>
      <c r="E270" s="2004"/>
      <c r="F270" s="2004"/>
      <c r="G270" s="2004"/>
      <c r="H270" s="2004"/>
      <c r="I270" s="2004"/>
      <c r="J270" s="2004"/>
      <c r="K270" s="2004"/>
      <c r="L270" s="1783"/>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x14ac:dyDescent="0.25">
      <c r="A271" s="1326"/>
      <c r="B271" s="1326"/>
      <c r="C271" s="1811" t="s">
        <v>2463</v>
      </c>
      <c r="D271" s="2024" t="s">
        <v>2168</v>
      </c>
      <c r="E271" s="2025"/>
      <c r="F271" s="1972" t="s">
        <v>2167</v>
      </c>
      <c r="G271" s="1972"/>
      <c r="H271" s="2032" t="s">
        <v>1261</v>
      </c>
      <c r="I271" s="1987" t="s">
        <v>1265</v>
      </c>
      <c r="J271" s="1987" t="s">
        <v>2476</v>
      </c>
      <c r="K271" s="2028" t="s">
        <v>1267</v>
      </c>
      <c r="L271" s="14"/>
      <c r="M271" s="2076" t="s">
        <v>2477</v>
      </c>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45" customHeight="1" x14ac:dyDescent="0.25">
      <c r="A272" s="1326"/>
      <c r="B272" s="1326"/>
      <c r="C272" s="1809" t="s">
        <v>2468</v>
      </c>
      <c r="D272" s="1872" t="s">
        <v>986</v>
      </c>
      <c r="E272" s="1873" t="s">
        <v>2473</v>
      </c>
      <c r="F272" s="1872" t="s">
        <v>1262</v>
      </c>
      <c r="G272" s="1873" t="s">
        <v>2474</v>
      </c>
      <c r="H272" s="2032"/>
      <c r="I272" s="1987"/>
      <c r="J272" s="1987"/>
      <c r="K272" s="2029"/>
      <c r="L272" s="14"/>
      <c r="M272" s="2076"/>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x14ac:dyDescent="0.25">
      <c r="A273" s="1326"/>
      <c r="B273" s="1328">
        <f>B264+1</f>
        <v>158</v>
      </c>
      <c r="C273" s="1805" t="str">
        <f>INDEX(months12,1)&amp;IFERROR(IF(DATEVALUE("1 "&amp;INDEX(months12,1)&amp;" "&amp;E$202)&lt;=DATEVALUE("1 "&amp;D$202&amp;" "&amp;E$202)," "&amp;E$202," "&amp;E$202-1),"")</f>
        <v>январь</v>
      </c>
      <c r="D273" s="1880" t="str">
        <f>IFERROR(Климатология!AI2,"")</f>
        <v/>
      </c>
      <c r="E273" s="1881"/>
      <c r="F273" s="1882" t="str">
        <f>IFERROR(Климатология!AL2,"")</f>
        <v/>
      </c>
      <c r="G273" s="1882" t="str">
        <f ca="1">IFERROR((списки!$C$56-IF(I273&lt;0.5*J273,8,E273))*I273,"")</f>
        <v/>
      </c>
      <c r="H273" s="1883">
        <f ca="1">IFERROR(IF(G273=0,0,F273/G273),0)</f>
        <v>0</v>
      </c>
      <c r="I273"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IF(DATEVALUE(C273)&gt;E$206,
                       IF(DATEVALUE(C273)&gt;D$207,
                                  IF(DATEVALUE(C273)&gt;E$207,
                                               N("здесь и далее, если даты начала ОП в текущем году нет, то подставляется 1 января следующего года")+
                                               IF(DATEVALUE(C273)&gt;IF(NOT(ISBLANK(D$208)),D$208,DATEVALUE("01.01."&amp;E$202+1)),
                                                            (DATEVALUE(C273)+J273-1)-DATEVALUE(C273)+1,
                                                             IF(DATEVALUE(C273)+J273-1&gt;IF(NOT(ISBLANK(D$208)),D$208,DATEVALUE("01.01."&amp;E$202+1)),
                                                                         1+(DATEVALUE(C273)+J273-1)-IF(NOT(ISBLANK(D$208)),D$208,DATEVALUE("01.01."&amp;E$202+1)),
                                                                         0)),
                                                IF(DATEVALUE(C273)+J273-1&gt;E$207,
                                                            1+E$207-DATEVALUE(C273),
                                                            1+(DATEVALUE(C273)+J273-1)-DATEVALUE(C273))),
                                  IF(DATEVALUE(C273)+J273-1&gt;D$207,
                                               1+(DATEVALUE(C273)+J273-1)-D$207,
                                               0)),
                       IF(DATEVALUE(C273)+J273-1&gt;E$206,
                                    1+E$206-DATEVALUE(C273),
                                    1+(DATEVALUE(C273)+J273-1)-DATEVALUE(C273))),""),"")</f>
        <v/>
      </c>
      <c r="J273" s="1880">
        <v>31</v>
      </c>
      <c r="K273" s="1884" t="str">
        <f>IF(ISBLANK(E273),"",IF(I273&lt;0.5*J273,8,E273)*I273)</f>
        <v/>
      </c>
      <c r="L273" s="1268">
        <f ca="1">IF(AND(I273&gt;0,E273=0),1,0)</f>
        <v>1</v>
      </c>
      <c r="M273" s="1902">
        <f ca="1">(списки!C$60*N(I273)+списки!C$61*(J273-N(I273)))/J273</f>
        <v>15</v>
      </c>
      <c r="N273" s="14"/>
      <c r="O273" s="14"/>
      <c r="P273" s="1899"/>
      <c r="Q273" s="14"/>
      <c r="R273" s="14"/>
      <c r="S273" s="14"/>
      <c r="T273" s="14"/>
      <c r="U273" s="14"/>
      <c r="V273" s="14"/>
      <c r="W273" s="14"/>
      <c r="X273" s="14"/>
      <c r="Y273" s="14"/>
      <c r="Z273" s="14"/>
      <c r="AA273" s="14"/>
      <c r="AB273" s="14"/>
      <c r="AC273" s="14"/>
      <c r="AD273" s="14"/>
      <c r="AE273" s="14"/>
      <c r="AF273" s="14"/>
      <c r="AG273" s="14"/>
      <c r="AH273" s="14"/>
    </row>
    <row r="274" spans="1:34" x14ac:dyDescent="0.25">
      <c r="A274" s="1326"/>
      <c r="B274" s="1328">
        <f>B273+1</f>
        <v>159</v>
      </c>
      <c r="C274" s="1806" t="str">
        <f>INDEX(months12,2)&amp;IFERROR(IF(DATEVALUE("1 "&amp;INDEX(months12,2)&amp;" "&amp;E$202)&lt;=DATEVALUE("1 "&amp;D$202&amp;" "&amp;E$202)," "&amp;E$202," "&amp;E$202-1),"")</f>
        <v>февраль</v>
      </c>
      <c r="D274" s="1315" t="str">
        <f>IFERROR(Климатология!AM2,"")</f>
        <v/>
      </c>
      <c r="E274" s="1340"/>
      <c r="F274" s="1418" t="str">
        <f>IFERROR(Климатология!AP2,"")</f>
        <v/>
      </c>
      <c r="G274" s="1882" t="str">
        <f ca="1">IFERROR((списки!$C$56-IF(I274&lt;0.5*J274,8,E274))*I274,"")</f>
        <v/>
      </c>
      <c r="H274" s="1317">
        <f t="shared" ref="H274:H284" ca="1" si="26">IFERROR(IF(G274=0,0,F274/G274),0)</f>
        <v>0</v>
      </c>
      <c r="I274"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IF(DATEVALUE(C274)&gt;E$206,
                       IF(DATEVALUE(C274)&gt;D$207,
                                  IF(DATEVALUE(C274)&gt;E$207,
                                               N("здесь и далее, если даты начала ОП в текущем году нет, то подставляется 1 января следующего года")+
                                               IF(DATEVALUE(C274)&gt;IF(NOT(ISBLANK(D$208)),D$208,DATEVALUE("01.01."&amp;E$202+1)),
                                                            (DATEVALUE(C274)+J274-1)-DATEVALUE(C274)+1,
                                                             IF(DATEVALUE(C274)+J274-1&gt;IF(NOT(ISBLANK(D$208)),D$208,DATEVALUE("01.01."&amp;E$202+1)),
                                                                         1+(DATEVALUE(C274)+J274-1)-IF(NOT(ISBLANK(D$208)),D$208,DATEVALUE("01.01."&amp;E$202+1)),
                                                                         0)),
                                                IF(DATEVALUE(C274)+J274-1&gt;E$207,
                                                            1+E$207-DATEVALUE(C274),
                                                            1+(DATEVALUE(C274)+J274-1)-DATEVALUE(C274))),
                                  IF(DATEVALUE(C274)+J274-1&gt;D$207,
                                               1+(DATEVALUE(C274)+J274-1)-D$207,
                                               0)),
                       IF(DATEVALUE(C274)+J274-1&gt;E$206,
                                    1+E$206-DATEVALUE(C274),
                                    1+(DATEVALUE(C274)+J274-1)-DATEVALUE(C274))),""),"")</f>
        <v/>
      </c>
      <c r="J274" s="1696">
        <f>IFERROR(EDATE(DATEVALUE(C274),1)-DATEVALUE(C274),28)</f>
        <v>28</v>
      </c>
      <c r="K274" s="1318" t="str">
        <f t="shared" ref="K274:K278" si="27">IF(ISBLANK(E274),"",IF(I274&lt;0.5*J274,8,E274)*I274)</f>
        <v/>
      </c>
      <c r="L274" s="1268">
        <f t="shared" ref="L274:L285" ca="1" si="28">IF(AND(I274&gt;0,E274=0),1,0)</f>
        <v>1</v>
      </c>
      <c r="M274" s="1902">
        <f ca="1">(списки!C$60*N(I274)+списки!C$61*(J274-N(I274)))/J274</f>
        <v>15</v>
      </c>
      <c r="N274" s="14"/>
      <c r="O274" s="14"/>
      <c r="P274" s="1899"/>
      <c r="Q274" s="14"/>
      <c r="R274" s="14"/>
      <c r="S274" s="14"/>
      <c r="T274" s="14"/>
      <c r="U274" s="14"/>
      <c r="V274" s="14"/>
      <c r="W274" s="14"/>
      <c r="X274" s="14"/>
      <c r="Y274" s="14"/>
      <c r="Z274" s="14"/>
      <c r="AA274" s="14"/>
      <c r="AB274" s="14"/>
      <c r="AC274" s="14"/>
      <c r="AD274" s="14"/>
      <c r="AE274" s="14"/>
      <c r="AF274" s="14"/>
      <c r="AG274" s="14"/>
      <c r="AH274" s="14"/>
    </row>
    <row r="275" spans="1:34" x14ac:dyDescent="0.25">
      <c r="A275" s="1326"/>
      <c r="B275" s="1328">
        <f t="shared" ref="B275:B284" si="29">B274+1</f>
        <v>160</v>
      </c>
      <c r="C275" s="1806" t="str">
        <f>INDEX(months12,3)&amp;IFERROR(IF(DATEVALUE("1 "&amp;INDEX(months12,3)&amp;" "&amp;E$202)&lt;=DATEVALUE("1 "&amp;D$202&amp;" "&amp;E$202)," "&amp;E$202," "&amp;E$202-1),"")</f>
        <v>март</v>
      </c>
      <c r="D275" s="1315" t="str">
        <f>IFERROR(Климатология!AQ2,"")</f>
        <v/>
      </c>
      <c r="E275" s="1340"/>
      <c r="F275" s="1418" t="str">
        <f>IFERROR(Климатология!AT2,"")</f>
        <v/>
      </c>
      <c r="G275" s="1882" t="str">
        <f ca="1">IFERROR((списки!$C$56-IF(I275&lt;0.5*J275,8,E275))*I275,"")</f>
        <v/>
      </c>
      <c r="H275" s="1317">
        <f t="shared" ca="1" si="26"/>
        <v>0</v>
      </c>
      <c r="I275"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IF(DATEVALUE(C275)&gt;E$206,
                       IF(DATEVALUE(C275)&gt;D$207,
                                  IF(DATEVALUE(C275)&gt;E$207,
                                               N("здесь и далее, если даты начала ОП в текущем году нет, то подставляется 1 января следующего года")+
                                               IF(DATEVALUE(C275)&gt;IF(NOT(ISBLANK(D$208)),D$208,DATEVALUE("01.01."&amp;E$202+1)),
                                                            (DATEVALUE(C275)+J275-1)-DATEVALUE(C275)+1,
                                                             IF(DATEVALUE(C275)+J275-1&gt;IF(NOT(ISBLANK(D$208)),D$208,DATEVALUE("01.01."&amp;E$202+1)),
                                                                         1+(DATEVALUE(C275)+J275-1)-IF(NOT(ISBLANK(D$208)),D$208,DATEVALUE("01.01."&amp;E$202+1)),
                                                                         0)),
                                                IF(DATEVALUE(C275)+J275-1&gt;E$207,
                                                            1+E$207-DATEVALUE(C275),
                                                            1+(DATEVALUE(C275)+J275-1)-DATEVALUE(C275))),
                                  IF(DATEVALUE(C275)+J275-1&gt;D$207,
                                               1+(DATEVALUE(C275)+J275-1)-D$207,
                                               0)),
                       IF(DATEVALUE(C275)+J275-1&gt;E$206,
                                    1+E$206-DATEVALUE(C275),
                                    1+(DATEVALUE(C275)+J275-1)-DATEVALUE(C275))),""),"")</f>
        <v/>
      </c>
      <c r="J275" s="1315">
        <v>31</v>
      </c>
      <c r="K275" s="1318" t="str">
        <f t="shared" si="27"/>
        <v/>
      </c>
      <c r="L275" s="1268">
        <f t="shared" ca="1" si="28"/>
        <v>1</v>
      </c>
      <c r="M275" s="1902">
        <f ca="1">(списки!C$60*N(I275)+списки!C$61*(J275-N(I275)))/J275</f>
        <v>15</v>
      </c>
      <c r="N275" s="14"/>
      <c r="O275" s="14"/>
      <c r="P275" s="1899"/>
      <c r="Q275" s="14"/>
      <c r="R275" s="14"/>
      <c r="S275" s="14"/>
      <c r="T275" s="14"/>
      <c r="U275" s="14"/>
      <c r="V275" s="14"/>
      <c r="W275" s="14"/>
      <c r="X275" s="14"/>
      <c r="Y275" s="14"/>
      <c r="Z275" s="14"/>
      <c r="AA275" s="14"/>
      <c r="AB275" s="14"/>
      <c r="AC275" s="14"/>
      <c r="AD275" s="14"/>
      <c r="AE275" s="14"/>
      <c r="AF275" s="14"/>
      <c r="AG275" s="14"/>
      <c r="AH275" s="14"/>
    </row>
    <row r="276" spans="1:34" x14ac:dyDescent="0.25">
      <c r="A276" s="1326"/>
      <c r="B276" s="1328">
        <f t="shared" si="29"/>
        <v>161</v>
      </c>
      <c r="C276" s="1806" t="str">
        <f>INDEX(months12,4)&amp;IFERROR(IF(DATEVALUE("1 "&amp;INDEX(months12,4)&amp;" "&amp;E$202)&lt;=DATEVALUE("1 "&amp;D$202&amp;" "&amp;E$202)," "&amp;E$202," "&amp;E$202-1),"")</f>
        <v>апрель</v>
      </c>
      <c r="D276" s="1315" t="str">
        <f>IFERROR(Климатология!AU2,"")</f>
        <v/>
      </c>
      <c r="E276" s="1340"/>
      <c r="F276" s="1418" t="str">
        <f>IFERROR(Климатология!AX2,"")</f>
        <v/>
      </c>
      <c r="G276" s="1882" t="str">
        <f ca="1">IFERROR((списки!$C$56-IF(I276&lt;0.5*J276,8,E276))*I276,"")</f>
        <v/>
      </c>
      <c r="H276" s="1317">
        <f t="shared" ca="1" si="26"/>
        <v>0</v>
      </c>
      <c r="I276"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IF(DATEVALUE(C276)&gt;E$206,
                       IF(DATEVALUE(C276)&gt;D$207,
                                  IF(DATEVALUE(C276)&gt;E$207,
                                               N("здесь и далее, если даты начала ОП в текущем году нет, то подставляется 1 января следующего года")+
                                               IF(DATEVALUE(C276)&gt;IF(NOT(ISBLANK(D$208)),D$208,DATEVALUE("01.01."&amp;E$202+1)),
                                                            (DATEVALUE(C276)+J276-1)-DATEVALUE(C276)+1,
                                                             IF(DATEVALUE(C276)+J276-1&gt;IF(NOT(ISBLANK(D$208)),D$208,DATEVALUE("01.01."&amp;E$202+1)),
                                                                         1+(DATEVALUE(C276)+J276-1)-IF(NOT(ISBLANK(D$208)),D$208,DATEVALUE("01.01."&amp;E$202+1)),
                                                                         0)),
                                                IF(DATEVALUE(C276)+J276-1&gt;E$207,
                                                            1+E$207-DATEVALUE(C276),
                                                            1+(DATEVALUE(C276)+J276-1)-DATEVALUE(C276))),
                                  IF(DATEVALUE(C276)+J276-1&gt;D$207,
                                               1+(DATEVALUE(C276)+J276-1)-D$207,
                                               0)),
                       IF(DATEVALUE(C276)+J276-1&gt;E$206,
                                    1+E$206-DATEVALUE(C276),
                                    1+(DATEVALUE(C276)+J276-1)-DATEVALUE(C276))),""),"")</f>
        <v/>
      </c>
      <c r="J276" s="1315">
        <v>30</v>
      </c>
      <c r="K276" s="1318" t="str">
        <f t="shared" si="27"/>
        <v/>
      </c>
      <c r="L276" s="1268">
        <f t="shared" ca="1" si="28"/>
        <v>1</v>
      </c>
      <c r="M276" s="1902">
        <f ca="1">(списки!C$60*N(I276)+списки!C$61*(J276-N(I276)))/J276</f>
        <v>15</v>
      </c>
      <c r="N276" s="14"/>
      <c r="O276" s="14"/>
      <c r="P276" s="1899"/>
      <c r="Q276" s="14"/>
      <c r="R276" s="14"/>
      <c r="S276" s="14"/>
      <c r="T276" s="14"/>
      <c r="U276" s="14"/>
      <c r="V276" s="14"/>
      <c r="W276" s="14"/>
      <c r="X276" s="14"/>
      <c r="Y276" s="14"/>
      <c r="Z276" s="14"/>
      <c r="AA276" s="14"/>
      <c r="AB276" s="14"/>
      <c r="AC276" s="14"/>
      <c r="AD276" s="14"/>
      <c r="AE276" s="14"/>
      <c r="AF276" s="14"/>
      <c r="AG276" s="14"/>
      <c r="AH276" s="14"/>
    </row>
    <row r="277" spans="1:34" x14ac:dyDescent="0.25">
      <c r="A277" s="1326"/>
      <c r="B277" s="1328">
        <f t="shared" si="29"/>
        <v>162</v>
      </c>
      <c r="C277" s="1806" t="str">
        <f>INDEX(months12,5)&amp;IFERROR(IF(DATEVALUE("1 "&amp;INDEX(months12,5)&amp;" "&amp;E$202)&lt;=DATEVALUE("1 "&amp;D$202&amp;" "&amp;E$202)," "&amp;E$202," "&amp;E$202-1),"")</f>
        <v>май</v>
      </c>
      <c r="D277" s="1315" t="str">
        <f>IFERROR(Климатология!AY2,"")</f>
        <v/>
      </c>
      <c r="E277" s="1340"/>
      <c r="F277" s="1418" t="str">
        <f>IFERROR(Климатология!BB2,"")</f>
        <v/>
      </c>
      <c r="G277" s="1882" t="str">
        <f ca="1">IFERROR((списки!$C$56-IF(I277&lt;0.5*J277,8,E277))*I277,"")</f>
        <v/>
      </c>
      <c r="H277" s="1317">
        <f t="shared" ca="1" si="26"/>
        <v>0</v>
      </c>
      <c r="I277"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IF(DATEVALUE(C277)&gt;E$206,
                       IF(DATEVALUE(C277)&gt;D$207,
                                  IF(DATEVALUE(C277)&gt;E$207,
                                               N("здесь и далее, если даты начала ОП в текущем году нет, то подставляется 1 января следующего года")+
                                               IF(DATEVALUE(C277)&gt;IF(NOT(ISBLANK(D$208)),D$208,DATEVALUE("01.01."&amp;E$202+1)),
                                                            (DATEVALUE(C277)+J277-1)-DATEVALUE(C277)+1,
                                                             IF(DATEVALUE(C277)+J277-1&gt;IF(NOT(ISBLANK(D$208)),D$208,DATEVALUE("01.01."&amp;E$202+1)),
                                                                         1+(DATEVALUE(C277)+J277-1)-IF(NOT(ISBLANK(D$208)),D$208,DATEVALUE("01.01."&amp;E$202+1)),
                                                                         0)),
                                                IF(DATEVALUE(C277)+J277-1&gt;E$207,
                                                            1+E$207-DATEVALUE(C277),
                                                            1+(DATEVALUE(C277)+J277-1)-DATEVALUE(C277))),
                                  IF(DATEVALUE(C277)+J277-1&gt;D$207,
                                               1+(DATEVALUE(C277)+J277-1)-D$207,
                                               0)),
                       IF(DATEVALUE(C277)+J277-1&gt;E$206,
                                    1+E$206-DATEVALUE(C277),
                                    1+(DATEVALUE(C277)+J277-1)-DATEVALUE(C277))),""),"")</f>
        <v/>
      </c>
      <c r="J277" s="1315">
        <v>31</v>
      </c>
      <c r="K277" s="1318" t="str">
        <f t="shared" si="27"/>
        <v/>
      </c>
      <c r="L277" s="1268">
        <f t="shared" ca="1" si="28"/>
        <v>1</v>
      </c>
      <c r="M277" s="1902">
        <f ca="1">(списки!C$60*N(I277)+списки!C$61*(J277-N(I277)))/J277</f>
        <v>15</v>
      </c>
      <c r="N277" s="14"/>
      <c r="O277" s="14"/>
      <c r="P277" s="1899"/>
      <c r="Q277" s="14"/>
      <c r="R277" s="14"/>
      <c r="S277" s="14"/>
      <c r="T277" s="14"/>
      <c r="U277" s="14"/>
      <c r="V277" s="14"/>
      <c r="W277" s="14"/>
      <c r="X277" s="14"/>
      <c r="Y277" s="14"/>
      <c r="Z277" s="14"/>
      <c r="AA277" s="14"/>
      <c r="AB277" s="14"/>
      <c r="AC277" s="14"/>
      <c r="AD277" s="14"/>
      <c r="AE277" s="14"/>
      <c r="AF277" s="14"/>
      <c r="AG277" s="14"/>
      <c r="AH277" s="14"/>
    </row>
    <row r="278" spans="1:34" x14ac:dyDescent="0.25">
      <c r="A278" s="1326"/>
      <c r="B278" s="1328">
        <f t="shared" si="29"/>
        <v>163</v>
      </c>
      <c r="C278" s="1806" t="str">
        <f>INDEX(months12,6)&amp;IFERROR(IF(DATEVALUE("1 "&amp;INDEX(months12,6)&amp;" "&amp;E$202)&lt;=DATEVALUE("1 "&amp;D$202&amp;" "&amp;E$202)," "&amp;E$202," "&amp;E$202-1),"")</f>
        <v>июнь</v>
      </c>
      <c r="D278" s="1315" t="str">
        <f>IFERROR(Климатология!BC2,"")</f>
        <v/>
      </c>
      <c r="E278" s="1340"/>
      <c r="F278" s="1418" t="str">
        <f>IFERROR(Климатология!BF2,"")</f>
        <v/>
      </c>
      <c r="G278" s="1882" t="str">
        <f ca="1">IFERROR((списки!$C$56-IF(I278&lt;0.5*J278,8,E278))*I278,"")</f>
        <v/>
      </c>
      <c r="H278" s="1317">
        <f t="shared" ca="1" si="26"/>
        <v>0</v>
      </c>
      <c r="I278"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IF(DATEVALUE(C278)&gt;E$206,
                       IF(DATEVALUE(C278)&gt;D$207,
                                  IF(DATEVALUE(C278)&gt;E$207,
                                               N("здесь и далее, если даты начала ОП в текущем году нет, то подставляется 1 января следующего года")+
                                               IF(DATEVALUE(C278)&gt;IF(NOT(ISBLANK(D$208)),D$208,DATEVALUE("01.01."&amp;E$202+1)),
                                                            (DATEVALUE(C278)+J278-1)-DATEVALUE(C278)+1,
                                                             IF(DATEVALUE(C278)+J278-1&gt;IF(NOT(ISBLANK(D$208)),D$208,DATEVALUE("01.01."&amp;E$202+1)),
                                                                         1+(DATEVALUE(C278)+J278-1)-IF(NOT(ISBLANK(D$208)),D$208,DATEVALUE("01.01."&amp;E$202+1)),
                                                                         0)),
                                                IF(DATEVALUE(C278)+J278-1&gt;E$207,
                                                            1+E$207-DATEVALUE(C278),
                                                            1+(DATEVALUE(C278)+J278-1)-DATEVALUE(C278))),
                                  IF(DATEVALUE(C278)+J278-1&gt;D$207,
                                               1+(DATEVALUE(C278)+J278-1)-D$207,
                                               0)),
                       IF(DATEVALUE(C278)+J278-1&gt;E$206,
                                    1+E$206-DATEVALUE(C278),
                                    1+(DATEVALUE(C278)+J278-1)-DATEVALUE(C278))),""),"")</f>
        <v/>
      </c>
      <c r="J278" s="1315">
        <v>30</v>
      </c>
      <c r="K278" s="1318" t="str">
        <f t="shared" si="27"/>
        <v/>
      </c>
      <c r="L278" s="1268">
        <f t="shared" ca="1" si="28"/>
        <v>1</v>
      </c>
      <c r="M278" s="1902">
        <f ca="1">(списки!C$60*N(I278)+списки!C$61*(J278-N(I278)))/J278</f>
        <v>15</v>
      </c>
      <c r="N278" s="14"/>
      <c r="O278" s="14"/>
      <c r="P278" s="1899"/>
      <c r="Q278" s="14"/>
      <c r="R278" s="14"/>
      <c r="S278" s="14"/>
      <c r="T278" s="14"/>
      <c r="U278" s="14"/>
      <c r="V278" s="14"/>
      <c r="W278" s="14"/>
      <c r="X278" s="14"/>
      <c r="Y278" s="14"/>
      <c r="Z278" s="14"/>
      <c r="AA278" s="14"/>
      <c r="AB278" s="14"/>
      <c r="AC278" s="14"/>
      <c r="AD278" s="14"/>
      <c r="AE278" s="14"/>
      <c r="AF278" s="14"/>
      <c r="AG278" s="14"/>
      <c r="AH278" s="14"/>
    </row>
    <row r="279" spans="1:34" x14ac:dyDescent="0.25">
      <c r="A279" s="1326"/>
      <c r="B279" s="1328">
        <f t="shared" si="29"/>
        <v>164</v>
      </c>
      <c r="C279" s="1806" t="str">
        <f>INDEX(months12,7)&amp;IFERROR(IF(DATEVALUE("1 "&amp;INDEX(months12,7)&amp;" "&amp;E$202)&lt;=DATEVALUE("1 "&amp;D$202&amp;" "&amp;E$202)," "&amp;E$202," "&amp;E$202-1),"")</f>
        <v>июль</v>
      </c>
      <c r="D279" s="1315" t="str">
        <f>IFERROR(Климатология!K2,"")</f>
        <v/>
      </c>
      <c r="E279" s="1340"/>
      <c r="F279" s="1418" t="str">
        <f>IFERROR(Климатология!N2,"")</f>
        <v/>
      </c>
      <c r="G279" s="1882" t="str">
        <f ca="1">IFERROR((списки!$C$56-IF(I279&lt;0.5*J279,8,E279))*I279,"")</f>
        <v/>
      </c>
      <c r="H279" s="1317">
        <f t="shared" ca="1" si="26"/>
        <v>0</v>
      </c>
      <c r="I279"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IF(DATEVALUE(C279)&gt;E$206,
                       IF(DATEVALUE(C279)&gt;D$207,
                                  IF(DATEVALUE(C279)&gt;E$207,
                                               N("здесь и далее, если даты начала ОП в текущем году нет, то подставляется 1 января следующего года")+
                                               IF(DATEVALUE(C279)&gt;IF(NOT(ISBLANK(D$208)),D$208,DATEVALUE("01.01."&amp;E$202+1)),
                                                            (DATEVALUE(C279)+J279-1)-DATEVALUE(C279)+1,
                                                             IF(DATEVALUE(C279)+J279-1&gt;IF(NOT(ISBLANK(D$208)),D$208,DATEVALUE("01.01."&amp;E$202+1)),
                                                                         1+(DATEVALUE(C279)+J279-1)-IF(NOT(ISBLANK(D$208)),D$208,DATEVALUE("01.01."&amp;E$202+1)),
                                                                         0)),
                                                IF(DATEVALUE(C279)+J279-1&gt;E$207,
                                                            1+E$207-DATEVALUE(C279),
                                                            1+(DATEVALUE(C279)+J279-1)-DATEVALUE(C279))),
                                  IF(DATEVALUE(C279)+J279-1&gt;D$207,
                                               1+(DATEVALUE(C279)+J279-1)-D$207,
                                               0)),
                       IF(DATEVALUE(C279)+J279-1&gt;E$206,
                                    1+E$206-DATEVALUE(C279),
                                    1+(DATEVALUE(C279)+J279-1)-DATEVALUE(C279))),""),"")</f>
        <v/>
      </c>
      <c r="J279" s="1315">
        <v>31</v>
      </c>
      <c r="K279" s="1318" t="str">
        <f>IF(ISBLANK(E279),"",IF(I279&lt;0.5*J279,8,E279)*I279)</f>
        <v/>
      </c>
      <c r="L279" s="1268">
        <f t="shared" ca="1" si="28"/>
        <v>1</v>
      </c>
      <c r="M279" s="1902">
        <f ca="1">(списки!C$60*N(I279)+списки!C$61*(J279-N(I279)))/J279</f>
        <v>15</v>
      </c>
      <c r="N279" s="14"/>
      <c r="O279" s="14"/>
      <c r="P279" s="1899"/>
      <c r="Q279" s="14"/>
      <c r="R279" s="14"/>
      <c r="S279" s="14"/>
      <c r="T279" s="14"/>
      <c r="U279" s="14"/>
      <c r="V279" s="14"/>
      <c r="W279" s="14"/>
      <c r="X279" s="14"/>
      <c r="Y279" s="14"/>
      <c r="Z279" s="14"/>
      <c r="AA279" s="14"/>
      <c r="AB279" s="14"/>
      <c r="AC279" s="14"/>
      <c r="AD279" s="14"/>
      <c r="AE279" s="14"/>
      <c r="AF279" s="14"/>
      <c r="AG279" s="14"/>
      <c r="AH279" s="14"/>
    </row>
    <row r="280" spans="1:34" x14ac:dyDescent="0.25">
      <c r="A280" s="1326"/>
      <c r="B280" s="1328">
        <f t="shared" si="29"/>
        <v>165</v>
      </c>
      <c r="C280" s="1806" t="str">
        <f>INDEX(months12,8)&amp;IFERROR(IF(DATEVALUE("1 "&amp;INDEX(months12,8)&amp;" "&amp;E$202)&lt;=DATEVALUE("1 "&amp;D$202&amp;" "&amp;E$202)," "&amp;E$202," "&amp;E$202-1),"")</f>
        <v>август</v>
      </c>
      <c r="D280" s="1315" t="str">
        <f>IFERROR(Климатология!O2,"")</f>
        <v/>
      </c>
      <c r="E280" s="1340"/>
      <c r="F280" s="1418" t="str">
        <f>IFERROR(Климатология!R2,"")</f>
        <v/>
      </c>
      <c r="G280" s="1882" t="str">
        <f ca="1">IFERROR((списки!$C$56-IF(I280&lt;0.5*J280,8,E280))*I280,"")</f>
        <v/>
      </c>
      <c r="H280" s="1317">
        <f t="shared" ca="1" si="26"/>
        <v>0</v>
      </c>
      <c r="I280"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IF(DATEVALUE(C280)&gt;E$206,
                       IF(DATEVALUE(C280)&gt;D$207,
                                  IF(DATEVALUE(C280)&gt;E$207,
                                               N("здесь и далее, если даты начала ОП в текущем году нет, то подставляется 1 января следующего года")+
                                               IF(DATEVALUE(C280)&gt;IF(NOT(ISBLANK(D$208)),D$208,DATEVALUE("01.01."&amp;E$202+1)),
                                                            (DATEVALUE(C280)+J280-1)-DATEVALUE(C280)+1,
                                                             IF(DATEVALUE(C280)+J280-1&gt;IF(NOT(ISBLANK(D$208)),D$208,DATEVALUE("01.01."&amp;E$202+1)),
                                                                         1+(DATEVALUE(C280)+J280-1)-IF(NOT(ISBLANK(D$208)),D$208,DATEVALUE("01.01."&amp;E$202+1)),
                                                                         0)),
                                                IF(DATEVALUE(C280)+J280-1&gt;E$207,
                                                            1+E$207-DATEVALUE(C280),
                                                            1+(DATEVALUE(C280)+J280-1)-DATEVALUE(C280))),
                                  IF(DATEVALUE(C280)+J280-1&gt;D$207,
                                               1+(DATEVALUE(C280)+J280-1)-D$207,
                                               0)),
                       IF(DATEVALUE(C280)+J280-1&gt;E$206,
                                    1+E$206-DATEVALUE(C280),
                                    1+(DATEVALUE(C280)+J280-1)-DATEVALUE(C280))),""),"")</f>
        <v/>
      </c>
      <c r="J280" s="1315">
        <v>31</v>
      </c>
      <c r="K280" s="1318" t="str">
        <f t="shared" ref="K280:K284" si="30">IF(ISBLANK(E280),"",IF(I280&lt;0.5*J280,8,E280)*I280)</f>
        <v/>
      </c>
      <c r="L280" s="1268">
        <f t="shared" ca="1" si="28"/>
        <v>1</v>
      </c>
      <c r="M280" s="1902">
        <f ca="1">(списки!C$60*N(I280)+списки!C$61*(J280-N(I280)))/J280</f>
        <v>15</v>
      </c>
      <c r="N280" s="14"/>
      <c r="O280" s="14"/>
      <c r="P280" s="1899"/>
      <c r="Q280" s="14"/>
      <c r="R280" s="14"/>
      <c r="S280" s="14"/>
      <c r="T280" s="14"/>
      <c r="U280" s="14"/>
      <c r="V280" s="14"/>
      <c r="W280" s="14"/>
      <c r="X280" s="14"/>
      <c r="Y280" s="14"/>
      <c r="Z280" s="14"/>
      <c r="AA280" s="14"/>
      <c r="AB280" s="14"/>
      <c r="AC280" s="14"/>
      <c r="AD280" s="14"/>
      <c r="AE280" s="14"/>
      <c r="AF280" s="14"/>
      <c r="AG280" s="14"/>
      <c r="AH280" s="14"/>
    </row>
    <row r="281" spans="1:34" x14ac:dyDescent="0.25">
      <c r="A281" s="1326"/>
      <c r="B281" s="1328">
        <f t="shared" si="29"/>
        <v>166</v>
      </c>
      <c r="C281" s="1806" t="str">
        <f>INDEX(months12,9)&amp;IFERROR(IF(DATEVALUE("1 "&amp;INDEX(months12,9)&amp;" "&amp;E$202)&lt;=DATEVALUE("1 "&amp;D$202&amp;" "&amp;E$202)," "&amp;E$202," "&amp;E$202-1),"")</f>
        <v>сентябрь</v>
      </c>
      <c r="D281" s="1315" t="str">
        <f>IFERROR(Климатология!S2,"")</f>
        <v/>
      </c>
      <c r="E281" s="1340"/>
      <c r="F281" s="1418" t="str">
        <f>IFERROR(Климатология!V2,"")</f>
        <v/>
      </c>
      <c r="G281" s="1882" t="str">
        <f ca="1">IFERROR((списки!$C$56-IF(I281&lt;0.5*J281,8,E281))*I281,"")</f>
        <v/>
      </c>
      <c r="H281" s="1317">
        <f t="shared" ca="1" si="26"/>
        <v>0</v>
      </c>
      <c r="I281"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IF(DATEVALUE(C281)&gt;E$206,
                       IF(DATEVALUE(C281)&gt;D$207,
                                  IF(DATEVALUE(C281)&gt;E$207,
                                               N("здесь и далее, если даты начала ОП в текущем году нет, то подставляется 1 января следующего года")+
                                               IF(DATEVALUE(C281)&gt;IF(NOT(ISBLANK(D$208)),D$208,DATEVALUE("01.01."&amp;E$202+1)),
                                                            (DATEVALUE(C281)+J281-1)-DATEVALUE(C281)+1,
                                                             IF(DATEVALUE(C281)+J281-1&gt;IF(NOT(ISBLANK(D$208)),D$208,DATEVALUE("01.01."&amp;E$202+1)),
                                                                         1+(DATEVALUE(C281)+J281-1)-IF(NOT(ISBLANK(D$208)),D$208,DATEVALUE("01.01."&amp;E$202+1)),
                                                                         0)),
                                                IF(DATEVALUE(C281)+J281-1&gt;E$207,
                                                            1+E$207-DATEVALUE(C281),
                                                            1+(DATEVALUE(C281)+J281-1)-DATEVALUE(C281))),
                                  IF(DATEVALUE(C281)+J281-1&gt;D$207,
                                               1+(DATEVALUE(C281)+J281-1)-D$207,
                                               0)),
                       IF(DATEVALUE(C281)+J281-1&gt;E$206,
                                    1+E$206-DATEVALUE(C281),
                                    1+(DATEVALUE(C281)+J281-1)-DATEVALUE(C281))),""),"")</f>
        <v/>
      </c>
      <c r="J281" s="1315">
        <v>30</v>
      </c>
      <c r="K281" s="1318" t="str">
        <f t="shared" si="30"/>
        <v/>
      </c>
      <c r="L281" s="1268">
        <f t="shared" ca="1" si="28"/>
        <v>1</v>
      </c>
      <c r="M281" s="1902">
        <f ca="1">(списки!C$60*N(I281)+списки!C$61*(J281-N(I281)))/J281</f>
        <v>15</v>
      </c>
      <c r="N281" s="14"/>
      <c r="O281" s="14"/>
      <c r="P281" s="1899"/>
      <c r="Q281" s="14"/>
      <c r="R281" s="14"/>
      <c r="S281" s="14"/>
      <c r="T281" s="14"/>
      <c r="U281" s="14"/>
      <c r="V281" s="14"/>
      <c r="W281" s="14"/>
      <c r="X281" s="14"/>
      <c r="Y281" s="14"/>
      <c r="Z281" s="14"/>
      <c r="AA281" s="14"/>
      <c r="AB281" s="14"/>
      <c r="AC281" s="14"/>
      <c r="AD281" s="14"/>
      <c r="AE281" s="14"/>
      <c r="AF281" s="14"/>
      <c r="AG281" s="14"/>
      <c r="AH281" s="14"/>
    </row>
    <row r="282" spans="1:34" x14ac:dyDescent="0.25">
      <c r="A282" s="1326"/>
      <c r="B282" s="1328">
        <f t="shared" si="29"/>
        <v>167</v>
      </c>
      <c r="C282" s="1806" t="str">
        <f>INDEX(months12,10)&amp;IFERROR(IF(DATEVALUE("1 "&amp;INDEX(months12,10)&amp;" "&amp;E$202)&lt;=DATEVALUE("1 "&amp;D$202&amp;" "&amp;E$202)," "&amp;E$202," "&amp;E$202-1),"")</f>
        <v>октябрь</v>
      </c>
      <c r="D282" s="1315" t="str">
        <f>IFERROR(Климатология!W2,"")</f>
        <v/>
      </c>
      <c r="E282" s="1340"/>
      <c r="F282" s="1418" t="str">
        <f>IFERROR(Климатология!Z2,"")</f>
        <v/>
      </c>
      <c r="G282" s="1882" t="str">
        <f ca="1">IFERROR((списки!$C$56-IF(I282&lt;0.5*J282,8,E282))*I282,"")</f>
        <v/>
      </c>
      <c r="H282" s="1317">
        <f t="shared" ca="1" si="26"/>
        <v>0</v>
      </c>
      <c r="I282"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IF(DATEVALUE(C282)&gt;E$206,
                       IF(DATEVALUE(C282)&gt;D$207,
                                  IF(DATEVALUE(C282)&gt;E$207,
                                               N("здесь и далее, если даты начала ОП в текущем году нет, то подставляется 1 января следующего года")+
                                               IF(DATEVALUE(C282)&gt;IF(NOT(ISBLANK(D$208)),D$208,DATEVALUE("01.01."&amp;E$202+1)),
                                                            (DATEVALUE(C282)+J282-1)-DATEVALUE(C282)+1,
                                                             IF(DATEVALUE(C282)+J282-1&gt;IF(NOT(ISBLANK(D$208)),D$208,DATEVALUE("01.01."&amp;E$202+1)),
                                                                         1+(DATEVALUE(C282)+J282-1)-IF(NOT(ISBLANK(D$208)),D$208,DATEVALUE("01.01."&amp;E$202+1)),
                                                                         0)),
                                                IF(DATEVALUE(C282)+J282-1&gt;E$207,
                                                            1+E$207-DATEVALUE(C282),
                                                            1+(DATEVALUE(C282)+J282-1)-DATEVALUE(C282))),
                                  IF(DATEVALUE(C282)+J282-1&gt;D$207,
                                               1+(DATEVALUE(C282)+J282-1)-D$207,
                                               0)),
                       IF(DATEVALUE(C282)+J282-1&gt;E$206,
                                    1+E$206-DATEVALUE(C282),
                                    1+(DATEVALUE(C282)+J282-1)-DATEVALUE(C282))),""),"")</f>
        <v/>
      </c>
      <c r="J282" s="1315">
        <v>31</v>
      </c>
      <c r="K282" s="1318" t="str">
        <f t="shared" si="30"/>
        <v/>
      </c>
      <c r="L282" s="1268">
        <f t="shared" ca="1" si="28"/>
        <v>1</v>
      </c>
      <c r="M282" s="1902">
        <f ca="1">(списки!C$60*N(I282)+списки!C$61*(J282-N(I282)))/J282</f>
        <v>15</v>
      </c>
      <c r="N282" s="14"/>
      <c r="O282" s="14"/>
      <c r="P282" s="1899"/>
      <c r="Q282" s="14"/>
      <c r="R282" s="14"/>
      <c r="S282" s="14"/>
      <c r="T282" s="14"/>
      <c r="U282" s="14"/>
      <c r="V282" s="14"/>
      <c r="W282" s="14"/>
      <c r="X282" s="14"/>
      <c r="Y282" s="14"/>
      <c r="Z282" s="14"/>
      <c r="AA282" s="14"/>
      <c r="AB282" s="14"/>
      <c r="AC282" s="14"/>
      <c r="AD282" s="14"/>
      <c r="AE282" s="14"/>
      <c r="AF282" s="14"/>
      <c r="AG282" s="14"/>
      <c r="AH282" s="14"/>
    </row>
    <row r="283" spans="1:34" x14ac:dyDescent="0.25">
      <c r="A283" s="1326"/>
      <c r="B283" s="1328">
        <f t="shared" si="29"/>
        <v>168</v>
      </c>
      <c r="C283" s="1806" t="str">
        <f>INDEX(months12,11)&amp;IFERROR(IF(DATEVALUE("1 "&amp;INDEX(months12,11)&amp;" "&amp;E$202)&lt;=DATEVALUE("1 "&amp;D$202&amp;" "&amp;E$202)," "&amp;E$202," "&amp;E$202-1),"")</f>
        <v>ноябрь</v>
      </c>
      <c r="D283" s="1315" t="str">
        <f>IFERROR(Климатология!AA2,"")</f>
        <v/>
      </c>
      <c r="E283" s="1340"/>
      <c r="F283" s="1419" t="str">
        <f>IFERROR(Климатология!AD2,"")</f>
        <v/>
      </c>
      <c r="G283" s="1882" t="str">
        <f ca="1">IFERROR((списки!$C$56-IF(I283&lt;0.5*J283,8,E283))*I283,"")</f>
        <v/>
      </c>
      <c r="H283" s="1317">
        <f t="shared" ca="1" si="26"/>
        <v>0</v>
      </c>
      <c r="I283"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IF(DATEVALUE(C283)&gt;E$206,
                       IF(DATEVALUE(C283)&gt;D$207,
                                  IF(DATEVALUE(C283)&gt;E$207,
                                               N("здесь и далее, если даты начала ОП в текущем году нет, то подставляется 1 января следующего года")+
                                               IF(DATEVALUE(C283)&gt;IF(NOT(ISBLANK(D$208)),D$208,DATEVALUE("01.01."&amp;E$202+1)),
                                                            (DATEVALUE(C283)+J283-1)-DATEVALUE(C283)+1,
                                                             IF(DATEVALUE(C283)+J283-1&gt;IF(NOT(ISBLANK(D$208)),D$208,DATEVALUE("01.01."&amp;E$202+1)),
                                                                         1+(DATEVALUE(C283)+J283-1)-IF(NOT(ISBLANK(D$208)),D$208,DATEVALUE("01.01."&amp;E$202+1)),
                                                                         0)),
                                                IF(DATEVALUE(C283)+J283-1&gt;E$207,
                                                            1+E$207-DATEVALUE(C283),
                                                            1+(DATEVALUE(C283)+J283-1)-DATEVALUE(C283))),
                                  IF(DATEVALUE(C283)+J283-1&gt;D$207,
                                               1+(DATEVALUE(C283)+J283-1)-D$207,
                                               0)),
                       IF(DATEVALUE(C283)+J283-1&gt;E$206,
                                    1+E$206-DATEVALUE(C283),
                                    1+(DATEVALUE(C283)+J283-1)-DATEVALUE(C283))),""),"")</f>
        <v/>
      </c>
      <c r="J283" s="1315">
        <v>30</v>
      </c>
      <c r="K283" s="1318" t="str">
        <f t="shared" si="30"/>
        <v/>
      </c>
      <c r="L283" s="1268">
        <f t="shared" ca="1" si="28"/>
        <v>1</v>
      </c>
      <c r="M283" s="1902">
        <f ca="1">(списки!C$60*N(I283)+списки!C$61*(J283-N(I283)))/J283</f>
        <v>15</v>
      </c>
      <c r="N283" s="14"/>
      <c r="O283" s="14"/>
      <c r="P283" s="1899"/>
      <c r="Q283" s="14"/>
      <c r="R283" s="14"/>
      <c r="S283" s="14"/>
      <c r="T283" s="14"/>
      <c r="U283" s="14"/>
      <c r="V283" s="14"/>
      <c r="W283" s="14"/>
      <c r="X283" s="14"/>
      <c r="Y283" s="14"/>
      <c r="Z283" s="14"/>
      <c r="AA283" s="14"/>
      <c r="AB283" s="14"/>
      <c r="AC283" s="14"/>
      <c r="AD283" s="14"/>
      <c r="AE283" s="14"/>
      <c r="AF283" s="14"/>
      <c r="AG283" s="14"/>
      <c r="AH283" s="14"/>
    </row>
    <row r="284" spans="1:34" x14ac:dyDescent="0.25">
      <c r="A284" s="1326"/>
      <c r="B284" s="1328">
        <f t="shared" si="29"/>
        <v>169</v>
      </c>
      <c r="C284" s="1807" t="str">
        <f>INDEX(months12,12)&amp;IFERROR(IF(DATEVALUE("1 "&amp;INDEX(months12,12)&amp;" "&amp;E$202)&lt;=DATEVALUE("1 "&amp;D$202&amp;" "&amp;E$202)," "&amp;E$202," "&amp;E$202-1),"")</f>
        <v>декабрь</v>
      </c>
      <c r="D284" s="1885" t="str">
        <f>IFERROR(Климатология!AE2,"")</f>
        <v/>
      </c>
      <c r="E284" s="1886"/>
      <c r="F284" s="1887" t="str">
        <f>IFERROR(Климатология!AH2,"")</f>
        <v/>
      </c>
      <c r="G284" s="1882" t="str">
        <f ca="1">IFERROR((списки!$C$56-IF(I284&lt;0.5*J284,8,E284))*I284,"")</f>
        <v/>
      </c>
      <c r="H284" s="1888">
        <f t="shared" ca="1" si="26"/>
        <v>0</v>
      </c>
      <c r="I284" s="1880" t="str">
        <f ca="1">IFERROR(N("ПРОВЕРКА на достаточность данных")+
IF(AND(YEAR(D$207)=E$202-1,YEAR(E$207)=E$202,D$207&lt;E$207,
            OR(AND(N("дата последнего счета во втором полугодии")+MONTH(datebill)&gt;=7,IF(MONTH(D$207-10+N("10 дней про запас на всякий случай"))&lt;=MONTH(datebill),NOT(EDATE(datebill+1,1)&gt;TODAY()),TRUE)),
                       AND(N("дата последнего счета в первом полугодии")  +MONTH(datebill)&lt;7,   OR(MONTH(E$207+10+N("10 дней про запас на всякий случай"))&lt;MONTH(datebill),AND(NOT(ISBLANK(E$206)),E$206&lt;D$207))))),
            N("ПЕРЕБОР вариантов расположения дат бинарным деревом")+
            IF(DATEVALUE(C284)&gt;E$206,
                       IF(DATEVALUE(C284)&gt;D$207,
                                  IF(DATEVALUE(C284)&gt;E$207,
                                               N("здесь и далее, если даты начала ОП в текущем году нет, то подставляется 1 января следующего года")+
                                               IF(DATEVALUE(C284)&gt;IF(NOT(ISBLANK(D$208)),D$208,DATEVALUE("01.01."&amp;E$202+1)),
                                                            (DATEVALUE(C284)+J284-1)-DATEVALUE(C284)+1,
                                                             IF(DATEVALUE(C284)+J284-1&gt;IF(NOT(ISBLANK(D$208)),D$208,DATEVALUE("01.01."&amp;E$202+1)),
                                                                         1+(DATEVALUE(C284)+J284-1)-IF(NOT(ISBLANK(D$208)),D$208,DATEVALUE("01.01."&amp;E$202+1)),
                                                                         0)),
                                                IF(DATEVALUE(C284)+J284-1&gt;E$207,
                                                            1+E$207-DATEVALUE(C284),
                                                            1+(DATEVALUE(C284)+J284-1)-DATEVALUE(C284))),
                                  IF(DATEVALUE(C284)+J284-1&gt;D$207,
                                               1+(DATEVALUE(C284)+J284-1)-D$207,
                                               0)),
                       IF(DATEVALUE(C284)+J284-1&gt;E$206,
                                    1+E$206-DATEVALUE(C284),
                                    1+(DATEVALUE(C284)+J284-1)-DATEVALUE(C284))),""),"")</f>
        <v/>
      </c>
      <c r="J284" s="1885">
        <v>31</v>
      </c>
      <c r="K284" s="1889" t="str">
        <f t="shared" si="30"/>
        <v/>
      </c>
      <c r="L284" s="1268">
        <f t="shared" ca="1" si="28"/>
        <v>1</v>
      </c>
      <c r="M284" s="1902">
        <f ca="1">(списки!C$60*N(I284)+списки!C$61*(J284-N(I284)))/J284</f>
        <v>15</v>
      </c>
      <c r="N284" s="14"/>
      <c r="O284" s="14"/>
      <c r="P284" s="1899"/>
      <c r="Q284" s="14"/>
      <c r="R284" s="14"/>
      <c r="S284" s="14"/>
      <c r="T284" s="14"/>
      <c r="U284" s="14"/>
      <c r="V284" s="14"/>
      <c r="W284" s="14"/>
      <c r="X284" s="14"/>
      <c r="Y284" s="14"/>
      <c r="Z284" s="14"/>
      <c r="AA284" s="14"/>
      <c r="AB284" s="14"/>
      <c r="AC284" s="14"/>
      <c r="AD284" s="14"/>
      <c r="AE284" s="14"/>
      <c r="AF284" s="14"/>
      <c r="AG284" s="14"/>
      <c r="AH284" s="14"/>
    </row>
    <row r="285" spans="1:34" x14ac:dyDescent="0.25">
      <c r="A285" s="1326"/>
      <c r="B285" s="1326"/>
      <c r="C285" s="1810" t="s">
        <v>1264</v>
      </c>
      <c r="D285" s="1316" t="str">
        <f>IFERROR(Климатология!F2,"")</f>
        <v/>
      </c>
      <c r="E285" s="1855" t="str">
        <f ca="1">K285</f>
        <v/>
      </c>
      <c r="F285" s="1420" t="str">
        <f>IFERROR(Климатология!I2,"")</f>
        <v/>
      </c>
      <c r="G285" s="1421" t="str">
        <f ca="1">IF(OR(E285="",D209=0),"",(списки!$C$56-N(E285))*D209)</f>
        <v/>
      </c>
      <c r="H285" s="1320">
        <f ca="1">IFERROR(IF(G285=0,0,F285/G285),0)</f>
        <v>0</v>
      </c>
      <c r="I285" s="1319"/>
      <c r="J285" s="1319"/>
      <c r="K285" s="1321" t="str">
        <f ca="1">IF(D209&lt;&gt;0,IF(COUNTIF(K273:K284,"")=12,"",SUM(K273:K284)/D209),"")</f>
        <v/>
      </c>
      <c r="L285" s="1268">
        <f t="shared" ca="1" si="28"/>
        <v>0</v>
      </c>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30" customHeight="1" x14ac:dyDescent="0.25">
      <c r="A286" s="1326"/>
      <c r="B286" s="1326"/>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s="13" customFormat="1" ht="25.5" customHeight="1" x14ac:dyDescent="0.25">
      <c r="A287" s="1326"/>
      <c r="B287" s="1326"/>
      <c r="C287" s="1973" t="s">
        <v>2414</v>
      </c>
      <c r="D287" s="1973"/>
      <c r="E287" s="1973"/>
      <c r="F287" s="50"/>
      <c r="G287" s="50"/>
      <c r="H287" s="50"/>
      <c r="I287" s="50"/>
      <c r="J287" s="50"/>
      <c r="K287" s="50"/>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s="13" customFormat="1" ht="15.75" x14ac:dyDescent="0.25">
      <c r="A288" s="1326"/>
      <c r="B288" s="1326"/>
      <c r="C288" s="1972" t="s">
        <v>2463</v>
      </c>
      <c r="D288" s="1799" t="s">
        <v>1686</v>
      </c>
      <c r="E288" s="1799" t="s">
        <v>1687</v>
      </c>
      <c r="F288" s="50"/>
      <c r="G288" s="50"/>
      <c r="H288" s="50"/>
      <c r="I288" s="50"/>
      <c r="J288" s="50"/>
      <c r="K288" s="50"/>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s="13" customFormat="1" x14ac:dyDescent="0.25">
      <c r="A289" s="1326"/>
      <c r="B289" s="1326"/>
      <c r="C289" s="1972"/>
      <c r="D289" s="1800" t="s">
        <v>1978</v>
      </c>
      <c r="E289" s="1800" t="s">
        <v>1979</v>
      </c>
      <c r="F289" s="50"/>
      <c r="G289" s="50"/>
      <c r="H289" s="50"/>
      <c r="I289" s="50"/>
      <c r="J289" s="50"/>
      <c r="K289" s="50"/>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s="13" customFormat="1" x14ac:dyDescent="0.25">
      <c r="A290" s="1326"/>
      <c r="B290" s="1328">
        <f>B284+1</f>
        <v>170</v>
      </c>
      <c r="C290" s="1805" t="str">
        <f>INDEX(months12,1)&amp;IFERROR(IF(DATEVALUE("1 "&amp;INDEX(months12,1)&amp;" "&amp;E$202)&lt;=DATEVALUE("1 "&amp;D$202&amp;" "&amp;E$202)," "&amp;E$202," "&amp;E$202-1),"")</f>
        <v>январь</v>
      </c>
      <c r="D290" s="1890"/>
      <c r="E290" s="1890"/>
      <c r="F290" s="50"/>
      <c r="G290" s="50"/>
      <c r="H290" s="50"/>
      <c r="I290" s="50"/>
      <c r="J290" s="50"/>
      <c r="K290" s="50"/>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s="13" customFormat="1" x14ac:dyDescent="0.25">
      <c r="A291" s="1326"/>
      <c r="B291" s="1328">
        <f>B290+1</f>
        <v>171</v>
      </c>
      <c r="C291" s="1806" t="str">
        <f>INDEX(months12,2)&amp;IFERROR(IF(DATEVALUE("1 "&amp;INDEX(months12,2)&amp;" "&amp;E$202)&lt;=DATEVALUE("1 "&amp;D$202&amp;" "&amp;E$202)," "&amp;E$202," "&amp;E$202-1),"")</f>
        <v>февраль</v>
      </c>
      <c r="D291" s="1856"/>
      <c r="E291" s="1856"/>
      <c r="F291" s="50"/>
      <c r="G291" s="50"/>
      <c r="H291" s="50"/>
      <c r="I291" s="50"/>
      <c r="J291" s="50"/>
      <c r="K291" s="50"/>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s="13" customFormat="1" x14ac:dyDescent="0.25">
      <c r="A292" s="1326"/>
      <c r="B292" s="1328">
        <f t="shared" ref="B292:B301" si="31">B291+1</f>
        <v>172</v>
      </c>
      <c r="C292" s="1806" t="str">
        <f>INDEX(months12,3)&amp;IFERROR(IF(DATEVALUE("1 "&amp;INDEX(months12,3)&amp;" "&amp;E$202)&lt;=DATEVALUE("1 "&amp;D$202&amp;" "&amp;E$202)," "&amp;E$202," "&amp;E$202-1),"")</f>
        <v>март</v>
      </c>
      <c r="D292" s="1856"/>
      <c r="E292" s="1856"/>
      <c r="F292" s="50"/>
      <c r="G292" s="50"/>
      <c r="H292" s="50"/>
      <c r="I292" s="50"/>
      <c r="J292" s="50"/>
      <c r="K292" s="50"/>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s="13" customFormat="1" x14ac:dyDescent="0.25">
      <c r="A293" s="1326"/>
      <c r="B293" s="1328">
        <f t="shared" si="31"/>
        <v>173</v>
      </c>
      <c r="C293" s="1806" t="str">
        <f>INDEX(months12,4)&amp;IFERROR(IF(DATEVALUE("1 "&amp;INDEX(months12,4)&amp;" "&amp;E$202)&lt;=DATEVALUE("1 "&amp;D$202&amp;" "&amp;E$202)," "&amp;E$202," "&amp;E$202-1),"")</f>
        <v>апрель</v>
      </c>
      <c r="D293" s="1856"/>
      <c r="E293" s="1856"/>
      <c r="F293" s="50"/>
      <c r="G293" s="50"/>
      <c r="H293" s="50"/>
      <c r="I293" s="50"/>
      <c r="J293" s="50"/>
      <c r="K293" s="50"/>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s="13" customFormat="1" x14ac:dyDescent="0.25">
      <c r="A294" s="1326"/>
      <c r="B294" s="1328">
        <f t="shared" si="31"/>
        <v>174</v>
      </c>
      <c r="C294" s="1806" t="str">
        <f>INDEX(months12,5)&amp;IFERROR(IF(DATEVALUE("1 "&amp;INDEX(months12,5)&amp;" "&amp;E$202)&lt;=DATEVALUE("1 "&amp;D$202&amp;" "&amp;E$202)," "&amp;E$202," "&amp;E$202-1),"")</f>
        <v>май</v>
      </c>
      <c r="D294" s="1856"/>
      <c r="E294" s="1856"/>
      <c r="F294" s="50"/>
      <c r="G294" s="50"/>
      <c r="H294" s="50"/>
      <c r="I294" s="50"/>
      <c r="J294" s="50"/>
      <c r="K294" s="50"/>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s="13" customFormat="1" x14ac:dyDescent="0.25">
      <c r="A295" s="1326"/>
      <c r="B295" s="1328">
        <f t="shared" si="31"/>
        <v>175</v>
      </c>
      <c r="C295" s="1806" t="str">
        <f>INDEX(months12,6)&amp;IFERROR(IF(DATEVALUE("1 "&amp;INDEX(months12,6)&amp;" "&amp;E$202)&lt;=DATEVALUE("1 "&amp;D$202&amp;" "&amp;E$202)," "&amp;E$202," "&amp;E$202-1),"")</f>
        <v>июнь</v>
      </c>
      <c r="D295" s="1856"/>
      <c r="E295" s="1856"/>
      <c r="F295" s="50"/>
      <c r="G295" s="50"/>
      <c r="H295" s="50"/>
      <c r="I295" s="50"/>
      <c r="J295" s="50"/>
      <c r="K295" s="50"/>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s="13" customFormat="1" x14ac:dyDescent="0.25">
      <c r="A296" s="1326"/>
      <c r="B296" s="1328">
        <f t="shared" si="31"/>
        <v>176</v>
      </c>
      <c r="C296" s="1806" t="str">
        <f>INDEX(months12,7)&amp;IFERROR(IF(DATEVALUE("1 "&amp;INDEX(months12,7)&amp;" "&amp;E$202)&lt;=DATEVALUE("1 "&amp;D$202&amp;" "&amp;E$202)," "&amp;E$202," "&amp;E$202-1),"")</f>
        <v>июль</v>
      </c>
      <c r="D296" s="1856"/>
      <c r="E296" s="1856"/>
      <c r="F296" s="50"/>
      <c r="G296" s="50"/>
      <c r="H296" s="50"/>
      <c r="I296" s="50"/>
      <c r="J296" s="50"/>
      <c r="K296" s="50"/>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s="13" customFormat="1" x14ac:dyDescent="0.25">
      <c r="A297" s="1326"/>
      <c r="B297" s="1328">
        <f t="shared" si="31"/>
        <v>177</v>
      </c>
      <c r="C297" s="1806" t="str">
        <f>INDEX(months12,8)&amp;IFERROR(IF(DATEVALUE("1 "&amp;INDEX(months12,8)&amp;" "&amp;E$202)&lt;=DATEVALUE("1 "&amp;D$202&amp;" "&amp;E$202)," "&amp;E$202," "&amp;E$202-1),"")</f>
        <v>август</v>
      </c>
      <c r="D297" s="1856"/>
      <c r="E297" s="1856"/>
      <c r="F297" s="50"/>
      <c r="G297" s="50"/>
      <c r="H297" s="50"/>
      <c r="I297" s="50"/>
      <c r="J297" s="50"/>
      <c r="K297" s="50"/>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s="13" customFormat="1" x14ac:dyDescent="0.25">
      <c r="A298" s="1326"/>
      <c r="B298" s="1328">
        <f t="shared" si="31"/>
        <v>178</v>
      </c>
      <c r="C298" s="1806" t="str">
        <f>INDEX(months12,9)&amp;IFERROR(IF(DATEVALUE("1 "&amp;INDEX(months12,9)&amp;" "&amp;E$202)&lt;=DATEVALUE("1 "&amp;D$202&amp;" "&amp;E$202)," "&amp;E$202," "&amp;E$202-1),"")</f>
        <v>сентябрь</v>
      </c>
      <c r="D298" s="1856"/>
      <c r="E298" s="1856"/>
      <c r="F298" s="50"/>
      <c r="G298" s="50"/>
      <c r="H298" s="50"/>
      <c r="I298" s="50"/>
      <c r="J298" s="50"/>
      <c r="K298" s="50"/>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s="13" customFormat="1" x14ac:dyDescent="0.25">
      <c r="A299" s="1326"/>
      <c r="B299" s="1328">
        <f t="shared" si="31"/>
        <v>179</v>
      </c>
      <c r="C299" s="1806" t="str">
        <f>INDEX(months12,10)&amp;IFERROR(IF(DATEVALUE("1 "&amp;INDEX(months12,10)&amp;" "&amp;E$202)&lt;=DATEVALUE("1 "&amp;D$202&amp;" "&amp;E$202)," "&amp;E$202," "&amp;E$202-1),"")</f>
        <v>октябрь</v>
      </c>
      <c r="D299" s="1856"/>
      <c r="E299" s="1856"/>
      <c r="F299" s="50"/>
      <c r="G299" s="50"/>
      <c r="H299" s="50"/>
      <c r="I299" s="50"/>
      <c r="J299" s="50"/>
      <c r="K299" s="50"/>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s="13" customFormat="1" x14ac:dyDescent="0.25">
      <c r="A300" s="1326"/>
      <c r="B300" s="1328">
        <f t="shared" si="31"/>
        <v>180</v>
      </c>
      <c r="C300" s="1806" t="str">
        <f>INDEX(months12,11)&amp;IFERROR(IF(DATEVALUE("1 "&amp;INDEX(months12,11)&amp;" "&amp;E$202)&lt;=DATEVALUE("1 "&amp;D$202&amp;" "&amp;E$202)," "&amp;E$202," "&amp;E$202-1),"")</f>
        <v>ноябрь</v>
      </c>
      <c r="D300" s="1856"/>
      <c r="E300" s="1856"/>
      <c r="F300" s="50"/>
      <c r="G300" s="50"/>
      <c r="H300" s="50"/>
      <c r="I300" s="50"/>
      <c r="J300" s="50"/>
      <c r="K300" s="50"/>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s="13" customFormat="1" x14ac:dyDescent="0.25">
      <c r="A301" s="1326"/>
      <c r="B301" s="1328">
        <f t="shared" si="31"/>
        <v>181</v>
      </c>
      <c r="C301" s="1807" t="str">
        <f>INDEX(months12,12)&amp;IFERROR(IF(DATEVALUE("1 "&amp;INDEX(months12,12)&amp;" "&amp;E$202)&lt;=DATEVALUE("1 "&amp;D$202&amp;" "&amp;E$202)," "&amp;E$202," "&amp;E$202-1),"")</f>
        <v>декабрь</v>
      </c>
      <c r="D301" s="1891"/>
      <c r="E301" s="1891"/>
      <c r="F301" s="50"/>
      <c r="G301" s="50"/>
      <c r="H301" s="50"/>
      <c r="I301" s="50"/>
      <c r="J301" s="50"/>
      <c r="K301" s="50"/>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s="13" customFormat="1" x14ac:dyDescent="0.25">
      <c r="A302" s="1326"/>
      <c r="B302" s="1326"/>
      <c r="C302" s="1810" t="s">
        <v>2472</v>
      </c>
      <c r="D302" s="1857" t="str">
        <f>IFERROR(ROUND(SUMPRODUCT(D290:D301,D217:D228)/(IF(D290&gt;0,D217,0)+IF(D291&gt;0,D218,0)+IF(D292&gt;0,D219,0)+IF(D293&gt;0,D220,0)+IF(D294&gt;0,D221,0)+IF(D295&gt;0,D222,0)+IF(D296&gt;0,D223,0)+IF(D297&gt;0,D224,0)+IF(D298&gt;0,D225,0)+IF(D299&gt;0,D226,0)+IF(D300&gt;0,D227,0)+IF(D301&gt;0,D228,0)),2),"-")</f>
        <v>-</v>
      </c>
      <c r="E302" s="1857" t="str">
        <f>IFERROR(ROUND(SUMPRODUCT(E290:E301,F253:F264)/(IF(E290&gt;0,F253,0)+IF(E291&gt;0,F254,0)+IF(E292&gt;0,F255,0)+IF(E293&gt;0,F256,0)+IF(E294&gt;0,F257,0)+IF(E295&gt;0,F258,0)+IF(E296&gt;0,F259,0)+IF(E297&gt;0,F260,0)+IF(E298&gt;0,F261,0)+IF(E299&gt;0,F262,0)+IF(E300&gt;0,F263,0)+IF(E301&gt;0,F264,0)),2),"-")</f>
        <v>-</v>
      </c>
      <c r="F302" s="50"/>
      <c r="G302" s="50"/>
      <c r="H302" s="50"/>
      <c r="I302" s="50"/>
      <c r="J302" s="50"/>
      <c r="K302" s="50"/>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s="13" customFormat="1" ht="45" customHeight="1" x14ac:dyDescent="0.25">
      <c r="A303" s="1326"/>
      <c r="B303" s="1326"/>
      <c r="C303" s="14"/>
      <c r="D303" s="2030" t="str">
        <f>IF(AND(COUNTBLANK(D290:D301)+COUNTIF(D290:D301,0)&lt;12,D302&lt;&gt;F304),
"Расчетный средневзвешенный тариф на теплоэнергию "&amp;F304&amp;" руб./Гкал!"&amp;CHAR(10),"")&amp;
   IF(AND(COUNTBLANK(E290:E301)+COUNTIF(E290:E301,0)&lt;12,E302&lt;&gt;F305),
"Расчетный средневзвешенный тариф на электроэнергию "&amp;F305&amp;" руб./кВт-ч!"&amp;CHAR(10),"")&amp;
   IF(OR(MIN(D290:D301)&lt;0.5*MAX(D290:D301),MIN(E290:E301)&lt;0.5*MAX(E290:E301)),"Тарифы значительно менялись в течение года!"&amp;CHAR(10)&amp;"Это повод проверить данные.","")</f>
        <v/>
      </c>
      <c r="E303" s="1322" t="s">
        <v>1977</v>
      </c>
      <c r="F303" s="50"/>
      <c r="G303" s="50"/>
      <c r="H303" s="50"/>
      <c r="I303" s="50"/>
      <c r="J303" s="50"/>
      <c r="K303" s="50"/>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22.5" customHeight="1" x14ac:dyDescent="0.25">
      <c r="A304" s="1326"/>
      <c r="B304" s="1326"/>
      <c r="C304" s="19"/>
      <c r="D304" s="2031"/>
      <c r="E304" s="1788"/>
      <c r="F304" s="1854" t="str">
        <f>IFERROR(ROUND(SUMPRODUCT(D290:D301,D217:D228)/(IF(D290&gt;0,D217,0)+IF(D291&gt;0,D218,0)+IF(D292&gt;0,D219,0)+IF(D293&gt;0,D220,0)+IF(D294&gt;0,D221,0)+IF(D295&gt;0,D222,0)+IF(D296&gt;0,D223,0)+IF(D297&gt;0,D224,0)+IF(D298&gt;0,D225,0)+IF(D299&gt;0,D226,0)+IF(D300&gt;0,D227,0)+IF(D301&gt;0,D228,0)),2),"-")</f>
        <v>-</v>
      </c>
      <c r="G304" s="50"/>
      <c r="H304" s="50"/>
      <c r="I304" s="50"/>
      <c r="J304" s="50"/>
      <c r="K304" s="50"/>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s="13" customFormat="1" ht="22.5" customHeight="1" x14ac:dyDescent="0.25">
      <c r="A305" s="1326"/>
      <c r="B305" s="1326"/>
      <c r="C305" s="19"/>
      <c r="D305" s="2031"/>
      <c r="E305" s="1788"/>
      <c r="F305" s="1854" t="str">
        <f>IFERROR(ROUND(SUMPRODUCT(E290:E301,F253:F264)/(IF(E290&gt;0,F253,0)+IF(E291&gt;0,F254,0)+IF(E292&gt;0,F255,0)+IF(E293&gt;0,F256,0)+IF(E294&gt;0,F257,0)+IF(E295&gt;0,F258,0)+IF(E296&gt;0,F259,0)+IF(E297&gt;0,F260,0)+IF(E298&gt;0,F261,0)+IF(E299&gt;0,F262,0)+IF(E300&gt;0,F263,0)+IF(E301&gt;0,F264,0)),2),"-")</f>
        <v>-</v>
      </c>
      <c r="G305" s="50"/>
      <c r="H305" s="50"/>
      <c r="I305" s="50"/>
      <c r="J305" s="50"/>
      <c r="K305" s="50"/>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22.5" customHeight="1" x14ac:dyDescent="0.25">
      <c r="A306" s="1326"/>
      <c r="B306" s="1326"/>
      <c r="C306" s="14"/>
      <c r="D306" s="14"/>
      <c r="E306" s="1788"/>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25.5" customHeight="1" x14ac:dyDescent="0.3">
      <c r="A307" s="1326"/>
      <c r="B307" s="1326"/>
      <c r="C307" s="2018" t="s">
        <v>1560</v>
      </c>
      <c r="D307" s="2018"/>
      <c r="E307" s="2018"/>
      <c r="F307" s="2018"/>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22.5" customHeight="1" x14ac:dyDescent="0.25">
      <c r="A308" s="1326"/>
      <c r="B308" s="1326"/>
      <c r="C308" s="1629" t="s">
        <v>2152</v>
      </c>
      <c r="D308" s="1629" t="s">
        <v>2153</v>
      </c>
      <c r="E308" s="1630" t="s">
        <v>2154</v>
      </c>
      <c r="F308" s="1629" t="s">
        <v>1690</v>
      </c>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s="2" customFormat="1" ht="30" customHeight="1" x14ac:dyDescent="0.25">
      <c r="A309" s="1326"/>
      <c r="B309" s="1326"/>
      <c r="C309" s="1269">
        <v>1</v>
      </c>
      <c r="D309" s="1628" t="s">
        <v>1559</v>
      </c>
      <c r="E309" s="1568" t="str">
        <f>IF(D14="Пожалуйста, выберите","Выберите серию или вариант - нет в списке","")</f>
        <v/>
      </c>
      <c r="F309" s="1323" t="str">
        <f>IF(E309="","Введено верно","")</f>
        <v>Введено верно</v>
      </c>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s="2" customFormat="1" ht="30" customHeight="1" x14ac:dyDescent="0.25">
      <c r="A310" s="1326"/>
      <c r="B310" s="1326"/>
      <c r="C310" s="1269">
        <v>2</v>
      </c>
      <c r="D310" s="1627" t="s">
        <v>1562</v>
      </c>
      <c r="E310" s="1568" t="str">
        <f>IF(OR(D17="",D19="",D20="",D22="",D12="",D10="",D11="",F16&lt;&gt;""),"Неполный ввод общей информации","")</f>
        <v>Неполный ввод общей информации</v>
      </c>
      <c r="F310" s="1323" t="str">
        <f>IF(E310="","Введено верно","")</f>
        <v/>
      </c>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s="2" customFormat="1" ht="30" customHeight="1" x14ac:dyDescent="0.25">
      <c r="A311" s="1326"/>
      <c r="B311" s="1326"/>
      <c r="C311" s="1269">
        <v>3</v>
      </c>
      <c r="D311" s="1627" t="s">
        <v>1556</v>
      </c>
      <c r="E311" s="1568" t="str">
        <f>IF(OR(AND(D42=INDEX(SposobRascheta,3),D52="Введено верно"),AND(D42=INDEX(SposobRascheta,2),E78="Введено верно")),"","Ошибки во вводе объемно-планировочных характеристик")</f>
        <v>Ошибки во вводе объемно-планировочных характеристик</v>
      </c>
      <c r="F311" s="1323" t="str">
        <f t="shared" ref="F311:F322" si="32">IF(E311="","Введено верно","")</f>
        <v/>
      </c>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s="2" customFormat="1" ht="30" customHeight="1" x14ac:dyDescent="0.25">
      <c r="A312" s="1326"/>
      <c r="B312" s="1326"/>
      <c r="C312" s="1269">
        <v>4</v>
      </c>
      <c r="D312" s="1627" t="s">
        <v>1564</v>
      </c>
      <c r="E312" s="1568" t="str">
        <f>IF(D199="","","Введите температурный график (поля 112-113)")</f>
        <v>Введите температурный график (поля 112-113)</v>
      </c>
      <c r="F312" s="1323" t="str">
        <f t="shared" si="32"/>
        <v/>
      </c>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s="2" customFormat="1" ht="30" customHeight="1" x14ac:dyDescent="0.25">
      <c r="A313" s="1326"/>
      <c r="B313" s="1326"/>
      <c r="C313" s="1269">
        <v>5</v>
      </c>
      <c r="D313" s="1627" t="s">
        <v>1555</v>
      </c>
      <c r="E313" s="1568" t="str">
        <f>IF(AND(CGVS=1,OR(F236=0,F237=0,F238=0,AND(F239=0,J276-D127&gt;0),AND(F240=0,J277-D128&gt;0),AND(F241=0,J278-D129&gt;0),AND(F242=0,J279-D130&gt;0),AND(F243=0,J280-D131&gt;0),AND(F244=0,J281-D132&gt;0),F245=0,F246=0,F247=0)),"Неполный ввод водоразбора по месяцам!",
IF(AND(CGVS=1,OR(AND(F239&gt;0,J276-D127=0),AND(F240&gt;0,J277-D128=0),AND(F241&gt;0,J278-D129=0),AND(F242&gt;0,J279-D130=0),AND(F243&gt;0,J280-D131=0),AND(F244&gt;0,J281-D132=0))),"Водоразбор во время планового прекращения подачи горячей воды!",""))</f>
        <v>Неполный ввод водоразбора по месяцам!</v>
      </c>
      <c r="F313" s="1323" t="str">
        <f>IF(E313="","Введено верно","")</f>
        <v/>
      </c>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s="2" customFormat="1" ht="30" customHeight="1" x14ac:dyDescent="0.25">
      <c r="A314" s="1326"/>
      <c r="B314" s="1326"/>
      <c r="C314" s="1269">
        <v>6</v>
      </c>
      <c r="D314" s="1627" t="s">
        <v>1689</v>
      </c>
      <c r="E314" s="1568" t="str">
        <f>IF(AND('Система ГВС'!F3=1,'Система ГВС'!F17=1,OR('Ввод исходных данных'!E248=0,'Ввод исходных данных'!E248="")),
              "Вы отметили наличие циркуляционного трубопровода ГВС в ячейке 81, но не ввели циркуляционный расход по месяцам","")</f>
        <v/>
      </c>
      <c r="F314" s="1323" t="str">
        <f>IF(E314="","Ошибок нет","")</f>
        <v>Ошибок нет</v>
      </c>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s="2" customFormat="1" ht="30" customHeight="1" x14ac:dyDescent="0.25">
      <c r="A315" s="1326"/>
      <c r="B315" s="1326"/>
      <c r="C315" s="1269">
        <v>7</v>
      </c>
      <c r="D315" s="1627" t="s">
        <v>1557</v>
      </c>
      <c r="E315" s="1568" t="str">
        <f ca="1">CONCATENATE(
IF('Система отопления'!B30=3,"Не выбран вариант учета. ",""),
IF(OR(
                    AND('Система отопления'!B30=1,OR(AND(I273&gt;0,D217=0),AND(I274&gt;0,D218=0),AND(I275&gt;0,D219=0),AND(I276&gt;0,D220=0),AND(I277&gt;0,D221=0),AND(I278&gt;0,D222=0),AND(I279&gt;0,D223=0),AND(I280&gt;0,D224=0),AND(I281&gt;0,D225=0),AND(I282&gt;0,D226=0),AND(I283&gt;0,D227=0),AND(I284&gt;0,D228=0))),
                    AND('Система отопления'!B30=2,OR(AND(I273&gt;0,E217=0),AND(I274&gt;0,E218=0),AND(I275&gt;0,E219=0),AND(I276&gt;0,E220=0),AND(I277&gt;0,E221=0),AND(I278&gt;0,E222=0),AND(I279&gt;0,E223=0),AND(I280&gt;0,E224=0),AND(I281&gt;0,E225=0),AND(I282&gt;0,E226=0),AND(I283&gt;0,E227=0),AND(I284&gt;0,E228=0)))),
"Неполный ввод потребления теплоэнергии по месяцам!",
IFERROR(MID(G217,1,SEARCH("!",G217)),"")))</f>
        <v xml:space="preserve">Не выбран вариант учета. </v>
      </c>
      <c r="F315" s="1323" t="str">
        <f t="shared" ca="1" si="32"/>
        <v/>
      </c>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s="2" customFormat="1" ht="30" customHeight="1" x14ac:dyDescent="0.25">
      <c r="A316" s="1326"/>
      <c r="B316" s="1326"/>
      <c r="C316" s="1269">
        <v>8</v>
      </c>
      <c r="D316" s="1627" t="s">
        <v>1569</v>
      </c>
      <c r="E316" s="1568" t="str">
        <f>IF(OR(F253=0,F254=0,F255=0,F256=0,F257=0,F258=0,F259=0,F260=0,F261=0,F262=0,F263=0,F264=0,F265=0),"Неполный ввод потребления электроэнергии на ОДН!","")</f>
        <v>Неполный ввод потребления электроэнергии на ОДН!</v>
      </c>
      <c r="F316" s="1323" t="str">
        <f t="shared" si="32"/>
        <v/>
      </c>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s="2" customFormat="1" ht="30" customHeight="1" x14ac:dyDescent="0.25">
      <c r="A317" s="1326"/>
      <c r="B317" s="1326"/>
      <c r="C317" s="1342">
        <v>9</v>
      </c>
      <c r="D317" s="1627" t="s">
        <v>1770</v>
      </c>
      <c r="E317" s="1568" t="str">
        <f>IF(SUM(D179,D175,D171,D167,D161,F151:F156)=0,"Введите мощность приборов освещения и/или насосов, лифтов","")</f>
        <v>Введите мощность приборов освещения и/или насосов, лифтов</v>
      </c>
      <c r="F317" s="1323" t="str">
        <f>IF(E317="","Ошибок нет","")</f>
        <v/>
      </c>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s="2" customFormat="1" ht="30" customHeight="1" x14ac:dyDescent="0.25">
      <c r="A318" s="1326"/>
      <c r="B318" s="1326"/>
      <c r="C318" s="1343">
        <v>10</v>
      </c>
      <c r="D318" s="1627" t="s">
        <v>1774</v>
      </c>
      <c r="E318" s="1568" t="str">
        <f>IFERROR(MID(F269,1,SEARCH("!",F269)),"")</f>
        <v/>
      </c>
      <c r="F318" s="1323" t="str">
        <f>IF(E318="","Ошибок нет","")</f>
        <v>Ошибок нет</v>
      </c>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s="2" customFormat="1" ht="30" customHeight="1" x14ac:dyDescent="0.25">
      <c r="A319" s="1326"/>
      <c r="B319" s="1326"/>
      <c r="C319" s="1342">
        <v>11</v>
      </c>
      <c r="D319" s="1627" t="s">
        <v>1558</v>
      </c>
      <c r="E319" s="1568" t="str">
        <f>IF(N("ЕСЛИ(И(C78= ;F23= ;F24= ) _ МКД не подходит для программы из-за доли нежилых помещений и отсутствия в них ИПУ электроэнергии")=0,"","")</f>
        <v/>
      </c>
      <c r="F319" s="1323" t="str">
        <f>IF(E319="","Ошибок нет","")</f>
        <v>Ошибок нет</v>
      </c>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s="2" customFormat="1" ht="30" customHeight="1" x14ac:dyDescent="0.25">
      <c r="A320" s="1326"/>
      <c r="B320" s="1326"/>
      <c r="C320" s="1342">
        <v>12</v>
      </c>
      <c r="D320" s="1627" t="s">
        <v>1565</v>
      </c>
      <c r="E320" s="1568" t="str">
        <f ca="1">CONCATENATE(D210,F209,F206,F202,IF(AND(CONCATENATE(D210,F209,F206,F202)="",D209=0),"Заполните даты отопительного периода! ",""))</f>
        <v>Введите корректные даты отопительного периода! Укажите месяц и год</v>
      </c>
      <c r="F320" s="1323" t="str">
        <f t="shared" ca="1" si="32"/>
        <v/>
      </c>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s="2" customFormat="1" ht="30" customHeight="1" x14ac:dyDescent="0.25">
      <c r="A321" s="1326"/>
      <c r="B321" s="1326"/>
      <c r="C321" s="1342">
        <v>13</v>
      </c>
      <c r="D321" s="1627" t="s">
        <v>1563</v>
      </c>
      <c r="E321" s="1568" t="str">
        <f ca="1">IF(OR(AND(I273&gt;0,E273=""),AND(I274&gt;0,E274=""),AND(I275&gt;0,E275=""),AND(I276&gt;0,E276=""),AND(I277&gt;0,E277=""),AND(I278&gt;0,E278=""),AND(I279&gt;0,E279=""),AND(I280&gt;0,E280=""),AND(I281&gt;0,E281=""),AND(I282&gt;0,E282=""),AND(I283&gt;0,E283=""),AND(I284&gt;0,E284=""),E285=""),"Неполный ввод температуры по месяцам!","")</f>
        <v>Неполный ввод температуры по месяцам!</v>
      </c>
      <c r="F321" s="1323" t="str">
        <f t="shared" ca="1" si="32"/>
        <v/>
      </c>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s="2" customFormat="1" ht="30" customHeight="1" x14ac:dyDescent="0.25">
      <c r="A322" s="1326"/>
      <c r="B322" s="1326"/>
      <c r="C322" s="1342">
        <v>14</v>
      </c>
      <c r="D322" s="1627" t="s">
        <v>1561</v>
      </c>
      <c r="E322" s="1568" t="str">
        <f>IF(COUNTBLANK(D302:E302)+COUNTIF(D302:E302,"-")&gt;0,"Введите тарифы по всем месяцам","")</f>
        <v>Введите тарифы по всем месяцам</v>
      </c>
      <c r="F322" s="1323" t="str">
        <f t="shared" si="32"/>
        <v/>
      </c>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s="2" customFormat="1" ht="22.5" customHeight="1" x14ac:dyDescent="0.25">
      <c r="A323" s="1310"/>
      <c r="B323" s="1310"/>
      <c r="C323" s="1637"/>
      <c r="D323" s="1631" t="s">
        <v>1688</v>
      </c>
      <c r="E323" s="1632" t="str">
        <f ca="1">IF(AND(E322="",E310="",E309="",E319="",E315="",E313="",E311="",E317="",E318="",E321="",E314="",E312="",E320="",E316=""),"Ошибок нет","Исправьте ошибки ввода")</f>
        <v>Исправьте ошибки ввода</v>
      </c>
      <c r="F323" s="1633"/>
      <c r="G323" s="1634"/>
      <c r="H323" s="1634"/>
      <c r="I323" s="1634"/>
      <c r="J323" s="1634"/>
      <c r="K323" s="1634"/>
      <c r="L323" s="1634"/>
      <c r="M323" s="1634"/>
      <c r="N323" s="1634"/>
      <c r="O323" s="1634"/>
      <c r="P323" s="1634"/>
      <c r="Q323" s="1634"/>
      <c r="R323" s="1634"/>
      <c r="S323" s="1634"/>
      <c r="T323" s="1634"/>
      <c r="U323" s="1634"/>
      <c r="V323" s="1634"/>
      <c r="W323" s="1634"/>
      <c r="X323" s="1634"/>
      <c r="Y323" s="1634"/>
      <c r="Z323" s="1634"/>
      <c r="AA323" s="1634"/>
      <c r="AB323" s="1634"/>
      <c r="AC323" s="1634"/>
      <c r="AD323" s="1634"/>
      <c r="AE323" s="1634"/>
      <c r="AF323" s="1634"/>
      <c r="AG323" s="1634"/>
      <c r="AH323" s="1634"/>
    </row>
    <row r="324" spans="1:34" s="13" customFormat="1" ht="60" customHeight="1" x14ac:dyDescent="0.25">
      <c r="A324" s="1326"/>
      <c r="B324" s="1330">
        <f ca="1">IF(E323="Ошибок нет",1,0)</f>
        <v>0</v>
      </c>
      <c r="C324" s="1967" t="str">
        <f ca="1">IFERROR(IF(AND(OR('Система отопления'!$F$3=2,'Система отопления'!$F$3=3),'Расчет базового уровня'!E12&gt;1.1*'Расчет базового уровня'!C12),CONCATENATE("Несмотря на то, что дом оснащен оборудованием по автоматическому регулированию параметров системы отопления, 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уровня'!C12*100-100,0),"%!",CHAR(10),"Возможно автоматика не функционирует должным образом, тогда прогноз экономии будет ненадежным."),""),"")</f>
        <v/>
      </c>
      <c r="D324" s="1967"/>
      <c r="E324" s="1967"/>
      <c r="F324" s="1967"/>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60" customHeight="1" thickBot="1" x14ac:dyDescent="0.3">
      <c r="A325" s="1326"/>
      <c r="B325" s="1326"/>
      <c r="C325" s="2020" t="str">
        <f ca="1">IFERROR(CONCATENATE(IF(OR('Расчет базового уровня'!F15&gt;0.4,'Расчет базового уровня'!F15&lt;-0.25),"Фактический расход теплоэнергии на отопление значительно отличается от нормативного!"&amp;CHAR(10)&amp;"Проверьте ввод данных и, если ошибка сохранится, обратитесь за поддержкой: expert_ekr@fondgkh.ru. ",""),IF(OR(кривые!$W$3&lt;0.8*кривые!$D$5,кривые!$W$3&gt;1.2*кривые!$D$104),"Суммарное потребление энергоресурсов значительно выходит за рамки распределения аналогичных МКД РФ! Проверьте исходные данные","")),"")</f>
        <v/>
      </c>
      <c r="D325" s="2020"/>
      <c r="E325" s="2020"/>
      <c r="F325" s="2020"/>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24" thickBot="1" x14ac:dyDescent="0.4">
      <c r="A326" s="1326"/>
      <c r="B326" s="1327" t="str">
        <f ca="1">IF(E323="Ошибок нет","8/8","?/?")</f>
        <v>?/?</v>
      </c>
      <c r="C326" s="2021" t="str">
        <f ca="1">IF(AND(E323="Ошибок нет",C325=""),"ГОТОВО!   Переходите на лист "&amp;CHAR(34)&amp;"Список мероприятий"&amp;CHAR(34),"")</f>
        <v/>
      </c>
      <c r="D326" s="2021"/>
      <c r="E326" s="2021"/>
      <c r="F326" s="50"/>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26.25" customHeight="1" x14ac:dyDescent="0.25">
      <c r="A327" s="1326"/>
      <c r="B327" s="1326"/>
      <c r="C327" s="637" t="s">
        <v>1819</v>
      </c>
      <c r="D327" s="1363"/>
      <c r="E327" s="2073" t="str">
        <f ca="1">IF('классы ЭЭ и выбросы ПГ'!E44+'классы ЭЭ и выбросы ПГ'!F44=0,"",IFERROR(CONCATENATE("Выбросы парниковых газов ",CHAR(10),"в базовом году составили:",CHAR(10),ROUND('классы ЭЭ и выбросы ПГ'!E44+'классы ЭЭ и выбросы ПГ'!F44,1)," тонн СО2-экв"),""))</f>
        <v/>
      </c>
      <c r="F327" s="50"/>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21" customHeight="1" x14ac:dyDescent="0.25">
      <c r="A328" s="1326"/>
      <c r="B328" s="1326"/>
      <c r="C328" s="1401" t="s">
        <v>1799</v>
      </c>
      <c r="D328" s="1363"/>
      <c r="E328" s="2074"/>
      <c r="F328" s="50"/>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21.75" customHeight="1" x14ac:dyDescent="0.25">
      <c r="A329" s="1326"/>
      <c r="B329" s="1326"/>
      <c r="C329" s="1410" t="s">
        <v>1798</v>
      </c>
      <c r="D329" s="50"/>
      <c r="E329" s="2074"/>
      <c r="F329" s="50"/>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23.25" customHeight="1" x14ac:dyDescent="0.25">
      <c r="A330" s="1326"/>
      <c r="B330" s="1326"/>
      <c r="C330" s="1411" t="s">
        <v>1791</v>
      </c>
      <c r="D330" s="50"/>
      <c r="E330" s="2074"/>
      <c r="F330" s="50"/>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24" customHeight="1" x14ac:dyDescent="0.25">
      <c r="A331" s="1326"/>
      <c r="B331" s="1326"/>
      <c r="C331" s="1403" t="s">
        <v>1792</v>
      </c>
      <c r="D331" s="50"/>
      <c r="E331" s="2074"/>
      <c r="F331" s="50"/>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21.75" customHeight="1" x14ac:dyDescent="0.25">
      <c r="A332" s="1326"/>
      <c r="B332" s="1326"/>
      <c r="C332" s="1404" t="s">
        <v>1793</v>
      </c>
      <c r="D332" s="50"/>
      <c r="E332" s="2074"/>
      <c r="F332" s="50"/>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21.75" customHeight="1" x14ac:dyDescent="0.25">
      <c r="A333" s="1326"/>
      <c r="B333" s="1326"/>
      <c r="C333" s="1405" t="s">
        <v>1794</v>
      </c>
      <c r="D333" s="50"/>
      <c r="E333" s="2074"/>
      <c r="F333" s="50"/>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24" customHeight="1" x14ac:dyDescent="0.25">
      <c r="A334" s="1326"/>
      <c r="B334" s="1326"/>
      <c r="C334" s="1406" t="s">
        <v>1795</v>
      </c>
      <c r="D334" s="50"/>
      <c r="E334" s="2074"/>
      <c r="F334" s="50"/>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23.25" customHeight="1" x14ac:dyDescent="0.25">
      <c r="A335" s="1326"/>
      <c r="B335" s="1326"/>
      <c r="C335" s="1408" t="s">
        <v>1796</v>
      </c>
      <c r="D335" s="50"/>
      <c r="E335" s="2074"/>
      <c r="F335" s="50"/>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21.75" customHeight="1" x14ac:dyDescent="0.25">
      <c r="A336" s="1326"/>
      <c r="B336" s="1326"/>
      <c r="C336" s="1409" t="s">
        <v>1797</v>
      </c>
      <c r="D336" s="50"/>
      <c r="E336" s="2075"/>
      <c r="F336" s="50"/>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26.25" customHeight="1" x14ac:dyDescent="0.25">
      <c r="A337" s="1326"/>
      <c r="B337" s="1326"/>
      <c r="C337" s="264" t="s">
        <v>1818</v>
      </c>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s="13" customFormat="1" ht="26.25" customHeight="1" x14ac:dyDescent="0.25">
      <c r="A338" s="1326"/>
      <c r="B338" s="1326"/>
      <c r="C338" s="2007" t="str">
        <f ca="1">IFERROR(IF('Рейтинг МКД'!D32&lt;&gt;CONCATENATE('классы ЭЭ и выбросы ПГ'!D26,'классы ЭЭ и выбросы ПГ'!D27,'классы ЭЭ и выбросы ПГ'!D28,'классы ЭЭ и выбросы ПГ'!D29,'классы ЭЭ и выбросы ПГ'!D30,'классы ЭЭ и выбросы ПГ'!D31,'классы ЭЭ и выбросы ПГ'!D32,'классы ЭЭ и выбросы ПГ'!D33,'классы ЭЭ и выбросы ПГ'!D34),CONCATENATE("Оценка класса отличается от оценки в экспресс-оценке, поскольку на основе детального ввода были уточнены показатели климата",IF('Рейтинг МКД'!D21=""," и потребление теплоэнергии на ГВС; ",""),IF('Рейтинг МКД'!D23="","и потребление электроэнергии на ОДН",""),"")),"")</f>
        <v/>
      </c>
      <c r="D338" s="2007"/>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52.5" customHeight="1" x14ac:dyDescent="0.35">
      <c r="A339" s="1326"/>
      <c r="B339" s="1326"/>
      <c r="C339" s="2077" t="s">
        <v>1980</v>
      </c>
      <c r="D339" s="2077"/>
      <c r="E339" s="2077"/>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26.25" customHeight="1" x14ac:dyDescent="0.25">
      <c r="A340" s="1326"/>
      <c r="B340" s="1326"/>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26.25" customHeight="1" x14ac:dyDescent="0.25">
      <c r="A341" s="1326"/>
      <c r="B341" s="1326"/>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26.25" customHeight="1" x14ac:dyDescent="0.25">
      <c r="A342" s="1326"/>
      <c r="B342" s="1326"/>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x14ac:dyDescent="0.25">
      <c r="A343" s="1326"/>
      <c r="B343" s="1326"/>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x14ac:dyDescent="0.25">
      <c r="A344" s="1326"/>
      <c r="B344" s="1326"/>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x14ac:dyDescent="0.25">
      <c r="A345" s="1326"/>
      <c r="B345" s="1326"/>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x14ac:dyDescent="0.25">
      <c r="A346" s="1326"/>
      <c r="B346" s="1326"/>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x14ac:dyDescent="0.25">
      <c r="A347" s="1326"/>
      <c r="B347" s="1326"/>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x14ac:dyDescent="0.25">
      <c r="A348" s="1326"/>
      <c r="B348" s="1326"/>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x14ac:dyDescent="0.25">
      <c r="A349" s="1326"/>
      <c r="B349" s="1326"/>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x14ac:dyDescent="0.25">
      <c r="A350" s="1326"/>
      <c r="B350" s="1326"/>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x14ac:dyDescent="0.25">
      <c r="A351" s="1326"/>
      <c r="B351" s="1326"/>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x14ac:dyDescent="0.25">
      <c r="A352" s="1326"/>
      <c r="B352" s="1326"/>
      <c r="C352" s="1326"/>
      <c r="D352" s="1326"/>
      <c r="E352" s="1326"/>
      <c r="F352" s="1326"/>
      <c r="G352" s="1326"/>
      <c r="H352" s="1326"/>
      <c r="I352" s="1326"/>
      <c r="J352" s="1326"/>
      <c r="K352" s="1326"/>
      <c r="L352" s="1326"/>
      <c r="M352" s="1326"/>
      <c r="N352" s="1326"/>
      <c r="O352" s="1326"/>
      <c r="P352" s="1326"/>
      <c r="Q352" s="1326"/>
      <c r="R352" s="1326"/>
      <c r="S352" s="1326"/>
      <c r="T352" s="1326"/>
      <c r="U352" s="1326"/>
      <c r="V352" s="1326"/>
      <c r="W352" s="1326"/>
      <c r="X352" s="1326"/>
      <c r="Y352" s="1326"/>
      <c r="Z352" s="1326"/>
      <c r="AA352" s="1326"/>
      <c r="AB352" s="1326"/>
      <c r="AC352" s="1326"/>
      <c r="AD352" s="1326"/>
      <c r="AE352" s="1326"/>
      <c r="AF352" s="1326"/>
      <c r="AG352" s="1326"/>
      <c r="AH352" s="1326"/>
    </row>
    <row r="353" spans="1:34" x14ac:dyDescent="0.25">
      <c r="A353" s="1326"/>
      <c r="B353" s="1326"/>
      <c r="C353" s="1326"/>
      <c r="D353" s="1326"/>
      <c r="E353" s="1326"/>
      <c r="F353" s="1326"/>
      <c r="G353" s="1326"/>
      <c r="H353" s="1326"/>
      <c r="I353" s="1326"/>
      <c r="J353" s="1326"/>
      <c r="K353" s="1326"/>
      <c r="L353" s="1326"/>
      <c r="M353" s="1326"/>
      <c r="N353" s="1326"/>
      <c r="O353" s="1326"/>
      <c r="P353" s="1326"/>
      <c r="Q353" s="1326"/>
      <c r="R353" s="1326"/>
      <c r="S353" s="1326"/>
      <c r="T353" s="1326"/>
      <c r="U353" s="1326"/>
      <c r="V353" s="1326"/>
      <c r="W353" s="1326"/>
      <c r="X353" s="1326"/>
      <c r="Y353" s="1326"/>
      <c r="Z353" s="1326"/>
      <c r="AA353" s="1326"/>
      <c r="AB353" s="1326"/>
      <c r="AC353" s="1326"/>
      <c r="AD353" s="1326"/>
      <c r="AE353" s="1326"/>
      <c r="AF353" s="1326"/>
      <c r="AG353" s="1326"/>
      <c r="AH353" s="1326"/>
    </row>
    <row r="354" spans="1:34" x14ac:dyDescent="0.25">
      <c r="A354" s="1326"/>
      <c r="B354" s="1326"/>
      <c r="C354" s="1326"/>
      <c r="D354" s="1326"/>
      <c r="E354" s="1326"/>
      <c r="F354" s="1326"/>
      <c r="G354" s="1326"/>
      <c r="H354" s="1326"/>
      <c r="I354" s="1326"/>
      <c r="J354" s="1326"/>
      <c r="K354" s="1326"/>
      <c r="L354" s="1326"/>
      <c r="M354" s="1326"/>
      <c r="N354" s="1326"/>
      <c r="O354" s="1326"/>
      <c r="P354" s="1326"/>
      <c r="Q354" s="1326"/>
      <c r="R354" s="1326"/>
      <c r="S354" s="1326"/>
      <c r="T354" s="1326"/>
      <c r="U354" s="1326"/>
      <c r="V354" s="1326"/>
      <c r="W354" s="1326"/>
      <c r="X354" s="1326"/>
      <c r="Y354" s="1326"/>
      <c r="Z354" s="1326"/>
      <c r="AA354" s="1326"/>
      <c r="AB354" s="1326"/>
      <c r="AC354" s="1326"/>
      <c r="AD354" s="1326"/>
      <c r="AE354" s="1326"/>
      <c r="AF354" s="1326"/>
      <c r="AG354" s="1326"/>
      <c r="AH354" s="1326"/>
    </row>
    <row r="355" spans="1:34" x14ac:dyDescent="0.25">
      <c r="A355" s="1326"/>
      <c r="B355" s="1326"/>
      <c r="C355" s="1326"/>
      <c r="D355" s="1326"/>
      <c r="E355" s="1326"/>
      <c r="F355" s="1326"/>
      <c r="G355" s="1326"/>
      <c r="H355" s="1326"/>
      <c r="I355" s="1326"/>
      <c r="J355" s="1326"/>
      <c r="K355" s="1326"/>
      <c r="L355" s="1326"/>
      <c r="M355" s="1326"/>
      <c r="N355" s="1326"/>
      <c r="O355" s="1326"/>
      <c r="P355" s="1326"/>
      <c r="Q355" s="1326"/>
      <c r="R355" s="1326"/>
      <c r="S355" s="1326"/>
      <c r="T355" s="1326"/>
      <c r="U355" s="1326"/>
      <c r="V355" s="1326"/>
      <c r="W355" s="1326"/>
      <c r="X355" s="1326"/>
      <c r="Y355" s="1326"/>
      <c r="Z355" s="1326"/>
      <c r="AA355" s="1326"/>
      <c r="AB355" s="1326"/>
      <c r="AC355" s="1326"/>
      <c r="AD355" s="1326"/>
      <c r="AE355" s="1326"/>
      <c r="AF355" s="1326"/>
      <c r="AG355" s="1326"/>
      <c r="AH355" s="1326"/>
    </row>
    <row r="356" spans="1:34" x14ac:dyDescent="0.25">
      <c r="A356" s="1326"/>
      <c r="B356" s="1326"/>
      <c r="C356" s="1326"/>
      <c r="D356" s="1326"/>
      <c r="E356" s="1326"/>
      <c r="F356" s="1326"/>
      <c r="G356" s="1326"/>
      <c r="H356" s="1326"/>
      <c r="I356" s="1326"/>
      <c r="J356" s="1326"/>
      <c r="K356" s="1326"/>
      <c r="L356" s="1326"/>
      <c r="M356" s="1326"/>
      <c r="N356" s="1326"/>
      <c r="O356" s="1326"/>
      <c r="P356" s="1326"/>
      <c r="Q356" s="1326"/>
      <c r="R356" s="1326"/>
      <c r="S356" s="1326"/>
      <c r="T356" s="1326"/>
      <c r="U356" s="1326"/>
      <c r="V356" s="1326"/>
      <c r="W356" s="1326"/>
      <c r="X356" s="1326"/>
      <c r="Y356" s="1326"/>
      <c r="Z356" s="1326"/>
      <c r="AA356" s="1326"/>
      <c r="AB356" s="1326"/>
      <c r="AC356" s="1326"/>
      <c r="AD356" s="1326"/>
      <c r="AE356" s="1326"/>
      <c r="AF356" s="1326"/>
      <c r="AG356" s="1326"/>
      <c r="AH356" s="1326"/>
    </row>
    <row r="357" spans="1:34" x14ac:dyDescent="0.25">
      <c r="A357" s="1326"/>
      <c r="B357" s="1326"/>
      <c r="C357" s="1326"/>
      <c r="D357" s="1326"/>
      <c r="E357" s="1326"/>
      <c r="F357" s="1326"/>
      <c r="G357" s="1326"/>
      <c r="H357" s="1326"/>
      <c r="I357" s="1326"/>
      <c r="J357" s="1326"/>
      <c r="K357" s="1326"/>
      <c r="L357" s="1326"/>
      <c r="M357" s="1326"/>
      <c r="N357" s="1326"/>
      <c r="O357" s="1326"/>
      <c r="P357" s="1326"/>
      <c r="Q357" s="1326"/>
      <c r="R357" s="1326"/>
      <c r="S357" s="1326"/>
      <c r="T357" s="1326"/>
      <c r="U357" s="1326"/>
      <c r="V357" s="1326"/>
      <c r="W357" s="1326"/>
      <c r="X357" s="1326"/>
      <c r="Y357" s="1326"/>
      <c r="Z357" s="1326"/>
      <c r="AA357" s="1326"/>
      <c r="AB357" s="1326"/>
      <c r="AC357" s="1326"/>
      <c r="AD357" s="1326"/>
      <c r="AE357" s="1326"/>
      <c r="AF357" s="1326"/>
      <c r="AG357" s="1326"/>
      <c r="AH357" s="1326"/>
    </row>
    <row r="358" spans="1:34" x14ac:dyDescent="0.25">
      <c r="A358" s="1326"/>
      <c r="B358" s="1326"/>
      <c r="C358" s="1326"/>
      <c r="D358" s="1326"/>
      <c r="E358" s="1326"/>
      <c r="F358" s="1326"/>
      <c r="G358" s="1326"/>
      <c r="H358" s="1326"/>
      <c r="I358" s="1326"/>
      <c r="J358" s="1326"/>
      <c r="K358" s="1326"/>
      <c r="L358" s="1326"/>
      <c r="M358" s="1326"/>
      <c r="N358" s="1326"/>
      <c r="O358" s="1326"/>
      <c r="P358" s="1326"/>
      <c r="Q358" s="1326"/>
      <c r="R358" s="1326"/>
      <c r="S358" s="1326"/>
      <c r="T358" s="1326"/>
      <c r="U358" s="1326"/>
      <c r="V358" s="1326"/>
      <c r="W358" s="1326"/>
      <c r="X358" s="1326"/>
      <c r="Y358" s="1326"/>
      <c r="Z358" s="1326"/>
      <c r="AA358" s="1326"/>
      <c r="AB358" s="1326"/>
      <c r="AC358" s="1326"/>
      <c r="AD358" s="1326"/>
      <c r="AE358" s="1326"/>
      <c r="AF358" s="1326"/>
      <c r="AG358" s="1326"/>
      <c r="AH358" s="1326"/>
    </row>
    <row r="359" spans="1:34" x14ac:dyDescent="0.25">
      <c r="A359" s="1326"/>
      <c r="B359" s="1326"/>
      <c r="C359" s="1326"/>
      <c r="D359" s="1326"/>
      <c r="E359" s="1326"/>
      <c r="F359" s="1326"/>
      <c r="G359" s="1326"/>
      <c r="H359" s="1326"/>
      <c r="I359" s="1326"/>
      <c r="J359" s="1326"/>
      <c r="K359" s="1326"/>
      <c r="L359" s="1326"/>
      <c r="M359" s="1326"/>
      <c r="N359" s="1326"/>
      <c r="O359" s="1326"/>
      <c r="P359" s="1326"/>
      <c r="Q359" s="1326"/>
      <c r="R359" s="1326"/>
      <c r="S359" s="1326"/>
      <c r="T359" s="1326"/>
      <c r="U359" s="1326"/>
      <c r="V359" s="1326"/>
      <c r="W359" s="1326"/>
      <c r="X359" s="1326"/>
      <c r="Y359" s="1326"/>
      <c r="Z359" s="1326"/>
      <c r="AA359" s="1326"/>
      <c r="AB359" s="1326"/>
      <c r="AC359" s="1326"/>
      <c r="AD359" s="1326"/>
      <c r="AE359" s="1326"/>
      <c r="AF359" s="1326"/>
      <c r="AG359" s="1326"/>
      <c r="AH359" s="1326"/>
    </row>
    <row r="360" spans="1:34" x14ac:dyDescent="0.25">
      <c r="A360" s="1326"/>
      <c r="B360" s="1326"/>
      <c r="C360" s="1326"/>
      <c r="D360" s="1326"/>
      <c r="E360" s="1326"/>
      <c r="F360" s="1326"/>
      <c r="G360" s="1326"/>
      <c r="H360" s="1326"/>
      <c r="I360" s="1326"/>
      <c r="J360" s="1326"/>
      <c r="K360" s="1326"/>
      <c r="L360" s="1326"/>
      <c r="M360" s="1326"/>
      <c r="N360" s="1326"/>
      <c r="O360" s="1326"/>
      <c r="P360" s="1326"/>
      <c r="Q360" s="1326"/>
      <c r="R360" s="1326"/>
      <c r="S360" s="1326"/>
      <c r="T360" s="1326"/>
      <c r="U360" s="1326"/>
      <c r="V360" s="1326"/>
      <c r="W360" s="1326"/>
      <c r="X360" s="1326"/>
      <c r="Y360" s="1326"/>
      <c r="Z360" s="1326"/>
      <c r="AA360" s="1326"/>
      <c r="AB360" s="1326"/>
      <c r="AC360" s="1326"/>
      <c r="AD360" s="1326"/>
      <c r="AE360" s="1326"/>
      <c r="AF360" s="1326"/>
      <c r="AG360" s="1326"/>
      <c r="AH360" s="1326"/>
    </row>
    <row r="361" spans="1:34" x14ac:dyDescent="0.25">
      <c r="A361" s="1326"/>
      <c r="B361" s="1326"/>
      <c r="C361" s="1326"/>
      <c r="D361" s="1326"/>
      <c r="E361" s="1326"/>
      <c r="F361" s="1326"/>
      <c r="G361" s="1326"/>
      <c r="H361" s="1326"/>
      <c r="I361" s="1326"/>
      <c r="J361" s="1326"/>
      <c r="K361" s="1326"/>
      <c r="L361" s="1326"/>
      <c r="M361" s="1326"/>
      <c r="N361" s="1326"/>
      <c r="O361" s="1326"/>
      <c r="P361" s="1326"/>
      <c r="Q361" s="1326"/>
      <c r="R361" s="1326"/>
      <c r="S361" s="1326"/>
      <c r="T361" s="1326"/>
      <c r="U361" s="1326"/>
      <c r="V361" s="1326"/>
      <c r="W361" s="1326"/>
      <c r="X361" s="1326"/>
      <c r="Y361" s="1326"/>
      <c r="Z361" s="1326"/>
      <c r="AA361" s="1326"/>
      <c r="AB361" s="1326"/>
      <c r="AC361" s="1326"/>
      <c r="AD361" s="1326"/>
      <c r="AE361" s="1326"/>
      <c r="AF361" s="1326"/>
      <c r="AG361" s="1326"/>
      <c r="AH361" s="1326"/>
    </row>
    <row r="362" spans="1:34" x14ac:dyDescent="0.25">
      <c r="A362" s="1326"/>
      <c r="B362" s="1326"/>
      <c r="C362" s="1326"/>
      <c r="D362" s="1326"/>
      <c r="E362" s="1326"/>
      <c r="F362" s="1326"/>
      <c r="G362" s="1326"/>
      <c r="H362" s="1326"/>
      <c r="I362" s="1326"/>
      <c r="J362" s="1326"/>
      <c r="K362" s="1326"/>
      <c r="L362" s="1326"/>
      <c r="M362" s="1326"/>
      <c r="N362" s="1326"/>
      <c r="O362" s="1326"/>
      <c r="P362" s="1326"/>
      <c r="Q362" s="1326"/>
      <c r="R362" s="1326"/>
      <c r="S362" s="1326"/>
      <c r="T362" s="1326"/>
      <c r="U362" s="1326"/>
      <c r="V362" s="1326"/>
      <c r="W362" s="1326"/>
      <c r="X362" s="1326"/>
      <c r="Y362" s="1326"/>
      <c r="Z362" s="1326"/>
      <c r="AA362" s="1326"/>
      <c r="AB362" s="1326"/>
      <c r="AC362" s="1326"/>
      <c r="AD362" s="1326"/>
      <c r="AE362" s="1326"/>
      <c r="AF362" s="1326"/>
      <c r="AG362" s="1326"/>
      <c r="AH362" s="1326"/>
    </row>
    <row r="363" spans="1:34" x14ac:dyDescent="0.25">
      <c r="A363" s="1326"/>
      <c r="B363" s="1326"/>
      <c r="C363" s="1326"/>
      <c r="D363" s="1326"/>
      <c r="E363" s="1326"/>
      <c r="F363" s="1326"/>
      <c r="G363" s="1326"/>
      <c r="H363" s="1326"/>
      <c r="I363" s="1326"/>
      <c r="J363" s="1326"/>
      <c r="K363" s="1326"/>
      <c r="L363" s="1326"/>
      <c r="M363" s="1326"/>
      <c r="N363" s="1326"/>
      <c r="O363" s="1326"/>
      <c r="P363" s="1326"/>
      <c r="Q363" s="1326"/>
      <c r="R363" s="1326"/>
      <c r="S363" s="1326"/>
      <c r="T363" s="1326"/>
      <c r="U363" s="1326"/>
      <c r="V363" s="1326"/>
      <c r="W363" s="1326"/>
      <c r="X363" s="1326"/>
      <c r="Y363" s="1326"/>
      <c r="Z363" s="1326"/>
      <c r="AA363" s="1326"/>
      <c r="AB363" s="1326"/>
      <c r="AC363" s="1326"/>
      <c r="AD363" s="1326"/>
      <c r="AE363" s="1326"/>
      <c r="AF363" s="1326"/>
      <c r="AG363" s="1326"/>
      <c r="AH363" s="1326"/>
    </row>
    <row r="364" spans="1:34" x14ac:dyDescent="0.25">
      <c r="A364" s="1326"/>
      <c r="B364" s="1326"/>
      <c r="C364" s="1326"/>
      <c r="D364" s="1326"/>
      <c r="E364" s="1326"/>
      <c r="F364" s="1326"/>
      <c r="G364" s="1326"/>
      <c r="H364" s="1326"/>
      <c r="I364" s="1326"/>
      <c r="J364" s="1326"/>
      <c r="K364" s="1326"/>
      <c r="L364" s="1326"/>
      <c r="M364" s="1326"/>
      <c r="N364" s="1326"/>
      <c r="O364" s="1326"/>
      <c r="P364" s="1326"/>
      <c r="Q364" s="1326"/>
      <c r="R364" s="1326"/>
      <c r="S364" s="1326"/>
      <c r="T364" s="1326"/>
      <c r="U364" s="1326"/>
      <c r="V364" s="1326"/>
      <c r="W364" s="1326"/>
      <c r="X364" s="1326"/>
      <c r="Y364" s="1326"/>
      <c r="Z364" s="1326"/>
      <c r="AA364" s="1326"/>
      <c r="AB364" s="1326"/>
      <c r="AC364" s="1326"/>
      <c r="AD364" s="1326"/>
      <c r="AE364" s="1326"/>
      <c r="AF364" s="1326"/>
      <c r="AG364" s="1326"/>
      <c r="AH364" s="1326"/>
    </row>
    <row r="365" spans="1:34" x14ac:dyDescent="0.25">
      <c r="A365" s="1326"/>
      <c r="B365" s="1326"/>
      <c r="C365" s="1326"/>
      <c r="D365" s="1326"/>
      <c r="E365" s="1326"/>
      <c r="F365" s="1326"/>
      <c r="G365" s="1326"/>
      <c r="H365" s="1326"/>
      <c r="I365" s="1326"/>
      <c r="J365" s="1326"/>
      <c r="K365" s="1326"/>
      <c r="L365" s="1326"/>
      <c r="M365" s="1326"/>
      <c r="N365" s="1326"/>
      <c r="O365" s="1326"/>
      <c r="P365" s="1326"/>
      <c r="Q365" s="1326"/>
      <c r="R365" s="1326"/>
      <c r="S365" s="1326"/>
      <c r="T365" s="1326"/>
      <c r="U365" s="1326"/>
      <c r="V365" s="1326"/>
      <c r="W365" s="1326"/>
      <c r="X365" s="1326"/>
      <c r="Y365" s="1326"/>
      <c r="Z365" s="1326"/>
      <c r="AA365" s="1326"/>
      <c r="AB365" s="1326"/>
      <c r="AC365" s="1326"/>
      <c r="AD365" s="1326"/>
      <c r="AE365" s="1326"/>
      <c r="AF365" s="1326"/>
      <c r="AG365" s="1326"/>
      <c r="AH365" s="1326"/>
    </row>
    <row r="366" spans="1:34" x14ac:dyDescent="0.25">
      <c r="A366" s="1326"/>
      <c r="B366" s="1326"/>
      <c r="C366" s="1326"/>
      <c r="D366" s="1326"/>
      <c r="E366" s="1326"/>
      <c r="F366" s="1326"/>
      <c r="G366" s="1326"/>
      <c r="H366" s="1326"/>
      <c r="I366" s="1326"/>
      <c r="J366" s="1326"/>
      <c r="K366" s="1326"/>
      <c r="L366" s="1326"/>
      <c r="M366" s="1326"/>
      <c r="N366" s="1326"/>
      <c r="O366" s="1326"/>
      <c r="P366" s="1326"/>
      <c r="Q366" s="1326"/>
      <c r="R366" s="1326"/>
      <c r="S366" s="1326"/>
      <c r="T366" s="1326"/>
      <c r="U366" s="1326"/>
      <c r="V366" s="1326"/>
      <c r="W366" s="1326"/>
      <c r="X366" s="1326"/>
      <c r="Y366" s="1326"/>
      <c r="Z366" s="1326"/>
      <c r="AA366" s="1326"/>
      <c r="AB366" s="1326"/>
      <c r="AC366" s="1326"/>
      <c r="AD366" s="1326"/>
      <c r="AE366" s="1326"/>
      <c r="AF366" s="1326"/>
      <c r="AG366" s="1326"/>
      <c r="AH366" s="1326"/>
    </row>
    <row r="367" spans="1:34" x14ac:dyDescent="0.25">
      <c r="A367" s="1326"/>
      <c r="B367" s="1326"/>
      <c r="C367" s="1326"/>
      <c r="D367" s="1326"/>
      <c r="E367" s="1326"/>
      <c r="F367" s="1326"/>
      <c r="G367" s="1326"/>
      <c r="H367" s="1326"/>
      <c r="I367" s="1326"/>
      <c r="J367" s="1326"/>
      <c r="K367" s="1326"/>
      <c r="L367" s="1326"/>
      <c r="M367" s="1326"/>
      <c r="N367" s="1326"/>
      <c r="O367" s="1326"/>
      <c r="P367" s="1326"/>
      <c r="Q367" s="1326"/>
      <c r="R367" s="1326"/>
      <c r="S367" s="1326"/>
      <c r="T367" s="1326"/>
      <c r="U367" s="1326"/>
      <c r="V367" s="1326"/>
      <c r="W367" s="1326"/>
      <c r="X367" s="1326"/>
      <c r="Y367" s="1326"/>
      <c r="Z367" s="1326"/>
      <c r="AA367" s="1326"/>
      <c r="AB367" s="1326"/>
      <c r="AC367" s="1326"/>
      <c r="AD367" s="1326"/>
      <c r="AE367" s="1326"/>
      <c r="AF367" s="1326"/>
      <c r="AG367" s="1326"/>
      <c r="AH367" s="1326"/>
    </row>
    <row r="368" spans="1:34" x14ac:dyDescent="0.25">
      <c r="A368" s="1326"/>
      <c r="B368" s="1326"/>
      <c r="C368" s="1326"/>
      <c r="D368" s="1326"/>
      <c r="E368" s="1326"/>
      <c r="F368" s="1326"/>
      <c r="G368" s="1326"/>
      <c r="H368" s="1326"/>
      <c r="I368" s="1326"/>
      <c r="J368" s="1326"/>
      <c r="K368" s="1326"/>
      <c r="L368" s="1326"/>
      <c r="M368" s="1326"/>
      <c r="N368" s="1326"/>
      <c r="O368" s="1326"/>
      <c r="P368" s="1326"/>
      <c r="Q368" s="1326"/>
      <c r="R368" s="1326"/>
      <c r="S368" s="1326"/>
      <c r="T368" s="1326"/>
      <c r="U368" s="1326"/>
      <c r="V368" s="1326"/>
      <c r="W368" s="1326"/>
      <c r="X368" s="1326"/>
      <c r="Y368" s="1326"/>
      <c r="Z368" s="1326"/>
      <c r="AA368" s="1326"/>
      <c r="AB368" s="1326"/>
      <c r="AC368" s="1326"/>
      <c r="AD368" s="1326"/>
      <c r="AE368" s="1326"/>
      <c r="AF368" s="1326"/>
      <c r="AG368" s="1326"/>
      <c r="AH368" s="1326"/>
    </row>
    <row r="369" spans="1:34" x14ac:dyDescent="0.25">
      <c r="A369" s="1326"/>
      <c r="B369" s="1326"/>
      <c r="C369" s="1326"/>
      <c r="D369" s="1326"/>
      <c r="E369" s="1326"/>
      <c r="F369" s="1326"/>
      <c r="G369" s="1326"/>
      <c r="H369" s="1326"/>
      <c r="I369" s="1326"/>
      <c r="J369" s="1326"/>
      <c r="K369" s="1326"/>
      <c r="L369" s="1326"/>
      <c r="M369" s="1326"/>
      <c r="N369" s="1326"/>
      <c r="O369" s="1326"/>
      <c r="P369" s="1326"/>
      <c r="Q369" s="1326"/>
      <c r="R369" s="1326"/>
      <c r="S369" s="1326"/>
      <c r="T369" s="1326"/>
      <c r="U369" s="1326"/>
      <c r="V369" s="1326"/>
      <c r="W369" s="1326"/>
      <c r="X369" s="1326"/>
      <c r="Y369" s="1326"/>
      <c r="Z369" s="1326"/>
      <c r="AA369" s="1326"/>
      <c r="AB369" s="1326"/>
      <c r="AC369" s="1326"/>
      <c r="AD369" s="1326"/>
      <c r="AE369" s="1326"/>
      <c r="AF369" s="1326"/>
      <c r="AG369" s="1326"/>
      <c r="AH369" s="1326"/>
    </row>
    <row r="370" spans="1:34" x14ac:dyDescent="0.25">
      <c r="A370" s="1326"/>
      <c r="B370" s="1326"/>
      <c r="C370" s="1326"/>
      <c r="D370" s="1326"/>
      <c r="E370" s="1326"/>
      <c r="F370" s="1326"/>
      <c r="G370" s="1326"/>
      <c r="H370" s="1326"/>
      <c r="I370" s="1326"/>
      <c r="J370" s="1326"/>
      <c r="K370" s="1326"/>
      <c r="L370" s="1326"/>
      <c r="M370" s="1326"/>
      <c r="N370" s="1326"/>
      <c r="O370" s="1326"/>
      <c r="P370" s="1326"/>
      <c r="Q370" s="1326"/>
      <c r="R370" s="1326"/>
      <c r="S370" s="1326"/>
      <c r="T370" s="1326"/>
      <c r="U370" s="1326"/>
      <c r="V370" s="1326"/>
      <c r="W370" s="1326"/>
      <c r="X370" s="1326"/>
      <c r="Y370" s="1326"/>
      <c r="Z370" s="1326"/>
      <c r="AA370" s="1326"/>
      <c r="AB370" s="1326"/>
      <c r="AC370" s="1326"/>
      <c r="AD370" s="1326"/>
      <c r="AE370" s="1326"/>
      <c r="AF370" s="1326"/>
      <c r="AG370" s="1326"/>
      <c r="AH370" s="1326"/>
    </row>
    <row r="371" spans="1:34" x14ac:dyDescent="0.25">
      <c r="A371" s="1326"/>
      <c r="B371" s="1326"/>
      <c r="C371" s="1326"/>
      <c r="D371" s="1326"/>
      <c r="E371" s="1326"/>
      <c r="F371" s="1326"/>
      <c r="G371" s="1326"/>
      <c r="H371" s="1326"/>
      <c r="I371" s="1326"/>
      <c r="J371" s="1326"/>
      <c r="K371" s="1326"/>
      <c r="L371" s="1326"/>
      <c r="M371" s="1326"/>
      <c r="N371" s="1326"/>
      <c r="O371" s="1326"/>
      <c r="P371" s="1326"/>
      <c r="Q371" s="1326"/>
      <c r="R371" s="1326"/>
      <c r="S371" s="1326"/>
      <c r="T371" s="1326"/>
      <c r="U371" s="1326"/>
      <c r="V371" s="1326"/>
      <c r="W371" s="1326"/>
      <c r="X371" s="1326"/>
      <c r="Y371" s="1326"/>
      <c r="Z371" s="1326"/>
      <c r="AA371" s="1326"/>
      <c r="AB371" s="1326"/>
      <c r="AC371" s="1326"/>
      <c r="AD371" s="1326"/>
      <c r="AE371" s="1326"/>
      <c r="AF371" s="1326"/>
      <c r="AG371" s="1326"/>
      <c r="AH371" s="1326"/>
    </row>
    <row r="372" spans="1:34" x14ac:dyDescent="0.25">
      <c r="A372" s="1326"/>
      <c r="B372" s="1326"/>
      <c r="C372" s="1326"/>
      <c r="D372" s="1326"/>
      <c r="E372" s="1326"/>
      <c r="F372" s="1326"/>
      <c r="G372" s="1326"/>
      <c r="H372" s="1326"/>
      <c r="I372" s="1326"/>
      <c r="J372" s="1326"/>
      <c r="K372" s="1326"/>
      <c r="L372" s="1326"/>
      <c r="M372" s="1326"/>
      <c r="N372" s="1326"/>
      <c r="O372" s="1326"/>
      <c r="P372" s="1326"/>
      <c r="Q372" s="1326"/>
      <c r="R372" s="1326"/>
      <c r="S372" s="1326"/>
      <c r="T372" s="1326"/>
      <c r="U372" s="1326"/>
      <c r="V372" s="1326"/>
      <c r="W372" s="1326"/>
      <c r="X372" s="1326"/>
      <c r="Y372" s="1326"/>
      <c r="Z372" s="1326"/>
      <c r="AA372" s="1326"/>
      <c r="AB372" s="1326"/>
      <c r="AC372" s="1326"/>
      <c r="AD372" s="1326"/>
      <c r="AE372" s="1326"/>
      <c r="AF372" s="1326"/>
      <c r="AG372" s="1326"/>
      <c r="AH372" s="1326"/>
    </row>
    <row r="373" spans="1:34" x14ac:dyDescent="0.25">
      <c r="A373" s="1326"/>
      <c r="B373" s="1326"/>
      <c r="C373" s="1326"/>
      <c r="D373" s="1326"/>
      <c r="E373" s="1326"/>
      <c r="F373" s="1326"/>
      <c r="G373" s="1326"/>
      <c r="H373" s="1326"/>
      <c r="I373" s="1326"/>
      <c r="J373" s="1326"/>
      <c r="K373" s="1326"/>
      <c r="L373" s="1326"/>
      <c r="M373" s="1326"/>
      <c r="N373" s="1326"/>
      <c r="O373" s="1326"/>
      <c r="P373" s="1326"/>
      <c r="Q373" s="1326"/>
      <c r="R373" s="1326"/>
      <c r="S373" s="1326"/>
      <c r="T373" s="1326"/>
      <c r="U373" s="1326"/>
      <c r="V373" s="1326"/>
      <c r="W373" s="1326"/>
      <c r="X373" s="1326"/>
      <c r="Y373" s="1326"/>
      <c r="Z373" s="1326"/>
      <c r="AA373" s="1326"/>
      <c r="AB373" s="1326"/>
      <c r="AC373" s="1326"/>
      <c r="AD373" s="1326"/>
      <c r="AE373" s="1326"/>
      <c r="AF373" s="1326"/>
      <c r="AG373" s="1326"/>
      <c r="AH373" s="1326"/>
    </row>
    <row r="374" spans="1:34" x14ac:dyDescent="0.25">
      <c r="A374" s="1326"/>
      <c r="B374" s="1326"/>
      <c r="C374" s="1326"/>
      <c r="D374" s="1326"/>
      <c r="E374" s="1326"/>
      <c r="F374" s="1326"/>
      <c r="G374" s="1326"/>
      <c r="H374" s="1326"/>
      <c r="I374" s="1326"/>
      <c r="J374" s="1326"/>
      <c r="K374" s="1326"/>
      <c r="L374" s="1326"/>
      <c r="M374" s="1326"/>
      <c r="N374" s="1326"/>
      <c r="O374" s="1326"/>
      <c r="P374" s="1326"/>
      <c r="Q374" s="1326"/>
      <c r="R374" s="1326"/>
      <c r="S374" s="1326"/>
      <c r="T374" s="1326"/>
      <c r="U374" s="1326"/>
      <c r="V374" s="1326"/>
      <c r="W374" s="1326"/>
      <c r="X374" s="1326"/>
      <c r="Y374" s="1326"/>
      <c r="Z374" s="1326"/>
      <c r="AA374" s="1326"/>
      <c r="AB374" s="1326"/>
      <c r="AC374" s="1326"/>
      <c r="AD374" s="1326"/>
      <c r="AE374" s="1326"/>
      <c r="AF374" s="1326"/>
      <c r="AG374" s="1326"/>
      <c r="AH374" s="1326"/>
    </row>
    <row r="375" spans="1:34" x14ac:dyDescent="0.25">
      <c r="A375" s="1326"/>
      <c r="B375" s="1326"/>
      <c r="C375" s="1326"/>
      <c r="D375" s="1326"/>
      <c r="E375" s="1326"/>
      <c r="F375" s="1326"/>
      <c r="G375" s="1326"/>
      <c r="H375" s="1326"/>
      <c r="I375" s="1326"/>
      <c r="J375" s="1326"/>
      <c r="K375" s="1326"/>
      <c r="L375" s="1326"/>
      <c r="M375" s="1326"/>
      <c r="N375" s="1326"/>
      <c r="O375" s="1326"/>
      <c r="P375" s="1326"/>
      <c r="Q375" s="1326"/>
      <c r="R375" s="1326"/>
      <c r="S375" s="1326"/>
      <c r="T375" s="1326"/>
      <c r="U375" s="1326"/>
      <c r="V375" s="1326"/>
      <c r="W375" s="1326"/>
      <c r="X375" s="1326"/>
      <c r="Y375" s="1326"/>
      <c r="Z375" s="1326"/>
      <c r="AA375" s="1326"/>
      <c r="AB375" s="1326"/>
      <c r="AC375" s="1326"/>
      <c r="AD375" s="1326"/>
      <c r="AE375" s="1326"/>
      <c r="AF375" s="1326"/>
      <c r="AG375" s="1326"/>
      <c r="AH375" s="1326"/>
    </row>
    <row r="376" spans="1:34" x14ac:dyDescent="0.25">
      <c r="A376" s="1326"/>
      <c r="B376" s="1326"/>
      <c r="C376" s="1326"/>
      <c r="D376" s="1326"/>
      <c r="E376" s="1326"/>
      <c r="F376" s="1326"/>
      <c r="G376" s="1326"/>
      <c r="H376" s="1326"/>
      <c r="I376" s="1326"/>
      <c r="J376" s="1326"/>
      <c r="K376" s="1326"/>
      <c r="L376" s="1326"/>
      <c r="M376" s="1326"/>
      <c r="N376" s="1326"/>
      <c r="O376" s="1326"/>
      <c r="P376" s="1326"/>
      <c r="Q376" s="1326"/>
      <c r="R376" s="1326"/>
      <c r="S376" s="1326"/>
      <c r="T376" s="1326"/>
      <c r="U376" s="1326"/>
      <c r="V376" s="1326"/>
      <c r="W376" s="1326"/>
      <c r="X376" s="1326"/>
      <c r="Y376" s="1326"/>
      <c r="Z376" s="1326"/>
      <c r="AA376" s="1326"/>
      <c r="AB376" s="1326"/>
      <c r="AC376" s="1326"/>
      <c r="AD376" s="1326"/>
      <c r="AE376" s="1326"/>
      <c r="AF376" s="1326"/>
      <c r="AG376" s="1326"/>
      <c r="AH376" s="1326"/>
    </row>
    <row r="377" spans="1:34" x14ac:dyDescent="0.25">
      <c r="A377" s="1326"/>
      <c r="B377" s="1326"/>
      <c r="C377" s="1326"/>
      <c r="D377" s="1326"/>
      <c r="E377" s="1326"/>
      <c r="F377" s="1326"/>
      <c r="G377" s="1326"/>
      <c r="H377" s="1326"/>
      <c r="I377" s="1326"/>
      <c r="J377" s="1326"/>
      <c r="K377" s="1326"/>
      <c r="L377" s="1326"/>
      <c r="M377" s="1326"/>
      <c r="N377" s="1326"/>
      <c r="O377" s="1326"/>
      <c r="P377" s="1326"/>
      <c r="Q377" s="1326"/>
      <c r="R377" s="1326"/>
      <c r="S377" s="1326"/>
      <c r="T377" s="1326"/>
      <c r="U377" s="1326"/>
      <c r="V377" s="1326"/>
      <c r="W377" s="1326"/>
      <c r="X377" s="1326"/>
      <c r="Y377" s="1326"/>
      <c r="Z377" s="1326"/>
      <c r="AA377" s="1326"/>
      <c r="AB377" s="1326"/>
      <c r="AC377" s="1326"/>
      <c r="AD377" s="1326"/>
      <c r="AE377" s="1326"/>
      <c r="AF377" s="1326"/>
      <c r="AG377" s="1326"/>
      <c r="AH377" s="1326"/>
    </row>
    <row r="378" spans="1:34" x14ac:dyDescent="0.25">
      <c r="A378" s="1326"/>
      <c r="B378" s="1326"/>
      <c r="C378" s="1326"/>
      <c r="D378" s="1326"/>
      <c r="E378" s="1326"/>
      <c r="F378" s="1326"/>
      <c r="G378" s="1326"/>
      <c r="H378" s="1326"/>
      <c r="I378" s="1326"/>
      <c r="J378" s="1326"/>
      <c r="K378" s="1326"/>
      <c r="L378" s="1326"/>
      <c r="M378" s="1326"/>
      <c r="N378" s="1326"/>
      <c r="O378" s="1326"/>
      <c r="P378" s="1326"/>
      <c r="Q378" s="1326"/>
      <c r="R378" s="1326"/>
      <c r="S378" s="1326"/>
      <c r="T378" s="1326"/>
      <c r="U378" s="1326"/>
      <c r="V378" s="1326"/>
      <c r="W378" s="1326"/>
      <c r="X378" s="1326"/>
      <c r="Y378" s="1326"/>
      <c r="Z378" s="1326"/>
      <c r="AA378" s="1326"/>
      <c r="AB378" s="1326"/>
      <c r="AC378" s="1326"/>
      <c r="AD378" s="1326"/>
      <c r="AE378" s="1326"/>
      <c r="AF378" s="1326"/>
      <c r="AG378" s="1326"/>
      <c r="AH378" s="1326"/>
    </row>
    <row r="379" spans="1:34" x14ac:dyDescent="0.25">
      <c r="A379" s="1326"/>
      <c r="B379" s="1326"/>
      <c r="C379" s="1326"/>
      <c r="D379" s="1326"/>
      <c r="E379" s="1326"/>
      <c r="F379" s="1326"/>
      <c r="G379" s="1326"/>
      <c r="H379" s="1326"/>
      <c r="I379" s="1326"/>
      <c r="J379" s="1326"/>
      <c r="K379" s="1326"/>
      <c r="L379" s="1326"/>
      <c r="M379" s="1326"/>
      <c r="N379" s="1326"/>
      <c r="O379" s="1326"/>
      <c r="P379" s="1326"/>
      <c r="Q379" s="1326"/>
      <c r="R379" s="1326"/>
      <c r="S379" s="1326"/>
      <c r="T379" s="1326"/>
      <c r="U379" s="1326"/>
      <c r="V379" s="1326"/>
      <c r="W379" s="1326"/>
      <c r="X379" s="1326"/>
      <c r="Y379" s="1326"/>
      <c r="Z379" s="1326"/>
      <c r="AA379" s="1326"/>
      <c r="AB379" s="1326"/>
      <c r="AC379" s="1326"/>
      <c r="AD379" s="1326"/>
      <c r="AE379" s="1326"/>
      <c r="AF379" s="1326"/>
      <c r="AG379" s="1326"/>
      <c r="AH379" s="1326"/>
    </row>
    <row r="380" spans="1:34" x14ac:dyDescent="0.25">
      <c r="A380" s="1326"/>
      <c r="B380" s="1326"/>
      <c r="C380" s="1326"/>
      <c r="D380" s="1326"/>
      <c r="E380" s="1326"/>
      <c r="F380" s="1326"/>
      <c r="G380" s="1326"/>
      <c r="H380" s="1326"/>
      <c r="I380" s="1326"/>
      <c r="J380" s="1326"/>
      <c r="K380" s="1326"/>
      <c r="L380" s="1326"/>
      <c r="M380" s="1326"/>
      <c r="N380" s="1326"/>
      <c r="O380" s="1326"/>
      <c r="P380" s="1326"/>
      <c r="Q380" s="1326"/>
      <c r="R380" s="1326"/>
      <c r="S380" s="1326"/>
      <c r="T380" s="1326"/>
      <c r="U380" s="1326"/>
      <c r="V380" s="1326"/>
      <c r="W380" s="1326"/>
      <c r="X380" s="1326"/>
      <c r="Y380" s="1326"/>
      <c r="Z380" s="1326"/>
      <c r="AA380" s="1326"/>
      <c r="AB380" s="1326"/>
      <c r="AC380" s="1326"/>
      <c r="AD380" s="1326"/>
      <c r="AE380" s="1326"/>
      <c r="AF380" s="1326"/>
      <c r="AG380" s="1326"/>
      <c r="AH380" s="1326"/>
    </row>
    <row r="381" spans="1:34" x14ac:dyDescent="0.25">
      <c r="A381" s="1326"/>
      <c r="B381" s="1326"/>
      <c r="C381" s="1326"/>
      <c r="D381" s="1326"/>
      <c r="E381" s="1326"/>
      <c r="F381" s="1326"/>
      <c r="G381" s="1326"/>
      <c r="H381" s="1326"/>
      <c r="I381" s="1326"/>
      <c r="J381" s="1326"/>
      <c r="K381" s="1326"/>
      <c r="L381" s="1326"/>
      <c r="M381" s="1326"/>
      <c r="N381" s="1326"/>
      <c r="O381" s="1326"/>
      <c r="P381" s="1326"/>
      <c r="Q381" s="1326"/>
      <c r="R381" s="1326"/>
      <c r="S381" s="1326"/>
      <c r="T381" s="1326"/>
      <c r="U381" s="1326"/>
      <c r="V381" s="1326"/>
      <c r="W381" s="1326"/>
      <c r="X381" s="1326"/>
      <c r="Y381" s="1326"/>
      <c r="Z381" s="1326"/>
      <c r="AA381" s="1326"/>
      <c r="AB381" s="1326"/>
      <c r="AC381" s="1326"/>
      <c r="AD381" s="1326"/>
      <c r="AE381" s="1326"/>
      <c r="AF381" s="1326"/>
      <c r="AG381" s="1326"/>
      <c r="AH381" s="1326"/>
    </row>
    <row r="382" spans="1:34" x14ac:dyDescent="0.25">
      <c r="A382" s="1326"/>
      <c r="B382" s="1326"/>
      <c r="C382" s="1326"/>
      <c r="D382" s="1326"/>
      <c r="E382" s="1326"/>
      <c r="F382" s="1326"/>
      <c r="G382" s="1326"/>
      <c r="H382" s="1326"/>
      <c r="I382" s="1326"/>
      <c r="J382" s="1326"/>
      <c r="K382" s="1326"/>
      <c r="L382" s="1326"/>
      <c r="M382" s="1326"/>
      <c r="N382" s="1326"/>
      <c r="O382" s="1326"/>
      <c r="P382" s="1326"/>
      <c r="Q382" s="1326"/>
      <c r="R382" s="1326"/>
      <c r="S382" s="1326"/>
      <c r="T382" s="1326"/>
      <c r="U382" s="1326"/>
      <c r="V382" s="1326"/>
      <c r="W382" s="1326"/>
      <c r="X382" s="1326"/>
      <c r="Y382" s="1326"/>
      <c r="Z382" s="1326"/>
      <c r="AA382" s="1326"/>
      <c r="AB382" s="1326"/>
      <c r="AC382" s="1326"/>
      <c r="AD382" s="1326"/>
      <c r="AE382" s="1326"/>
      <c r="AF382" s="1326"/>
      <c r="AG382" s="1326"/>
      <c r="AH382" s="1326"/>
    </row>
    <row r="383" spans="1:34" x14ac:dyDescent="0.25">
      <c r="A383" s="1326"/>
      <c r="B383" s="1326"/>
      <c r="C383" s="1326"/>
      <c r="D383" s="1326"/>
      <c r="E383" s="1326"/>
      <c r="F383" s="1326"/>
      <c r="G383" s="1326"/>
      <c r="H383" s="1326"/>
      <c r="I383" s="1326"/>
      <c r="J383" s="1326"/>
      <c r="K383" s="1326"/>
      <c r="L383" s="1326"/>
      <c r="M383" s="1326"/>
      <c r="N383" s="1326"/>
      <c r="O383" s="1326"/>
      <c r="P383" s="1326"/>
      <c r="Q383" s="1326"/>
      <c r="R383" s="1326"/>
      <c r="S383" s="1326"/>
      <c r="T383" s="1326"/>
      <c r="U383" s="1326"/>
      <c r="V383" s="1326"/>
      <c r="W383" s="1326"/>
      <c r="X383" s="1326"/>
      <c r="Y383" s="1326"/>
      <c r="Z383" s="1326"/>
      <c r="AA383" s="1326"/>
      <c r="AB383" s="1326"/>
      <c r="AC383" s="1326"/>
      <c r="AD383" s="1326"/>
      <c r="AE383" s="1326"/>
      <c r="AF383" s="1326"/>
      <c r="AG383" s="1326"/>
      <c r="AH383" s="1326"/>
    </row>
    <row r="384" spans="1:34" x14ac:dyDescent="0.25">
      <c r="A384" s="1326"/>
      <c r="B384" s="1326"/>
      <c r="C384" s="1326"/>
      <c r="D384" s="1326"/>
      <c r="E384" s="1326"/>
      <c r="F384" s="1326"/>
      <c r="G384" s="1326"/>
      <c r="H384" s="1326"/>
      <c r="I384" s="1326"/>
      <c r="J384" s="1326"/>
      <c r="K384" s="1326"/>
      <c r="L384" s="1326"/>
      <c r="M384" s="1326"/>
      <c r="N384" s="1326"/>
      <c r="O384" s="1326"/>
      <c r="P384" s="1326"/>
      <c r="Q384" s="1326"/>
      <c r="R384" s="1326"/>
      <c r="S384" s="1326"/>
      <c r="T384" s="1326"/>
      <c r="U384" s="1326"/>
      <c r="V384" s="1326"/>
      <c r="W384" s="1326"/>
      <c r="X384" s="1326"/>
      <c r="Y384" s="1326"/>
      <c r="Z384" s="1326"/>
      <c r="AA384" s="1326"/>
      <c r="AB384" s="1326"/>
      <c r="AC384" s="1326"/>
      <c r="AD384" s="1326"/>
      <c r="AE384" s="1326"/>
      <c r="AF384" s="1326"/>
      <c r="AG384" s="1326"/>
      <c r="AH384" s="1326"/>
    </row>
    <row r="385" spans="1:34" x14ac:dyDescent="0.25">
      <c r="A385" s="1326"/>
      <c r="B385" s="1326"/>
      <c r="C385" s="1326"/>
      <c r="D385" s="1326"/>
      <c r="E385" s="1326"/>
      <c r="F385" s="1326"/>
      <c r="G385" s="1326"/>
      <c r="H385" s="1326"/>
      <c r="I385" s="1326"/>
      <c r="J385" s="1326"/>
      <c r="K385" s="1326"/>
      <c r="L385" s="1326"/>
      <c r="M385" s="1326"/>
      <c r="N385" s="1326"/>
      <c r="O385" s="1326"/>
      <c r="P385" s="1326"/>
      <c r="Q385" s="1326"/>
      <c r="R385" s="1326"/>
      <c r="S385" s="1326"/>
      <c r="T385" s="1326"/>
      <c r="U385" s="1326"/>
      <c r="V385" s="1326"/>
      <c r="W385" s="1326"/>
      <c r="X385" s="1326"/>
      <c r="Y385" s="1326"/>
      <c r="Z385" s="1326"/>
      <c r="AA385" s="1326"/>
      <c r="AB385" s="1326"/>
      <c r="AC385" s="1326"/>
      <c r="AD385" s="1326"/>
      <c r="AE385" s="1326"/>
      <c r="AF385" s="1326"/>
      <c r="AG385" s="1326"/>
      <c r="AH385" s="1326"/>
    </row>
    <row r="386" spans="1:34" x14ac:dyDescent="0.25">
      <c r="A386" s="1326"/>
      <c r="B386" s="1326"/>
      <c r="C386" s="1326"/>
      <c r="D386" s="1326"/>
      <c r="E386" s="1326"/>
      <c r="F386" s="1326"/>
      <c r="G386" s="1326"/>
      <c r="H386" s="1326"/>
      <c r="I386" s="1326"/>
      <c r="J386" s="1326"/>
      <c r="K386" s="1326"/>
      <c r="L386" s="1326"/>
      <c r="M386" s="1326"/>
      <c r="N386" s="1326"/>
      <c r="O386" s="1326"/>
      <c r="P386" s="1326"/>
      <c r="Q386" s="1326"/>
      <c r="R386" s="1326"/>
      <c r="S386" s="1326"/>
      <c r="T386" s="1326"/>
      <c r="U386" s="1326"/>
      <c r="V386" s="1326"/>
      <c r="W386" s="1326"/>
      <c r="X386" s="1326"/>
      <c r="Y386" s="1326"/>
      <c r="Z386" s="1326"/>
      <c r="AA386" s="1326"/>
      <c r="AB386" s="1326"/>
      <c r="AC386" s="1326"/>
      <c r="AD386" s="1326"/>
      <c r="AE386" s="1326"/>
      <c r="AF386" s="1326"/>
      <c r="AG386" s="1326"/>
      <c r="AH386" s="1326"/>
    </row>
    <row r="387" spans="1:34" x14ac:dyDescent="0.25">
      <c r="A387" s="1326"/>
      <c r="B387" s="1326"/>
      <c r="C387" s="1326"/>
      <c r="D387" s="1326"/>
      <c r="E387" s="1326"/>
      <c r="F387" s="1326"/>
      <c r="G387" s="1326"/>
      <c r="H387" s="1326"/>
      <c r="I387" s="1326"/>
      <c r="J387" s="1326"/>
      <c r="K387" s="1326"/>
      <c r="L387" s="1326"/>
      <c r="M387" s="1326"/>
      <c r="N387" s="1326"/>
      <c r="O387" s="1326"/>
      <c r="P387" s="1326"/>
      <c r="Q387" s="1326"/>
      <c r="R387" s="1326"/>
      <c r="S387" s="1326"/>
      <c r="T387" s="1326"/>
      <c r="U387" s="1326"/>
      <c r="V387" s="1326"/>
      <c r="W387" s="1326"/>
      <c r="X387" s="1326"/>
      <c r="Y387" s="1326"/>
      <c r="Z387" s="1326"/>
      <c r="AA387" s="1326"/>
      <c r="AB387" s="1326"/>
      <c r="AC387" s="1326"/>
      <c r="AD387" s="1326"/>
      <c r="AE387" s="1326"/>
      <c r="AF387" s="1326"/>
      <c r="AG387" s="1326"/>
      <c r="AH387" s="1326"/>
    </row>
    <row r="388" spans="1:34" x14ac:dyDescent="0.25">
      <c r="A388" s="1326"/>
      <c r="B388" s="1326"/>
      <c r="C388" s="1326"/>
      <c r="D388" s="1326"/>
      <c r="E388" s="1326"/>
      <c r="F388" s="1326"/>
      <c r="G388" s="1326"/>
      <c r="H388" s="1326"/>
      <c r="I388" s="1326"/>
      <c r="J388" s="1326"/>
      <c r="K388" s="1326"/>
      <c r="L388" s="1326"/>
      <c r="M388" s="1326"/>
      <c r="N388" s="1326"/>
      <c r="O388" s="1326"/>
      <c r="P388" s="1326"/>
      <c r="Q388" s="1326"/>
      <c r="R388" s="1326"/>
      <c r="S388" s="1326"/>
      <c r="T388" s="1326"/>
      <c r="U388" s="1326"/>
      <c r="V388" s="1326"/>
      <c r="W388" s="1326"/>
      <c r="X388" s="1326"/>
      <c r="Y388" s="1326"/>
      <c r="Z388" s="1326"/>
      <c r="AA388" s="1326"/>
      <c r="AB388" s="1326"/>
      <c r="AC388" s="1326"/>
      <c r="AD388" s="1326"/>
      <c r="AE388" s="1326"/>
      <c r="AF388" s="1326"/>
      <c r="AG388" s="1326"/>
      <c r="AH388" s="1326"/>
    </row>
    <row r="389" spans="1:34" x14ac:dyDescent="0.25">
      <c r="A389" s="1326"/>
      <c r="B389" s="1326"/>
      <c r="C389" s="1326"/>
      <c r="D389" s="1326"/>
      <c r="E389" s="1326"/>
      <c r="F389" s="1326"/>
      <c r="G389" s="1326"/>
      <c r="H389" s="1326"/>
      <c r="I389" s="1326"/>
      <c r="J389" s="1326"/>
      <c r="K389" s="1326"/>
      <c r="L389" s="1326"/>
      <c r="M389" s="1326"/>
      <c r="N389" s="1326"/>
      <c r="O389" s="1326"/>
      <c r="P389" s="1326"/>
      <c r="Q389" s="1326"/>
      <c r="R389" s="1326"/>
      <c r="S389" s="1326"/>
      <c r="T389" s="1326"/>
      <c r="U389" s="1326"/>
      <c r="V389" s="1326"/>
      <c r="W389" s="1326"/>
      <c r="X389" s="1326"/>
      <c r="Y389" s="1326"/>
      <c r="Z389" s="1326"/>
      <c r="AA389" s="1326"/>
      <c r="AB389" s="1326"/>
      <c r="AC389" s="1326"/>
      <c r="AD389" s="1326"/>
      <c r="AE389" s="1326"/>
      <c r="AF389" s="1326"/>
      <c r="AG389" s="1326"/>
      <c r="AH389" s="1326"/>
    </row>
    <row r="390" spans="1:34" x14ac:dyDescent="0.25">
      <c r="A390" s="1326"/>
      <c r="B390" s="1326"/>
      <c r="C390" s="1326"/>
      <c r="D390" s="1326"/>
      <c r="E390" s="1326"/>
      <c r="F390" s="1326"/>
      <c r="G390" s="1326"/>
      <c r="H390" s="1326"/>
      <c r="I390" s="1326"/>
      <c r="J390" s="1326"/>
      <c r="K390" s="1326"/>
      <c r="L390" s="1326"/>
      <c r="M390" s="1326"/>
      <c r="N390" s="1326"/>
      <c r="O390" s="1326"/>
      <c r="P390" s="1326"/>
      <c r="Q390" s="1326"/>
      <c r="R390" s="1326"/>
      <c r="S390" s="1326"/>
      <c r="T390" s="1326"/>
      <c r="U390" s="1326"/>
      <c r="V390" s="1326"/>
      <c r="W390" s="1326"/>
      <c r="X390" s="1326"/>
      <c r="Y390" s="1326"/>
      <c r="Z390" s="1326"/>
      <c r="AA390" s="1326"/>
      <c r="AB390" s="1326"/>
      <c r="AC390" s="1326"/>
      <c r="AD390" s="1326"/>
      <c r="AE390" s="1326"/>
      <c r="AF390" s="1326"/>
      <c r="AG390" s="1326"/>
      <c r="AH390" s="1326"/>
    </row>
    <row r="391" spans="1:34" hidden="1" x14ac:dyDescent="0.25">
      <c r="A391" s="1326"/>
      <c r="B391" s="1326"/>
      <c r="C391" s="1326"/>
      <c r="D391" s="1326"/>
      <c r="E391" s="1326"/>
      <c r="F391" s="1326"/>
      <c r="G391" s="1326"/>
      <c r="H391" s="1326"/>
      <c r="I391" s="1326"/>
      <c r="J391" s="1326"/>
      <c r="K391" s="1326"/>
      <c r="L391" s="1326"/>
      <c r="M391" s="1326"/>
      <c r="N391" s="1326"/>
      <c r="O391" s="1326"/>
      <c r="P391" s="1326"/>
      <c r="Q391" s="1326"/>
      <c r="R391" s="1326"/>
      <c r="S391" s="1326"/>
      <c r="T391" s="1326"/>
      <c r="U391" s="1326"/>
      <c r="V391" s="1326"/>
      <c r="W391" s="1326"/>
      <c r="X391" s="1326"/>
      <c r="Y391" s="1326"/>
      <c r="Z391" s="1326"/>
    </row>
    <row r="392" spans="1:34" hidden="1" x14ac:dyDescent="0.25">
      <c r="A392" s="1326"/>
      <c r="B392" s="1326"/>
      <c r="C392" s="1326"/>
      <c r="D392" s="1326"/>
      <c r="E392" s="1326"/>
      <c r="F392" s="1326"/>
      <c r="G392" s="1326"/>
      <c r="H392" s="1326"/>
      <c r="I392" s="1326"/>
      <c r="J392" s="1326"/>
      <c r="K392" s="1326"/>
      <c r="L392" s="1326"/>
      <c r="M392" s="1326"/>
      <c r="N392" s="1326"/>
      <c r="O392" s="1326"/>
      <c r="P392" s="1326"/>
      <c r="Q392" s="1326"/>
      <c r="R392" s="1326"/>
      <c r="S392" s="1326"/>
      <c r="T392" s="1326"/>
      <c r="U392" s="1326"/>
      <c r="V392" s="1326"/>
      <c r="W392" s="1326"/>
      <c r="X392" s="1326"/>
      <c r="Y392" s="1326"/>
      <c r="Z392" s="1326"/>
    </row>
    <row r="393" spans="1:34" hidden="1" x14ac:dyDescent="0.25">
      <c r="A393" s="1326"/>
      <c r="B393" s="1326"/>
      <c r="C393" s="1326"/>
      <c r="D393" s="1326"/>
      <c r="E393" s="1326"/>
      <c r="F393" s="1326"/>
      <c r="G393" s="1326"/>
      <c r="H393" s="1326"/>
      <c r="I393" s="1326"/>
      <c r="J393" s="1326"/>
      <c r="K393" s="1326"/>
      <c r="L393" s="1326"/>
      <c r="M393" s="1326"/>
      <c r="N393" s="1326"/>
      <c r="O393" s="1326"/>
      <c r="P393" s="1326"/>
      <c r="Q393" s="1326"/>
      <c r="R393" s="1326"/>
      <c r="S393" s="1326"/>
      <c r="T393" s="1326"/>
      <c r="U393" s="1326"/>
      <c r="V393" s="1326"/>
      <c r="W393" s="1326"/>
      <c r="X393" s="1326"/>
      <c r="Y393" s="1326"/>
      <c r="Z393" s="1326"/>
    </row>
    <row r="394" spans="1:34" hidden="1" x14ac:dyDescent="0.25">
      <c r="A394" s="1326"/>
      <c r="B394" s="1326"/>
      <c r="C394" s="1326"/>
      <c r="D394" s="1326"/>
      <c r="E394" s="1326"/>
      <c r="F394" s="1326"/>
      <c r="G394" s="1326"/>
      <c r="H394" s="1326"/>
      <c r="I394" s="1326"/>
      <c r="J394" s="1326"/>
      <c r="K394" s="1326"/>
      <c r="L394" s="1326"/>
      <c r="M394" s="1326"/>
      <c r="N394" s="1326"/>
      <c r="O394" s="1326"/>
      <c r="P394" s="1326"/>
      <c r="Q394" s="1326"/>
      <c r="R394" s="1326"/>
      <c r="S394" s="1326"/>
      <c r="T394" s="1326"/>
      <c r="U394" s="1326"/>
      <c r="V394" s="1326"/>
      <c r="W394" s="1326"/>
      <c r="X394" s="1326"/>
      <c r="Y394" s="1326"/>
      <c r="Z394" s="1326"/>
    </row>
    <row r="395" spans="1:34" hidden="1" x14ac:dyDescent="0.25">
      <c r="A395" s="1326"/>
      <c r="B395" s="1326"/>
      <c r="C395" s="1326"/>
      <c r="D395" s="1326"/>
      <c r="E395" s="1326"/>
      <c r="F395" s="1326"/>
      <c r="G395" s="1326"/>
      <c r="H395" s="1326"/>
      <c r="I395" s="1326"/>
      <c r="J395" s="1326"/>
      <c r="K395" s="1326"/>
      <c r="L395" s="1326"/>
      <c r="M395" s="1326"/>
      <c r="N395" s="1326"/>
      <c r="O395" s="1326"/>
      <c r="P395" s="1326"/>
      <c r="Q395" s="1326"/>
      <c r="R395" s="1326"/>
      <c r="S395" s="1326"/>
      <c r="T395" s="1326"/>
      <c r="U395" s="1326"/>
      <c r="V395" s="1326"/>
      <c r="W395" s="1326"/>
      <c r="X395" s="1326"/>
      <c r="Y395" s="1326"/>
      <c r="Z395" s="1326"/>
    </row>
    <row r="396" spans="1:34" hidden="1" x14ac:dyDescent="0.25">
      <c r="A396" s="1326"/>
      <c r="B396" s="1326"/>
      <c r="C396" s="1326"/>
      <c r="D396" s="1326"/>
      <c r="E396" s="1326"/>
      <c r="F396" s="1326"/>
      <c r="G396" s="1326"/>
      <c r="H396" s="1326"/>
      <c r="I396" s="1326"/>
      <c r="J396" s="1326"/>
      <c r="K396" s="1326"/>
      <c r="L396" s="1326"/>
      <c r="M396" s="1326"/>
      <c r="N396" s="1326"/>
      <c r="O396" s="1326"/>
      <c r="P396" s="1326"/>
      <c r="Q396" s="1326"/>
      <c r="R396" s="1326"/>
      <c r="S396" s="1326"/>
      <c r="T396" s="1326"/>
      <c r="U396" s="1326"/>
      <c r="V396" s="1326"/>
      <c r="W396" s="1326"/>
      <c r="X396" s="1326"/>
      <c r="Y396" s="1326"/>
      <c r="Z396" s="1326"/>
    </row>
    <row r="397" spans="1:34" hidden="1" x14ac:dyDescent="0.25">
      <c r="A397" s="1326"/>
      <c r="B397" s="1326"/>
      <c r="C397" s="1326"/>
      <c r="D397" s="1326"/>
      <c r="E397" s="1326"/>
      <c r="F397" s="1326"/>
      <c r="G397" s="1326"/>
      <c r="H397" s="1326"/>
      <c r="I397" s="1326"/>
      <c r="J397" s="1326"/>
      <c r="K397" s="1326"/>
      <c r="L397" s="1326"/>
      <c r="M397" s="1326"/>
      <c r="N397" s="1326"/>
      <c r="O397" s="1326"/>
      <c r="P397" s="1326"/>
      <c r="Q397" s="1326"/>
      <c r="R397" s="1326"/>
      <c r="S397" s="1326"/>
      <c r="T397" s="1326"/>
      <c r="U397" s="1326"/>
      <c r="V397" s="1326"/>
      <c r="W397" s="1326"/>
      <c r="X397" s="1326"/>
      <c r="Y397" s="1326"/>
      <c r="Z397" s="1326"/>
    </row>
    <row r="398" spans="1:34" hidden="1" x14ac:dyDescent="0.25">
      <c r="A398" s="1326"/>
      <c r="B398" s="1326"/>
      <c r="C398" s="1326"/>
      <c r="D398" s="1326"/>
      <c r="E398" s="1326"/>
      <c r="F398" s="1326"/>
      <c r="G398" s="1326"/>
      <c r="H398" s="1326"/>
      <c r="I398" s="1326"/>
      <c r="J398" s="1326"/>
      <c r="K398" s="1326"/>
      <c r="L398" s="1326"/>
      <c r="M398" s="1326"/>
      <c r="N398" s="1326"/>
      <c r="O398" s="1326"/>
      <c r="P398" s="1326"/>
      <c r="Q398" s="1326"/>
      <c r="R398" s="1326"/>
      <c r="S398" s="1326"/>
      <c r="T398" s="1326"/>
      <c r="U398" s="1326"/>
      <c r="V398" s="1326"/>
      <c r="W398" s="1326"/>
      <c r="X398" s="1326"/>
      <c r="Y398" s="1326"/>
      <c r="Z398" s="1326"/>
    </row>
    <row r="399" spans="1:34" hidden="1" x14ac:dyDescent="0.25">
      <c r="A399" s="1326"/>
      <c r="B399" s="1326"/>
      <c r="C399" s="1326"/>
      <c r="D399" s="1326"/>
      <c r="E399" s="1326"/>
      <c r="F399" s="1326"/>
      <c r="G399" s="1326"/>
      <c r="H399" s="1326"/>
      <c r="I399" s="1326"/>
      <c r="J399" s="1326"/>
      <c r="K399" s="1326"/>
      <c r="L399" s="1326"/>
      <c r="M399" s="1326"/>
      <c r="N399" s="1326"/>
      <c r="O399" s="1326"/>
      <c r="P399" s="1326"/>
      <c r="Q399" s="1326"/>
      <c r="R399" s="1326"/>
      <c r="S399" s="1326"/>
      <c r="T399" s="1326"/>
      <c r="U399" s="1326"/>
      <c r="V399" s="1326"/>
      <c r="W399" s="1326"/>
      <c r="X399" s="1326"/>
      <c r="Y399" s="1326"/>
      <c r="Z399" s="1326"/>
    </row>
    <row r="400" spans="1:34" hidden="1" x14ac:dyDescent="0.25">
      <c r="A400" s="1326"/>
      <c r="B400" s="1326"/>
      <c r="C400" s="1326"/>
      <c r="D400" s="1326"/>
      <c r="E400" s="1326"/>
      <c r="F400" s="1326"/>
      <c r="G400" s="1326"/>
      <c r="H400" s="1326"/>
      <c r="I400" s="1326"/>
      <c r="J400" s="1326"/>
      <c r="K400" s="1326"/>
      <c r="L400" s="1326"/>
      <c r="M400" s="1326"/>
      <c r="N400" s="1326"/>
      <c r="O400" s="1326"/>
      <c r="P400" s="1326"/>
      <c r="Q400" s="1326"/>
      <c r="R400" s="1326"/>
      <c r="S400" s="1326"/>
      <c r="T400" s="1326"/>
      <c r="U400" s="1326"/>
      <c r="V400" s="1326"/>
      <c r="W400" s="1326"/>
      <c r="X400" s="1326"/>
      <c r="Y400" s="1326"/>
      <c r="Z400" s="1326"/>
    </row>
    <row r="401" spans="1:26" hidden="1" x14ac:dyDescent="0.25">
      <c r="A401" s="1326"/>
      <c r="B401" s="1326"/>
      <c r="C401" s="1326"/>
      <c r="D401" s="1326"/>
      <c r="E401" s="1326"/>
      <c r="F401" s="1326"/>
      <c r="G401" s="1326"/>
      <c r="H401" s="1326"/>
      <c r="I401" s="1326"/>
      <c r="J401" s="1326"/>
      <c r="K401" s="1326"/>
      <c r="L401" s="1326"/>
      <c r="M401" s="1326"/>
      <c r="N401" s="1326"/>
      <c r="O401" s="1326"/>
      <c r="P401" s="1326"/>
      <c r="Q401" s="1326"/>
      <c r="R401" s="1326"/>
      <c r="S401" s="1326"/>
      <c r="T401" s="1326"/>
      <c r="U401" s="1326"/>
      <c r="V401" s="1326"/>
      <c r="W401" s="1326"/>
      <c r="X401" s="1326"/>
      <c r="Y401" s="1326"/>
      <c r="Z401" s="1326"/>
    </row>
    <row r="402" spans="1:26" hidden="1" x14ac:dyDescent="0.25">
      <c r="A402" s="1326"/>
      <c r="B402" s="1326"/>
      <c r="C402" s="1326"/>
      <c r="D402" s="1326"/>
      <c r="E402" s="1326"/>
      <c r="F402" s="1326"/>
      <c r="G402" s="1326"/>
      <c r="H402" s="1326"/>
      <c r="I402" s="1326"/>
      <c r="J402" s="1326"/>
      <c r="K402" s="1326"/>
      <c r="L402" s="1326"/>
      <c r="M402" s="1326"/>
      <c r="N402" s="1326"/>
      <c r="O402" s="1326"/>
      <c r="P402" s="1326"/>
      <c r="Q402" s="1326"/>
      <c r="R402" s="1326"/>
      <c r="S402" s="1326"/>
      <c r="T402" s="1326"/>
      <c r="U402" s="1326"/>
      <c r="V402" s="1326"/>
      <c r="W402" s="1326"/>
      <c r="X402" s="1326"/>
      <c r="Y402" s="1326"/>
      <c r="Z402" s="1326"/>
    </row>
    <row r="403" spans="1:26" hidden="1" x14ac:dyDescent="0.25"/>
    <row r="404" spans="1:26" hidden="1" x14ac:dyDescent="0.25"/>
    <row r="405" spans="1:26" hidden="1" x14ac:dyDescent="0.25"/>
    <row r="406" spans="1:26" hidden="1" x14ac:dyDescent="0.25"/>
    <row r="407" spans="1:26" hidden="1" x14ac:dyDescent="0.25"/>
    <row r="408" spans="1:26" hidden="1" x14ac:dyDescent="0.25"/>
    <row r="409" spans="1:26" hidden="1" x14ac:dyDescent="0.25"/>
    <row r="410" spans="1:26" hidden="1" x14ac:dyDescent="0.25"/>
    <row r="411" spans="1:26" hidden="1" x14ac:dyDescent="0.25"/>
    <row r="412" spans="1:26" hidden="1" x14ac:dyDescent="0.25"/>
    <row r="413" spans="1:26" hidden="1" x14ac:dyDescent="0.25"/>
    <row r="414" spans="1:26" hidden="1" x14ac:dyDescent="0.25"/>
    <row r="415" spans="1:26" hidden="1" x14ac:dyDescent="0.25"/>
    <row r="416" spans="1:26" hidden="1" x14ac:dyDescent="0.25"/>
    <row r="417" hidden="1" x14ac:dyDescent="0.25"/>
    <row r="418" hidden="1" x14ac:dyDescent="0.25"/>
    <row r="419" hidden="1" x14ac:dyDescent="0.25"/>
    <row r="420" hidden="1" x14ac:dyDescent="0.25"/>
    <row r="421" hidden="1" x14ac:dyDescent="0.25"/>
    <row r="422" hidden="1" x14ac:dyDescent="0.25"/>
  </sheetData>
  <sheetProtection password="ECB1" sheet="1" objects="1" scenarios="1"/>
  <mergeCells count="108">
    <mergeCell ref="E327:E336"/>
    <mergeCell ref="M271:M272"/>
    <mergeCell ref="C339:E339"/>
    <mergeCell ref="X1:Y1"/>
    <mergeCell ref="L1:M1"/>
    <mergeCell ref="N1:O1"/>
    <mergeCell ref="P1:Q1"/>
    <mergeCell ref="R1:S1"/>
    <mergeCell ref="T1:U1"/>
    <mergeCell ref="C29:C31"/>
    <mergeCell ref="E17:E21"/>
    <mergeCell ref="C40:E40"/>
    <mergeCell ref="C97:E97"/>
    <mergeCell ref="C90:E90"/>
    <mergeCell ref="J1:K1"/>
    <mergeCell ref="C3:D6"/>
    <mergeCell ref="F1:G1"/>
    <mergeCell ref="F23:J23"/>
    <mergeCell ref="V1:W1"/>
    <mergeCell ref="F24:F26"/>
    <mergeCell ref="H1:I1"/>
    <mergeCell ref="C78:D78"/>
    <mergeCell ref="C8:E8"/>
    <mergeCell ref="C149:L149"/>
    <mergeCell ref="I151:L151"/>
    <mergeCell ref="I152:L152"/>
    <mergeCell ref="E126:E132"/>
    <mergeCell ref="C125:E125"/>
    <mergeCell ref="C133:E133"/>
    <mergeCell ref="C107:E107"/>
    <mergeCell ref="C123:E123"/>
    <mergeCell ref="C117:E117"/>
    <mergeCell ref="F126:F132"/>
    <mergeCell ref="C147:E147"/>
    <mergeCell ref="H150:L150"/>
    <mergeCell ref="B15:B16"/>
    <mergeCell ref="E76:E77"/>
    <mergeCell ref="C93:E93"/>
    <mergeCell ref="C91:E91"/>
    <mergeCell ref="C53:E53"/>
    <mergeCell ref="E15:E16"/>
    <mergeCell ref="C80:E80"/>
    <mergeCell ref="E33:E35"/>
    <mergeCell ref="E81:E87"/>
    <mergeCell ref="C38:E38"/>
    <mergeCell ref="C44:E44"/>
    <mergeCell ref="C41:E41"/>
    <mergeCell ref="C15:C16"/>
    <mergeCell ref="C18:C19"/>
    <mergeCell ref="E23:E26"/>
    <mergeCell ref="E42:E43"/>
    <mergeCell ref="C338:D338"/>
    <mergeCell ref="E185:E188"/>
    <mergeCell ref="E191:E193"/>
    <mergeCell ref="F267:J267"/>
    <mergeCell ref="F268:J268"/>
    <mergeCell ref="C250:J250"/>
    <mergeCell ref="G235:K235"/>
    <mergeCell ref="C233:F233"/>
    <mergeCell ref="E196:E198"/>
    <mergeCell ref="C232:F232"/>
    <mergeCell ref="D215:F215"/>
    <mergeCell ref="C307:F307"/>
    <mergeCell ref="F271:G271"/>
    <mergeCell ref="C234:C235"/>
    <mergeCell ref="C325:F325"/>
    <mergeCell ref="C326:E326"/>
    <mergeCell ref="I236:K248"/>
    <mergeCell ref="F266:J266"/>
    <mergeCell ref="C201:E201"/>
    <mergeCell ref="D271:E271"/>
    <mergeCell ref="D209:E209"/>
    <mergeCell ref="K271:K272"/>
    <mergeCell ref="D303:D305"/>
    <mergeCell ref="H271:H272"/>
    <mergeCell ref="I153:L153"/>
    <mergeCell ref="I154:L154"/>
    <mergeCell ref="I155:L155"/>
    <mergeCell ref="I156:L156"/>
    <mergeCell ref="E169:E171"/>
    <mergeCell ref="E165:E167"/>
    <mergeCell ref="E173:E175"/>
    <mergeCell ref="E159:E161"/>
    <mergeCell ref="J271:J272"/>
    <mergeCell ref="G217:H228"/>
    <mergeCell ref="F269:L269"/>
    <mergeCell ref="D234:F234"/>
    <mergeCell ref="D251:D252"/>
    <mergeCell ref="E251:E252"/>
    <mergeCell ref="F251:J251"/>
    <mergeCell ref="G236:H248"/>
    <mergeCell ref="C213:F213"/>
    <mergeCell ref="I215:K215"/>
    <mergeCell ref="C270:K270"/>
    <mergeCell ref="I271:I272"/>
    <mergeCell ref="C158:E158"/>
    <mergeCell ref="D204:E204"/>
    <mergeCell ref="C324:F324"/>
    <mergeCell ref="C183:E183"/>
    <mergeCell ref="K253:L265"/>
    <mergeCell ref="E179:E180"/>
    <mergeCell ref="C288:C289"/>
    <mergeCell ref="C287:E287"/>
    <mergeCell ref="C164:E164"/>
    <mergeCell ref="C178:E178"/>
    <mergeCell ref="C251:C252"/>
    <mergeCell ref="C191:D191"/>
    <mergeCell ref="C196:D196"/>
  </mergeCells>
  <conditionalFormatting sqref="D16">
    <cfRule type="expression" dxfId="205" priority="84">
      <formula>$D$15&lt;&gt;"выберите ниже"</formula>
    </cfRule>
  </conditionalFormatting>
  <conditionalFormatting sqref="E323">
    <cfRule type="expression" dxfId="204" priority="83">
      <formula>$E$323="Исправьте ошибки ввода"</formula>
    </cfRule>
  </conditionalFormatting>
  <conditionalFormatting sqref="E151:E156">
    <cfRule type="containsBlanks" dxfId="203" priority="78">
      <formula>LEN(TRIM(E151))=0</formula>
    </cfRule>
  </conditionalFormatting>
  <conditionalFormatting sqref="G151:G156">
    <cfRule type="containsBlanks" dxfId="202" priority="77">
      <formula>LEN(TRIM(G151))=0</formula>
    </cfRule>
  </conditionalFormatting>
  <conditionalFormatting sqref="D14 D16">
    <cfRule type="containsBlanks" dxfId="201" priority="75">
      <formula>LEN(TRIM(D14))=0</formula>
    </cfRule>
  </conditionalFormatting>
  <conditionalFormatting sqref="E54">
    <cfRule type="expression" dxfId="200" priority="71">
      <formula>IF(AND(OR(G55=0,G56=0,G58=0,G57=0,G59=0,G60=0,G61=0,G62=0,G63=0,G64=0,G66=0,G67=0,G71+G72+G73=0,G74+G75=0,G77=0,SUM(I55:I77)&gt;0)),"Неполный/неверный ввод!","Введено верно")="Введено верно"</formula>
    </cfRule>
  </conditionalFormatting>
  <conditionalFormatting sqref="E78">
    <cfRule type="expression" dxfId="199" priority="70">
      <formula>IF(AND(OR(G55=0,G56=0,G58=0,G57=0,G59=0,G60=0,G61=0,G62=0,G63=0,G64=0,G66=0,G67=0,G71+G72+G73=0,G74+G75=0,G77=0,SUM(I55:I77)&gt;0)),"Неполный/неверный ввод!","Введено верно")="Введено верно"</formula>
    </cfRule>
  </conditionalFormatting>
  <conditionalFormatting sqref="D10:D11">
    <cfRule type="containsBlanks" dxfId="198" priority="69">
      <formula>LEN(TRIM(D10))=0</formula>
    </cfRule>
  </conditionalFormatting>
  <conditionalFormatting sqref="D55:D61 D63:D77">
    <cfRule type="expression" dxfId="197" priority="47">
      <formula>OR($D$42="Ориентировочный",$D$42=INDEX(SposobRascheta,3))</formula>
    </cfRule>
  </conditionalFormatting>
  <conditionalFormatting sqref="D52">
    <cfRule type="cellIs" dxfId="196" priority="45" operator="equal">
      <formula>"Введено верно"</formula>
    </cfRule>
  </conditionalFormatting>
  <conditionalFormatting sqref="D45:D48 C49:C50 C51:E51">
    <cfRule type="expression" dxfId="195" priority="46">
      <formula>AND($D$42="Ориентировочный",$D$42=INDEX(SposobRascheta,3))</formula>
    </cfRule>
    <cfRule type="expression" dxfId="194" priority="48">
      <formula>$D$42="Детальный"</formula>
    </cfRule>
  </conditionalFormatting>
  <conditionalFormatting sqref="C217 C273">
    <cfRule type="expression" dxfId="193" priority="41">
      <formula>AND($I$273&lt;&gt;"",$I$273&gt;0)</formula>
    </cfRule>
  </conditionalFormatting>
  <conditionalFormatting sqref="C218 C274">
    <cfRule type="expression" dxfId="192" priority="40">
      <formula>AND($I$274&lt;&gt;"",$I$274&gt;0)</formula>
    </cfRule>
  </conditionalFormatting>
  <conditionalFormatting sqref="C219 C275">
    <cfRule type="expression" dxfId="191" priority="38">
      <formula>AND($I$275&lt;&gt;"",$I$275&gt;0)</formula>
    </cfRule>
  </conditionalFormatting>
  <conditionalFormatting sqref="C220 C276">
    <cfRule type="expression" dxfId="190" priority="37">
      <formula>AND($I$276&lt;&gt;"",$I$276&gt;0)</formula>
    </cfRule>
  </conditionalFormatting>
  <conditionalFormatting sqref="C221 C277">
    <cfRule type="expression" dxfId="189" priority="36">
      <formula>AND($I$277&lt;&gt;"",$I$277&gt;0)</formula>
    </cfRule>
  </conditionalFormatting>
  <conditionalFormatting sqref="C222 C278">
    <cfRule type="expression" dxfId="188" priority="35">
      <formula>AND($I$278&lt;&gt;"",$I$278&gt;0)</formula>
    </cfRule>
  </conditionalFormatting>
  <conditionalFormatting sqref="C223 C279">
    <cfRule type="expression" dxfId="187" priority="34">
      <formula>AND($I$279&lt;&gt;"",$I$279&gt;0)</formula>
    </cfRule>
  </conditionalFormatting>
  <conditionalFormatting sqref="C225 C281">
    <cfRule type="expression" dxfId="186" priority="32">
      <formula>AND($I$281&lt;&gt;"",$I$281&gt;0)</formula>
    </cfRule>
  </conditionalFormatting>
  <conditionalFormatting sqref="C224 C280">
    <cfRule type="expression" dxfId="185" priority="33">
      <formula>AND($I$280&lt;&gt;"",$I$280&gt;0)</formula>
    </cfRule>
  </conditionalFormatting>
  <conditionalFormatting sqref="C226 C282">
    <cfRule type="expression" dxfId="184" priority="31">
      <formula>AND($I$282&lt;&gt;"",$I$282&gt;0)</formula>
    </cfRule>
  </conditionalFormatting>
  <conditionalFormatting sqref="C227 C283">
    <cfRule type="expression" dxfId="183" priority="30">
      <formula>AND($I$283&lt;&gt;"",$I$283&gt;0)</formula>
    </cfRule>
  </conditionalFormatting>
  <conditionalFormatting sqref="C228 C284">
    <cfRule type="expression" dxfId="182" priority="29">
      <formula>AND($I$284&lt;&gt;"",$I$284&gt;0)</formula>
    </cfRule>
  </conditionalFormatting>
  <conditionalFormatting sqref="I217:I229">
    <cfRule type="cellIs" dxfId="181" priority="28" operator="notBetween">
      <formula>10</formula>
      <formula>0.001</formula>
    </cfRule>
  </conditionalFormatting>
  <conditionalFormatting sqref="C118">
    <cfRule type="containsBlanks" dxfId="180" priority="27">
      <formula>LEN(TRIM(C118))=0</formula>
    </cfRule>
  </conditionalFormatting>
  <conditionalFormatting sqref="E273">
    <cfRule type="expression" dxfId="179" priority="21">
      <formula>IFERROR($I$273,0)=0</formula>
    </cfRule>
  </conditionalFormatting>
  <conditionalFormatting sqref="E274">
    <cfRule type="expression" dxfId="178" priority="20">
      <formula>IFERROR($I$274,0)=0</formula>
    </cfRule>
  </conditionalFormatting>
  <conditionalFormatting sqref="E275">
    <cfRule type="expression" dxfId="177" priority="19">
      <formula>IFERROR($I$275,0)=0</formula>
    </cfRule>
  </conditionalFormatting>
  <conditionalFormatting sqref="E276">
    <cfRule type="expression" dxfId="176" priority="18">
      <formula>IFERROR($I$276,0)=0</formula>
    </cfRule>
  </conditionalFormatting>
  <conditionalFormatting sqref="E277">
    <cfRule type="expression" dxfId="175" priority="17">
      <formula>IFERROR($I$277,0)=0</formula>
    </cfRule>
  </conditionalFormatting>
  <conditionalFormatting sqref="E278">
    <cfRule type="expression" dxfId="174" priority="16">
      <formula>IFERROR($I$278,0)=0</formula>
    </cfRule>
  </conditionalFormatting>
  <conditionalFormatting sqref="E279">
    <cfRule type="expression" dxfId="173" priority="15">
      <formula>IFERROR($I$279,0)=0</formula>
    </cfRule>
  </conditionalFormatting>
  <conditionalFormatting sqref="E280">
    <cfRule type="expression" dxfId="172" priority="14">
      <formula>IFERROR($I$280,0)=0</formula>
    </cfRule>
  </conditionalFormatting>
  <conditionalFormatting sqref="E281">
    <cfRule type="expression" dxfId="171" priority="13">
      <formula>IFERROR($I$281,0)=0</formula>
    </cfRule>
  </conditionalFormatting>
  <conditionalFormatting sqref="E282">
    <cfRule type="expression" dxfId="170" priority="12">
      <formula>IFERROR($I$282,0)=0</formula>
    </cfRule>
  </conditionalFormatting>
  <conditionalFormatting sqref="E283">
    <cfRule type="expression" dxfId="169" priority="11">
      <formula>IFERROR($I$283,0)=0</formula>
    </cfRule>
  </conditionalFormatting>
  <conditionalFormatting sqref="E284">
    <cfRule type="expression" dxfId="168" priority="10">
      <formula>IFERROR($I$284,0)=0</formula>
    </cfRule>
  </conditionalFormatting>
  <conditionalFormatting sqref="D208">
    <cfRule type="expression" dxfId="167" priority="9">
      <formula>AND(NOT(MATCH(D202,Months12ext,0)=1),NOT(MATCH(D202,Months12ext,0)&gt;7))</formula>
    </cfRule>
  </conditionalFormatting>
  <conditionalFormatting sqref="E206">
    <cfRule type="expression" dxfId="166" priority="8">
      <formula>MATCH(D202,Months12ext,0)&gt;7</formula>
    </cfRule>
  </conditionalFormatting>
  <conditionalFormatting sqref="G235:K248 G217:H228">
    <cfRule type="containsText" dxfId="165" priority="1" operator="containsText" text="*">
      <formula>NOT(ISERROR(SEARCH("*",G217)))</formula>
    </cfRule>
  </conditionalFormatting>
  <dataValidations count="72">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E151:E155">
      <formula1>lamps</formula1>
    </dataValidation>
    <dataValidation type="list" allowBlank="1" showInputMessage="1" showErrorMessage="1" sqref="G151:G156">
      <formula1>danet</formula1>
    </dataValidation>
    <dataValidation type="list" allowBlank="1" showInputMessage="1" showErrorMessage="1" sqref="D65 D68">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менее одного или более 50-ти человек на одну квартиру!" sqref="D22">
      <formula1>D20</formula1>
      <formula2>D20*50</formula2>
    </dataValidation>
    <dataValidation type="decimal" allowBlank="1" showInputMessage="1" showErrorMessage="1" sqref="D55">
      <formula1>50</formula1>
      <formula2>150000</formula2>
    </dataValidation>
    <dataValidation type="decimal" allowBlank="1" showInputMessage="1" showErrorMessage="1" sqref="D56">
      <formula1>D55/3</formula1>
      <formula2>D55</formula2>
    </dataValidation>
    <dataValidation type="decimal" allowBlank="1" showInputMessage="1" showErrorMessage="1" sqref="D58">
      <formula1>3</formula1>
      <formula2>3000</formula2>
    </dataValidation>
    <dataValidation type="decimal" allowBlank="1" showInputMessage="1" showErrorMessage="1" sqref="D59">
      <formula1>3</formula1>
      <formula2>100</formula2>
    </dataValidation>
    <dataValidation type="decimal" allowBlank="1" showInputMessage="1" showErrorMessage="1" sqref="D60">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66 D69 D76 D63">
      <formula1>0</formula1>
    </dataValidation>
    <dataValidation type="decimal" operator="greaterThanOrEqual" allowBlank="1" showInputMessage="1" showErrorMessage="1" errorTitle="Ошибка" error="Величина должна быть положительной!" sqref="D77 D64 D67 D71:D75">
      <formula1>0</formula1>
    </dataValidation>
    <dataValidation type="decimal" operator="greaterThanOrEqual" allowBlank="1" showInputMessage="1" showErrorMessage="1" errorTitle="Ошибка" error="Величина должна быть  положительной!" sqref="D70">
      <formula1>0</formula1>
    </dataValidation>
    <dataValidation operator="greaterThanOrEqual" allowBlank="1" showInputMessage="1" showErrorMessage="1" errorTitle="Ошибка" error="Величина не может быть отрицательной!" sqref="D81:D87"/>
    <dataValidation type="decimal" allowBlank="1" showInputMessage="1" showErrorMessage="1" errorTitle="Ошибка" error="Введено отрицательное значение или больше 200" sqref="F151:F155">
      <formula1>0</formula1>
      <formula2>200</formula2>
    </dataValidation>
    <dataValidation type="whole" allowBlank="1" showInputMessage="1" showErrorMessage="1" errorTitle="Ошибка" error="Введено отрицательное значение или больше 1000" sqref="D151:D156">
      <formula1>0</formula1>
      <formula2>1000</formula2>
    </dataValidation>
    <dataValidation type="whole" allowBlank="1" showInputMessage="1" showErrorMessage="1" errorTitle="Ошибка" error="Веденное значение отрицательное или больше, чем Количество секций МКД * 6" sqref="D159">
      <formula1>0</formula1>
      <formula2>D17*6</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D207">
      <formula1>IFERROR(DATE(E202-1,7,1),DATE(YEAR(TODAY()),7,1))</formula1>
      <formula2>IFERROR(DATE(E202-1,12,31),DATE(YEAR(TODAY()),12,31))</formula2>
    </dataValidation>
    <dataValidation type="list" allowBlank="1" showInputMessage="1" showErrorMessage="1" sqref="D202">
      <formula1>Months12ext</formula1>
    </dataValidation>
    <dataValidation type="list" allowBlank="1" showInputMessage="1" showErrorMessage="1" sqref="E202">
      <formula1>Годы_текущий_минус_1</formula1>
    </dataValidation>
    <dataValidation type="date" allowBlank="1" showInputMessage="1" showErrorMessage="1" error="Требуется дата ДД.ММ.ГГГГ из первого полугодия текущего года." sqref="E207">
      <formula1>DATE(E202,1,1)</formula1>
      <formula2>DATE(E202,6,30)</formula2>
    </dataValidation>
    <dataValidation type="list" allowBlank="1" showInputMessage="1" showErrorMessage="1" sqref="D13">
      <formula1>snipyear</formula1>
    </dataValidation>
    <dataValidation type="list" allowBlank="1" showInputMessage="1" showErrorMessage="1" sqref="E156">
      <formula1>ОсвНарСтар</formula1>
    </dataValidation>
    <dataValidation type="decimal" operator="greaterThanOrEqual" allowBlank="1" showInputMessage="1" showErrorMessage="1" sqref="D23 D167 D175 D179 D171 D197:D198 D186:D188 D192:D193">
      <formula1>0</formula1>
    </dataValidation>
    <dataValidation type="decimal" allowBlank="1" showInputMessage="1" showErrorMessage="1" sqref="D24">
      <formula1>0</formula1>
      <formula2>D23</formula2>
    </dataValidation>
    <dataValidation type="decimal" allowBlank="1" showInputMessage="1" showErrorMessage="1" sqref="D26">
      <formula1>0</formula1>
      <formula2>D23</formula2>
    </dataValidation>
    <dataValidation type="decimal" allowBlank="1" showInputMessage="1" showErrorMessage="1" sqref="D25">
      <formula1>0</formula1>
      <formula2>D23</formula2>
    </dataValidation>
    <dataValidation type="decimal" operator="greaterThan" allowBlank="1" showInputMessage="1" showErrorMessage="1" errorTitle="Ошибка" error="Величина должна быть положительной!" sqref="D61">
      <formula1>0</formula1>
    </dataValidation>
    <dataValidation type="list" allowBlank="1" showInputMessage="1" showErrorMessage="1" sqref="D42">
      <formula1>SposobRascheta</formula1>
    </dataValidation>
    <dataValidation type="whole" operator="greaterThanOrEqual" allowBlank="1" showInputMessage="1" showErrorMessage="1" error="Число окон всего не может быть меньше числа замененных окон, введенного ранее" sqref="D46">
      <formula1>D34</formula1>
    </dataValidation>
    <dataValidation type="whole" operator="greaterThanOrEqual" allowBlank="1" showInputMessage="1" showErrorMessage="1" error="Число окон всего не может быть меньше числа замененных окон, введенного ранее" sqref="D47">
      <formula1>D33</formula1>
    </dataValidation>
    <dataValidation type="whole" operator="greaterThanOrEqual" allowBlank="1" showInputMessage="1" showErrorMessage="1" error="Число окон всего не может быть меньше числа замененных окон, введенного ранее" sqref="D48">
      <formula1>D35</formula1>
    </dataValidation>
    <dataValidation type="whole" allowBlank="1" showInputMessage="1" showErrorMessage="1" errorTitle="Ошибка!" error="Должно быть неотрицательное целое не больше количества дней в месяце." sqref="D127:D132">
      <formula1>0</formula1>
      <formula2>J276</formula2>
    </dataValidation>
    <dataValidation type="decimal" allowBlank="1" showInputMessage="1" showErrorMessage="1" errorTitle="Ошибка!" error="Значение не может быть больше количества часов в году." sqref="D180">
      <formula1>0</formula1>
      <formula2>SUM(J273:J284)*24</formula2>
    </dataValidation>
    <dataValidation type="whole" operator="greaterThanOrEqual" allowBlank="1" showInputMessage="1" showErrorMessage="1" sqref="D169 D173 D165">
      <formula1>0</formula1>
    </dataValidation>
    <dataValidation type="decimal" allowBlank="1" showInputMessage="1" showErrorMessage="1" sqref="D57">
      <formula1>D56/4</formula1>
      <formula2>D56</formula2>
    </dataValidation>
    <dataValidation type="list" allowBlank="1" showInputMessage="1" showErrorMessage="1" sqref="C118">
      <formula1>TempWat</formula1>
    </dataValidation>
    <dataValidation type="whole" allowBlank="1" showInputMessage="1" showErrorMessage="1" errorTitle="Ошибка" error="Введенное значение находится за пределами допустимого диапазона!" sqref="D174 D170 D166">
      <formula1>0</formula1>
      <formula2>D165</formula2>
    </dataValidation>
    <dataValidation type="whole" allowBlank="1" showInputMessage="1" showErrorMessage="1" errorTitle="Ошибка" error="Новых лифтов больше чем всего!" sqref="D160">
      <formula1>0</formula1>
      <formula2>D159</formula2>
    </dataValidation>
    <dataValidation type="decimal" allowBlank="1" showInputMessage="1" showErrorMessage="1" errorTitle="Ошибка" error="Введенное значение менее 1 кВт или более 20 кВт на один лифт" sqref="D161">
      <formula1>D159*1</formula1>
      <formula2>D159*20</formula2>
    </dataValidation>
    <dataValidation type="decimal" allowBlank="1" showErrorMessage="1" errorTitle="Ошибка" error="Введенное значение выходит за пределы допустимого диапазона!" sqref="D94">
      <formula1>16</formula1>
      <formula2>26</formula2>
    </dataValidation>
    <dataValidation type="decimal" allowBlank="1" showInputMessage="1" showErrorMessage="1" errorTitle="Ошибка" error="Введенное значение выходит за пределы допустимого диапазона!" sqref="D95">
      <formula1>12</formula1>
      <formula2>20</formula2>
    </dataValidation>
    <dataValidation type="decimal" allowBlank="1" showInputMessage="1" showErrorMessage="1" errorTitle="Ошибка" error="Введенное значение выходит за пределы допустимого диапазона!" sqref="D96">
      <formula1>0</formula1>
      <formula2>16</formula2>
    </dataValidation>
    <dataValidation type="decimal" allowBlank="1" showInputMessage="1" showErrorMessage="1" sqref="D118">
      <formula1>IF(C118=INDEX(TempWat,1),55,60)</formula1>
      <formula2>IF(C118=INDEX(TempWat,1),75,85)</formula2>
    </dataValidation>
    <dataValidation type="decimal" allowBlank="1" showInputMessage="1" showErrorMessage="1" errorTitle="Ошибка" error="Введеное значение сильно отличается от теоретического!" sqref="D119">
      <formula1>0</formula1>
      <formula2>15</formula2>
    </dataValidation>
    <dataValidation type="decimal" allowBlank="1" showInputMessage="1" showErrorMessage="1" errorTitle="Ошибка" error="Введенное значение сильно отличается от теоретического!" sqref="D122">
      <formula1>0</formula1>
      <formula2>50</formula2>
    </dataValidation>
    <dataValidation type="decimal" allowBlank="1" showInputMessage="1" showErrorMessage="1" errorTitle="Ошибка" error="Введенное значение находится за пределами допустимого диапазона" sqref="H151">
      <formula1>200</formula1>
      <formula2>SUM(J273:J284)*24</formula2>
    </dataValidation>
    <dataValidation type="decimal" allowBlank="1" showInputMessage="1" showErrorMessage="1" errorTitle="Ошибка" error="Введенное значение находится за пределами допустимого диапазона" sqref="H152">
      <formula1>200</formula1>
      <formula2>SUM(J273:J284)*24</formula2>
    </dataValidation>
    <dataValidation type="decimal" allowBlank="1" showInputMessage="1" showErrorMessage="1" errorTitle="Ошибка" error="Введенное значение находится за пределами допустимого диапазона" sqref="H153">
      <formula1>200</formula1>
      <formula2>SUM(J273:J284)*24</formula2>
    </dataValidation>
    <dataValidation type="decimal" allowBlank="1" showInputMessage="1" showErrorMessage="1" errorTitle="Ошибка" error="Введенное значение находится за пределами допустимого диапазона" sqref="H154">
      <formula1>50</formula1>
      <formula2>SUM(J273:J284)*24</formula2>
    </dataValidation>
    <dataValidation type="decimal" allowBlank="1" showInputMessage="1" showErrorMessage="1" errorTitle="Ошибка" error="Введенное значение находится за пределами допустимого диапазона" sqref="H155">
      <formula1>0</formula1>
      <formula2>SUM(J273:J284)*24</formula2>
    </dataValidation>
    <dataValidation type="decimal" allowBlank="1" showInputMessage="1" showErrorMessage="1" errorTitle="Ошибка" error="Введенное значение находится за пределами допустимого диапазона" sqref="H156">
      <formula1>0</formula1>
      <formula2>SUM(J273:J284)*24</formula2>
    </dataValidation>
    <dataValidation type="textLength" operator="greaterThanOrEqual" allowBlank="1" showInputMessage="1" showErrorMessage="1" errorTitle="Ошибка" error="Нагрузки всего не должно быть меньше, чем сумма по отоплению, ГВС и вентиляции" sqref="D185">
      <formula1>SUM(D186:D188)</formula1>
    </dataValidation>
    <dataValidation type="decimal" allowBlank="1" showInputMessage="1" showErrorMessage="1" errorTitle="Ошибка" error="Значение не может быть больше количества часов в году." sqref="D162">
      <formula1>0</formula1>
      <formula2>SUM(J273:J284)*24</formula2>
    </dataValidation>
    <dataValidation type="decimal" allowBlank="1" showInputMessage="1" showErrorMessage="1" errorTitle="Ошибка" error="Значение не может быть больше количества часов в году." sqref="D168">
      <formula1>0</formula1>
      <formula2>SUM(J273:J284)*24</formula2>
    </dataValidation>
    <dataValidation type="decimal" allowBlank="1" showInputMessage="1" showErrorMessage="1" errorTitle="Ошибка" error="Значение не может быть больше количества часов в году." sqref="D172">
      <formula1>0</formula1>
      <formula2>SUM(J273:J284)*24</formula2>
    </dataValidation>
    <dataValidation type="decimal" allowBlank="1" showInputMessage="1" showErrorMessage="1" errorTitle="Ошибка" error="Значение не может быть больше количества часов в году." sqref="D176">
      <formula1>0</formula1>
      <formula2>SUM(J273:J284)*24</formula2>
    </dataValidation>
    <dataValidation operator="greaterThanOrEqual" allowBlank="1" showInputMessage="1" showErrorMessage="1" sqref="D290:E301"/>
    <dataValidation type="date" allowBlank="1" showInputMessage="1" showErrorMessage="1" error="Неправильная дата!_x000a_Допускается дата ДД.ММ.ГГГГ в диапазоне от 1 июля до 31 декабря текущего года." sqref="D208">
      <formula1>IFERROR(DATE(E202,7,1),DATE(YEAR(TODAY()),7,1))</formula1>
      <formula2>IFERROR(DATE(E202,12,31),DATE(YEAR(TODAY()),12,31))</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E206">
      <formula1>DATE(E202-1,1,1)</formula1>
      <formula2>DATE(E202-1,6,30)</formula2>
    </dataValidation>
    <dataValidation type="custom" allowBlank="1" showInputMessage="1" showErrorMessage="1" sqref="G210">
      <formula1>I206=8</formula1>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94" tooltip="перейти..." display="Переход к инженерным системам &gt;&gt;"/>
    <hyperlink ref="D309" location="'Ввод исходных данных'!D14" tooltip="перейти..." display="выбор серии"/>
    <hyperlink ref="D310" location="'Ввод исходных данных'!D17" tooltip="перейти..." display="общая информация (этажи, секции, квартиры)"/>
    <hyperlink ref="D311" location="'Ввод исходных данных'!D42" tooltip="перейти..." display="объемно-планировочные характеристики"/>
    <hyperlink ref="D312" location="'Ввод исходных данных'!C196" tooltip="перейти..." display="температурный график"/>
    <hyperlink ref="D313" location="'Ввод исходных данных'!D235" tooltip="перейти..." display="водоразбор по месяцам"/>
    <hyperlink ref="D314" location="'Ввод исходных данных'!E235" tooltip="перейти..." display="циркуляционный трубопровод ГВС"/>
    <hyperlink ref="D315" location="'Ввод исходных данных'!D212" tooltip="перейти..." display="потребление ТЭ по месяцам"/>
    <hyperlink ref="D316" location="'Ввод исходных данных'!F250" tooltip="перейти..." display="электроэнергия ОДН"/>
    <hyperlink ref="D317" location="'Ввод исходных данных'!C149" tooltip="перейти..." display="мощности электрических приборов"/>
    <hyperlink ref="D318" location="'Ввод исходных данных'!F250" tooltip="перейти..." display="разбивка потребления ЭЭ по целям"/>
    <hyperlink ref="D319" location="'Ввод исходных данных'!D23" tooltip="перейти..." display="нежилые помещения"/>
    <hyperlink ref="D320" location="'Ввод исходных данных'!D202" tooltip="перейти..." display="даты отопительного сезона"/>
    <hyperlink ref="D321" location="'Ввод исходных данных'!E269" tooltip="перейти..." display="климат"/>
    <hyperlink ref="D322" location="'Ввод исходных данных'!C286" tooltip="перейти..." display="тарифы"/>
    <hyperlink ref="D1" location="'Ввод исходных данных'!E320" tooltip="перейти..." display="проверка данных"/>
  </hyperlinks>
  <pageMargins left="0.25" right="0.25" top="0.75" bottom="0.75" header="0.3" footer="0.3"/>
  <pageSetup paperSize="9" scale="20" fitToHeight="0" orientation="portrait" r:id="rId2"/>
  <ignoredErrors>
    <ignoredError sqref="D229 D248:E248 D265:E265 C51 F229 G265:H265 J265" unlockedFormula="1"/>
    <ignoredError sqref="F314"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38100</xdr:rowOff>
                  </from>
                  <to>
                    <xdr:col>3</xdr:col>
                    <xdr:colOff>1190625</xdr:colOff>
                    <xdr:row>26</xdr:row>
                    <xdr:rowOff>361950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1362075</xdr:colOff>
                    <xdr:row>26</xdr:row>
                    <xdr:rowOff>38100</xdr:rowOff>
                  </from>
                  <to>
                    <xdr:col>3</xdr:col>
                    <xdr:colOff>2762250</xdr:colOff>
                    <xdr:row>26</xdr:row>
                    <xdr:rowOff>361950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143</xdr:row>
                    <xdr:rowOff>9525</xdr:rowOff>
                  </from>
                  <to>
                    <xdr:col>2</xdr:col>
                    <xdr:colOff>1885950</xdr:colOff>
                    <xdr:row>143</xdr:row>
                    <xdr:rowOff>371475</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143</xdr:row>
                    <xdr:rowOff>19050</xdr:rowOff>
                  </from>
                  <to>
                    <xdr:col>2</xdr:col>
                    <xdr:colOff>3781425</xdr:colOff>
                    <xdr:row>144</xdr:row>
                    <xdr:rowOff>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100</xdr:row>
                    <xdr:rowOff>57150</xdr:rowOff>
                  </from>
                  <to>
                    <xdr:col>2</xdr:col>
                    <xdr:colOff>3505200</xdr:colOff>
                    <xdr:row>101</xdr:row>
                    <xdr:rowOff>180975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0</xdr:colOff>
                    <xdr:row>98</xdr:row>
                    <xdr:rowOff>19050</xdr:rowOff>
                  </from>
                  <to>
                    <xdr:col>2</xdr:col>
                    <xdr:colOff>3819525</xdr:colOff>
                    <xdr:row>100</xdr:row>
                    <xdr:rowOff>57150</xdr:rowOff>
                  </to>
                </anchor>
              </controlPr>
            </control>
          </mc:Choice>
        </mc:AlternateContent>
        <mc:AlternateContent xmlns:mc="http://schemas.openxmlformats.org/markup-compatibility/2006">
          <mc:Choice Requires="x14">
            <control shapeId="5191" r:id="rId11" name="Check Box 71">
              <controlPr defaultSize="0" autoFill="0" autoLine="0" autoPict="0">
                <anchor moveWithCells="1">
                  <from>
                    <xdr:col>3</xdr:col>
                    <xdr:colOff>114300</xdr:colOff>
                    <xdr:row>27</xdr:row>
                    <xdr:rowOff>38100</xdr:rowOff>
                  </from>
                  <to>
                    <xdr:col>3</xdr:col>
                    <xdr:colOff>1190625</xdr:colOff>
                    <xdr:row>27</xdr:row>
                    <xdr:rowOff>342900</xdr:rowOff>
                  </to>
                </anchor>
              </controlPr>
            </control>
          </mc:Choice>
        </mc:AlternateContent>
        <mc:AlternateContent xmlns:mc="http://schemas.openxmlformats.org/markup-compatibility/2006">
          <mc:Choice Requires="x14">
            <control shapeId="5192" r:id="rId12" name="Check Box 72">
              <controlPr defaultSize="0" autoFill="0" autoLine="0" autoPict="0" altText="отапливаемый">
                <anchor moveWithCells="1">
                  <from>
                    <xdr:col>3</xdr:col>
                    <xdr:colOff>1362075</xdr:colOff>
                    <xdr:row>27</xdr:row>
                    <xdr:rowOff>66675</xdr:rowOff>
                  </from>
                  <to>
                    <xdr:col>3</xdr:col>
                    <xdr:colOff>2762250</xdr:colOff>
                    <xdr:row>27</xdr:row>
                    <xdr:rowOff>342900</xdr:rowOff>
                  </to>
                </anchor>
              </controlPr>
            </control>
          </mc:Choice>
        </mc:AlternateContent>
        <mc:AlternateContent xmlns:mc="http://schemas.openxmlformats.org/markup-compatibility/2006">
          <mc:Choice Requires="x14">
            <control shapeId="5194" r:id="rId13" name="Option Button 74">
              <controlPr defaultSize="0" autoFill="0" autoLine="0" autoPict="0">
                <anchor moveWithCells="1">
                  <from>
                    <xdr:col>2</xdr:col>
                    <xdr:colOff>171450</xdr:colOff>
                    <xdr:row>98</xdr:row>
                    <xdr:rowOff>152400</xdr:rowOff>
                  </from>
                  <to>
                    <xdr:col>2</xdr:col>
                    <xdr:colOff>1952625</xdr:colOff>
                    <xdr:row>99</xdr:row>
                    <xdr:rowOff>190500</xdr:rowOff>
                  </to>
                </anchor>
              </controlPr>
            </control>
          </mc:Choice>
        </mc:AlternateContent>
        <mc:AlternateContent xmlns:mc="http://schemas.openxmlformats.org/markup-compatibility/2006">
          <mc:Choice Requires="x14">
            <control shapeId="5195" r:id="rId14" name="Option Button 75">
              <controlPr defaultSize="0" autoFill="0" autoLine="0" autoPict="0">
                <anchor moveWithCells="1">
                  <from>
                    <xdr:col>2</xdr:col>
                    <xdr:colOff>2057400</xdr:colOff>
                    <xdr:row>98</xdr:row>
                    <xdr:rowOff>133350</xdr:rowOff>
                  </from>
                  <to>
                    <xdr:col>2</xdr:col>
                    <xdr:colOff>3686175</xdr:colOff>
                    <xdr:row>99</xdr:row>
                    <xdr:rowOff>180975</xdr:rowOff>
                  </to>
                </anchor>
              </controlPr>
            </control>
          </mc:Choice>
        </mc:AlternateContent>
        <mc:AlternateContent xmlns:mc="http://schemas.openxmlformats.org/markup-compatibility/2006">
          <mc:Choice Requires="x14">
            <control shapeId="5204" r:id="rId15" name="Group Box 84">
              <controlPr defaultSize="0" autoFill="0" autoPict="0">
                <anchor moveWithCells="1">
                  <from>
                    <xdr:col>2</xdr:col>
                    <xdr:colOff>0</xdr:colOff>
                    <xdr:row>109</xdr:row>
                    <xdr:rowOff>9525</xdr:rowOff>
                  </from>
                  <to>
                    <xdr:col>2</xdr:col>
                    <xdr:colOff>3819525</xdr:colOff>
                    <xdr:row>112</xdr:row>
                    <xdr:rowOff>485775</xdr:rowOff>
                  </to>
                </anchor>
              </controlPr>
            </control>
          </mc:Choice>
        </mc:AlternateContent>
        <mc:AlternateContent xmlns:mc="http://schemas.openxmlformats.org/markup-compatibility/2006">
          <mc:Choice Requires="x14">
            <control shapeId="5212" r:id="rId16" name="Group Box 92">
              <controlPr defaultSize="0" autoFill="0" autoPict="0">
                <anchor moveWithCells="1">
                  <from>
                    <xdr:col>4</xdr:col>
                    <xdr:colOff>0</xdr:colOff>
                    <xdr:row>109</xdr:row>
                    <xdr:rowOff>9525</xdr:rowOff>
                  </from>
                  <to>
                    <xdr:col>4</xdr:col>
                    <xdr:colOff>4000500</xdr:colOff>
                    <xdr:row>114</xdr:row>
                    <xdr:rowOff>200025</xdr:rowOff>
                  </to>
                </anchor>
              </controlPr>
            </control>
          </mc:Choice>
        </mc:AlternateContent>
        <mc:AlternateContent xmlns:mc="http://schemas.openxmlformats.org/markup-compatibility/2006">
          <mc:Choice Requires="x14">
            <control shapeId="5221" r:id="rId17" name="Group Box 101">
              <controlPr defaultSize="0" autoFill="0" autoPict="0">
                <anchor moveWithCells="1">
                  <from>
                    <xdr:col>2</xdr:col>
                    <xdr:colOff>0</xdr:colOff>
                    <xdr:row>134</xdr:row>
                    <xdr:rowOff>190500</xdr:rowOff>
                  </from>
                  <to>
                    <xdr:col>2</xdr:col>
                    <xdr:colOff>3819525</xdr:colOff>
                    <xdr:row>141</xdr:row>
                    <xdr:rowOff>9525</xdr:rowOff>
                  </to>
                </anchor>
              </controlPr>
            </control>
          </mc:Choice>
        </mc:AlternateContent>
        <mc:AlternateContent xmlns:mc="http://schemas.openxmlformats.org/markup-compatibility/2006">
          <mc:Choice Requires="x14">
            <control shapeId="5230" r:id="rId18" name="Option Button 110">
              <controlPr defaultSize="0" autoFill="0" autoLine="0" autoPict="0">
                <anchor moveWithCells="1">
                  <from>
                    <xdr:col>2</xdr:col>
                    <xdr:colOff>247650</xdr:colOff>
                    <xdr:row>135</xdr:row>
                    <xdr:rowOff>66675</xdr:rowOff>
                  </from>
                  <to>
                    <xdr:col>2</xdr:col>
                    <xdr:colOff>3676650</xdr:colOff>
                    <xdr:row>136</xdr:row>
                    <xdr:rowOff>114300</xdr:rowOff>
                  </to>
                </anchor>
              </controlPr>
            </control>
          </mc:Choice>
        </mc:AlternateContent>
        <mc:AlternateContent xmlns:mc="http://schemas.openxmlformats.org/markup-compatibility/2006">
          <mc:Choice Requires="x14">
            <control shapeId="5231" r:id="rId19" name="Option Button 111">
              <controlPr defaultSize="0" autoFill="0" autoLine="0" autoPict="0">
                <anchor moveWithCells="1">
                  <from>
                    <xdr:col>2</xdr:col>
                    <xdr:colOff>247650</xdr:colOff>
                    <xdr:row>136</xdr:row>
                    <xdr:rowOff>152400</xdr:rowOff>
                  </from>
                  <to>
                    <xdr:col>2</xdr:col>
                    <xdr:colOff>3667125</xdr:colOff>
                    <xdr:row>137</xdr:row>
                    <xdr:rowOff>190500</xdr:rowOff>
                  </to>
                </anchor>
              </controlPr>
            </control>
          </mc:Choice>
        </mc:AlternateContent>
        <mc:AlternateContent xmlns:mc="http://schemas.openxmlformats.org/markup-compatibility/2006">
          <mc:Choice Requires="x14">
            <control shapeId="5232" r:id="rId20" name="Option Button 112">
              <controlPr defaultSize="0" autoFill="0" autoLine="0" autoPict="0">
                <anchor moveWithCells="1">
                  <from>
                    <xdr:col>2</xdr:col>
                    <xdr:colOff>247650</xdr:colOff>
                    <xdr:row>137</xdr:row>
                    <xdr:rowOff>219075</xdr:rowOff>
                  </from>
                  <to>
                    <xdr:col>2</xdr:col>
                    <xdr:colOff>3676650</xdr:colOff>
                    <xdr:row>139</xdr:row>
                    <xdr:rowOff>47625</xdr:rowOff>
                  </to>
                </anchor>
              </controlPr>
            </control>
          </mc:Choice>
        </mc:AlternateContent>
        <mc:AlternateContent xmlns:mc="http://schemas.openxmlformats.org/markup-compatibility/2006">
          <mc:Choice Requires="x14">
            <control shapeId="5234" r:id="rId21" name="Option Button 114">
              <controlPr defaultSize="0" autoFill="0" autoLine="0" autoPict="0">
                <anchor moveWithCells="1">
                  <from>
                    <xdr:col>2</xdr:col>
                    <xdr:colOff>247650</xdr:colOff>
                    <xdr:row>139</xdr:row>
                    <xdr:rowOff>76200</xdr:rowOff>
                  </from>
                  <to>
                    <xdr:col>2</xdr:col>
                    <xdr:colOff>3667125</xdr:colOff>
                    <xdr:row>140</xdr:row>
                    <xdr:rowOff>133350</xdr:rowOff>
                  </to>
                </anchor>
              </controlPr>
            </control>
          </mc:Choice>
        </mc:AlternateContent>
        <mc:AlternateContent xmlns:mc="http://schemas.openxmlformats.org/markup-compatibility/2006">
          <mc:Choice Requires="x14">
            <control shapeId="5237" r:id="rId22" name="Check Box 117">
              <controlPr defaultSize="0" autoFill="0" autoLine="0" autoPict="0">
                <anchor moveWithCells="1">
                  <from>
                    <xdr:col>2</xdr:col>
                    <xdr:colOff>85725</xdr:colOff>
                    <xdr:row>144</xdr:row>
                    <xdr:rowOff>28575</xdr:rowOff>
                  </from>
                  <to>
                    <xdr:col>2</xdr:col>
                    <xdr:colOff>3686175</xdr:colOff>
                    <xdr:row>145</xdr:row>
                    <xdr:rowOff>0</xdr:rowOff>
                  </to>
                </anchor>
              </controlPr>
            </control>
          </mc:Choice>
        </mc:AlternateContent>
        <mc:AlternateContent xmlns:mc="http://schemas.openxmlformats.org/markup-compatibility/2006">
          <mc:Choice Requires="x14">
            <control shapeId="5240" r:id="rId23" name="Check Box 120">
              <controlPr defaultSize="0" autoFill="0" autoLine="0" autoPict="0">
                <anchor moveWithCells="1">
                  <from>
                    <xdr:col>3</xdr:col>
                    <xdr:colOff>66675</xdr:colOff>
                    <xdr:row>28</xdr:row>
                    <xdr:rowOff>0</xdr:rowOff>
                  </from>
                  <to>
                    <xdr:col>3</xdr:col>
                    <xdr:colOff>3076575</xdr:colOff>
                    <xdr:row>29</xdr:row>
                    <xdr:rowOff>9525</xdr:rowOff>
                  </to>
                </anchor>
              </controlPr>
            </control>
          </mc:Choice>
        </mc:AlternateContent>
        <mc:AlternateContent xmlns:mc="http://schemas.openxmlformats.org/markup-compatibility/2006">
          <mc:Choice Requires="x14">
            <control shapeId="5241" r:id="rId24" name="Check Box 121">
              <controlPr defaultSize="0" autoFill="0" autoLine="0" autoPict="0">
                <anchor moveWithCells="1">
                  <from>
                    <xdr:col>3</xdr:col>
                    <xdr:colOff>66675</xdr:colOff>
                    <xdr:row>29</xdr:row>
                    <xdr:rowOff>0</xdr:rowOff>
                  </from>
                  <to>
                    <xdr:col>3</xdr:col>
                    <xdr:colOff>3086100</xdr:colOff>
                    <xdr:row>30</xdr:row>
                    <xdr:rowOff>0</xdr:rowOff>
                  </to>
                </anchor>
              </controlPr>
            </control>
          </mc:Choice>
        </mc:AlternateContent>
        <mc:AlternateContent xmlns:mc="http://schemas.openxmlformats.org/markup-compatibility/2006">
          <mc:Choice Requires="x14">
            <control shapeId="5242" r:id="rId25" name="Check Box 122">
              <controlPr defaultSize="0" autoFill="0" autoLine="0" autoPict="0">
                <anchor moveWithCells="1">
                  <from>
                    <xdr:col>3</xdr:col>
                    <xdr:colOff>66675</xdr:colOff>
                    <xdr:row>29</xdr:row>
                    <xdr:rowOff>209550</xdr:rowOff>
                  </from>
                  <to>
                    <xdr:col>4</xdr:col>
                    <xdr:colOff>38100</xdr:colOff>
                    <xdr:row>31</xdr:row>
                    <xdr:rowOff>28575</xdr:rowOff>
                  </to>
                </anchor>
              </controlPr>
            </control>
          </mc:Choice>
        </mc:AlternateContent>
        <mc:AlternateContent xmlns:mc="http://schemas.openxmlformats.org/markup-compatibility/2006">
          <mc:Choice Requires="x14">
            <control shapeId="5247" r:id="rId26" name="Check Box 127">
              <controlPr defaultSize="0" autoFill="0" autoLine="0" autoPict="0">
                <anchor moveWithCells="1">
                  <from>
                    <xdr:col>3</xdr:col>
                    <xdr:colOff>161925</xdr:colOff>
                    <xdr:row>17</xdr:row>
                    <xdr:rowOff>28575</xdr:rowOff>
                  </from>
                  <to>
                    <xdr:col>3</xdr:col>
                    <xdr:colOff>3000375</xdr:colOff>
                    <xdr:row>17</xdr:row>
                    <xdr:rowOff>180975</xdr:rowOff>
                  </to>
                </anchor>
              </controlPr>
            </control>
          </mc:Choice>
        </mc:AlternateContent>
        <mc:AlternateContent xmlns:mc="http://schemas.openxmlformats.org/markup-compatibility/2006">
          <mc:Choice Requires="x14">
            <control shapeId="5262" r:id="rId27" name="Check Box 142">
              <controlPr defaultSize="0" autoFill="0" autoLine="0" autoPict="0">
                <anchor moveWithCells="1">
                  <from>
                    <xdr:col>3</xdr:col>
                    <xdr:colOff>57150</xdr:colOff>
                    <xdr:row>35</xdr:row>
                    <xdr:rowOff>19050</xdr:rowOff>
                  </from>
                  <to>
                    <xdr:col>3</xdr:col>
                    <xdr:colOff>3028950</xdr:colOff>
                    <xdr:row>35</xdr:row>
                    <xdr:rowOff>257175</xdr:rowOff>
                  </to>
                </anchor>
              </controlPr>
            </control>
          </mc:Choice>
        </mc:AlternateContent>
        <mc:AlternateContent xmlns:mc="http://schemas.openxmlformats.org/markup-compatibility/2006">
          <mc:Choice Requires="x14">
            <control shapeId="5263" r:id="rId28"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304" r:id="rId29" name="Check Box 184">
              <controlPr defaultSize="0" autoFill="0" autoLine="0" autoPict="0">
                <anchor moveWithCells="1">
                  <from>
                    <xdr:col>3</xdr:col>
                    <xdr:colOff>371475</xdr:colOff>
                    <xdr:row>50</xdr:row>
                    <xdr:rowOff>28575</xdr:rowOff>
                  </from>
                  <to>
                    <xdr:col>3</xdr:col>
                    <xdr:colOff>2914650</xdr:colOff>
                    <xdr:row>50</xdr:row>
                    <xdr:rowOff>333375</xdr:rowOff>
                  </to>
                </anchor>
              </controlPr>
            </control>
          </mc:Choice>
        </mc:AlternateContent>
        <mc:AlternateContent xmlns:mc="http://schemas.openxmlformats.org/markup-compatibility/2006">
          <mc:Choice Requires="x14">
            <control shapeId="5305" r:id="rId30" name="Check Box 185">
              <controlPr defaultSize="0" autoFill="0" autoLine="0" autoPict="0">
                <anchor moveWithCells="1">
                  <from>
                    <xdr:col>4</xdr:col>
                    <xdr:colOff>247650</xdr:colOff>
                    <xdr:row>50</xdr:row>
                    <xdr:rowOff>19050</xdr:rowOff>
                  </from>
                  <to>
                    <xdr:col>4</xdr:col>
                    <xdr:colOff>3800475</xdr:colOff>
                    <xdr:row>50</xdr:row>
                    <xdr:rowOff>342900</xdr:rowOff>
                  </to>
                </anchor>
              </controlPr>
            </control>
          </mc:Choice>
        </mc:AlternateContent>
        <mc:AlternateContent xmlns:mc="http://schemas.openxmlformats.org/markup-compatibility/2006">
          <mc:Choice Requires="x14">
            <control shapeId="5323" r:id="rId31" name="Option Button 203">
              <controlPr defaultSize="0" autoFill="0" autoLine="0" autoPict="0">
                <anchor moveWithCells="1">
                  <from>
                    <xdr:col>2</xdr:col>
                    <xdr:colOff>190500</xdr:colOff>
                    <xdr:row>50</xdr:row>
                    <xdr:rowOff>19050</xdr:rowOff>
                  </from>
                  <to>
                    <xdr:col>2</xdr:col>
                    <xdr:colOff>3733800</xdr:colOff>
                    <xdr:row>50</xdr:row>
                    <xdr:rowOff>352425</xdr:rowOff>
                  </to>
                </anchor>
              </controlPr>
            </control>
          </mc:Choice>
        </mc:AlternateContent>
        <mc:AlternateContent xmlns:mc="http://schemas.openxmlformats.org/markup-compatibility/2006">
          <mc:Choice Requires="x14">
            <control shapeId="5324" r:id="rId32" name="Option Button 204">
              <controlPr defaultSize="0" autoFill="0" autoLine="0" autoPict="0" altText="МКД - башня, вытянутая в сечении">
                <anchor moveWithCells="1">
                  <from>
                    <xdr:col>2</xdr:col>
                    <xdr:colOff>209550</xdr:colOff>
                    <xdr:row>48</xdr:row>
                    <xdr:rowOff>57150</xdr:rowOff>
                  </from>
                  <to>
                    <xdr:col>2</xdr:col>
                    <xdr:colOff>3752850</xdr:colOff>
                    <xdr:row>48</xdr:row>
                    <xdr:rowOff>904875</xdr:rowOff>
                  </to>
                </anchor>
              </controlPr>
            </control>
          </mc:Choice>
        </mc:AlternateContent>
        <mc:AlternateContent xmlns:mc="http://schemas.openxmlformats.org/markup-compatibility/2006">
          <mc:Choice Requires="x14">
            <control shapeId="5325" r:id="rId33" name="Option Button 205">
              <controlPr defaultSize="0" autoFill="0" autoLine="0" autoPict="0" altText="МКД - башня, вытянутая в сечении">
                <anchor moveWithCells="1">
                  <from>
                    <xdr:col>2</xdr:col>
                    <xdr:colOff>200025</xdr:colOff>
                    <xdr:row>49</xdr:row>
                    <xdr:rowOff>85725</xdr:rowOff>
                  </from>
                  <to>
                    <xdr:col>2</xdr:col>
                    <xdr:colOff>3714750</xdr:colOff>
                    <xdr:row>49</xdr:row>
                    <xdr:rowOff>866775</xdr:rowOff>
                  </to>
                </anchor>
              </controlPr>
            </control>
          </mc:Choice>
        </mc:AlternateContent>
        <mc:AlternateContent xmlns:mc="http://schemas.openxmlformats.org/markup-compatibility/2006">
          <mc:Choice Requires="x14">
            <control shapeId="5210" r:id="rId34" name="Option Button 90">
              <controlPr defaultSize="0" autoFill="0" autoLine="0" autoPict="0" altText="">
                <anchor moveWithCells="1">
                  <from>
                    <xdr:col>2</xdr:col>
                    <xdr:colOff>76200</xdr:colOff>
                    <xdr:row>109</xdr:row>
                    <xdr:rowOff>161925</xdr:rowOff>
                  </from>
                  <to>
                    <xdr:col>2</xdr:col>
                    <xdr:colOff>3752850</xdr:colOff>
                    <xdr:row>111</xdr:row>
                    <xdr:rowOff>285750</xdr:rowOff>
                  </to>
                </anchor>
              </controlPr>
            </control>
          </mc:Choice>
        </mc:AlternateContent>
        <mc:AlternateContent xmlns:mc="http://schemas.openxmlformats.org/markup-compatibility/2006">
          <mc:Choice Requires="x14">
            <control shapeId="5211" r:id="rId35" name="Option Button 91">
              <controlPr defaultSize="0" autoFill="0" autoLine="0" autoPict="0">
                <anchor moveWithCells="1">
                  <from>
                    <xdr:col>2</xdr:col>
                    <xdr:colOff>76200</xdr:colOff>
                    <xdr:row>111</xdr:row>
                    <xdr:rowOff>314325</xdr:rowOff>
                  </from>
                  <to>
                    <xdr:col>2</xdr:col>
                    <xdr:colOff>3752850</xdr:colOff>
                    <xdr:row>112</xdr:row>
                    <xdr:rowOff>390525</xdr:rowOff>
                  </to>
                </anchor>
              </controlPr>
            </control>
          </mc:Choice>
        </mc:AlternateContent>
        <mc:AlternateContent xmlns:mc="http://schemas.openxmlformats.org/markup-compatibility/2006">
          <mc:Choice Requires="x14">
            <control shapeId="5295" r:id="rId36" name="Option Button 175">
              <controlPr defaultSize="0" autoFill="0" autoLine="0" autoPict="0" altText="">
                <anchor moveWithCells="1">
                  <from>
                    <xdr:col>4</xdr:col>
                    <xdr:colOff>76200</xdr:colOff>
                    <xdr:row>109</xdr:row>
                    <xdr:rowOff>161925</xdr:rowOff>
                  </from>
                  <to>
                    <xdr:col>4</xdr:col>
                    <xdr:colOff>3962400</xdr:colOff>
                    <xdr:row>111</xdr:row>
                    <xdr:rowOff>314325</xdr:rowOff>
                  </to>
                </anchor>
              </controlPr>
            </control>
          </mc:Choice>
        </mc:AlternateContent>
        <mc:AlternateContent xmlns:mc="http://schemas.openxmlformats.org/markup-compatibility/2006">
          <mc:Choice Requires="x14">
            <control shapeId="5214" r:id="rId37" name="Option Button 94">
              <controlPr defaultSize="0" autoFill="0" autoLine="0" autoPict="0">
                <anchor moveWithCells="1">
                  <from>
                    <xdr:col>4</xdr:col>
                    <xdr:colOff>76200</xdr:colOff>
                    <xdr:row>111</xdr:row>
                    <xdr:rowOff>390525</xdr:rowOff>
                  </from>
                  <to>
                    <xdr:col>4</xdr:col>
                    <xdr:colOff>3962400</xdr:colOff>
                    <xdr:row>113</xdr:row>
                    <xdr:rowOff>0</xdr:rowOff>
                  </to>
                </anchor>
              </controlPr>
            </control>
          </mc:Choice>
        </mc:AlternateContent>
        <mc:AlternateContent xmlns:mc="http://schemas.openxmlformats.org/markup-compatibility/2006">
          <mc:Choice Requires="x14">
            <control shapeId="5213" r:id="rId38" name="Option Button 93">
              <controlPr defaultSize="0" autoFill="0" autoLine="0" autoPict="0">
                <anchor moveWithCells="1">
                  <from>
                    <xdr:col>4</xdr:col>
                    <xdr:colOff>85725</xdr:colOff>
                    <xdr:row>113</xdr:row>
                    <xdr:rowOff>123825</xdr:rowOff>
                  </from>
                  <to>
                    <xdr:col>4</xdr:col>
                    <xdr:colOff>3971925</xdr:colOff>
                    <xdr:row>114</xdr:row>
                    <xdr:rowOff>114300</xdr:rowOff>
                  </to>
                </anchor>
              </controlPr>
            </control>
          </mc:Choice>
        </mc:AlternateContent>
        <mc:AlternateContent xmlns:mc="http://schemas.openxmlformats.org/markup-compatibility/2006">
          <mc:Choice Requires="x14">
            <control shapeId="5338" r:id="rId39" name="Group Box 218">
              <controlPr defaultSize="0" autoFill="0" autoPict="0" altText="Тип учета">
                <anchor moveWithCells="1">
                  <from>
                    <xdr:col>2</xdr:col>
                    <xdr:colOff>38100</xdr:colOff>
                    <xdr:row>213</xdr:row>
                    <xdr:rowOff>57150</xdr:rowOff>
                  </from>
                  <to>
                    <xdr:col>5</xdr:col>
                    <xdr:colOff>2190750</xdr:colOff>
                    <xdr:row>213</xdr:row>
                    <xdr:rowOff>542925</xdr:rowOff>
                  </to>
                </anchor>
              </controlPr>
            </control>
          </mc:Choice>
        </mc:AlternateContent>
        <mc:AlternateContent xmlns:mc="http://schemas.openxmlformats.org/markup-compatibility/2006">
          <mc:Choice Requires="x14">
            <control shapeId="5339" r:id="rId40" name="Option Button 219">
              <controlPr defaultSize="0" autoFill="0" autoLine="0" autoPict="0">
                <anchor moveWithCells="1">
                  <from>
                    <xdr:col>3</xdr:col>
                    <xdr:colOff>209550</xdr:colOff>
                    <xdr:row>213</xdr:row>
                    <xdr:rowOff>104775</xdr:rowOff>
                  </from>
                  <to>
                    <xdr:col>4</xdr:col>
                    <xdr:colOff>1266825</xdr:colOff>
                    <xdr:row>213</xdr:row>
                    <xdr:rowOff>533400</xdr:rowOff>
                  </to>
                </anchor>
              </controlPr>
            </control>
          </mc:Choice>
        </mc:AlternateContent>
        <mc:AlternateContent xmlns:mc="http://schemas.openxmlformats.org/markup-compatibility/2006">
          <mc:Choice Requires="x14">
            <control shapeId="5340" r:id="rId41" name="Option Button 220">
              <controlPr defaultSize="0" autoFill="0" autoLine="0" autoPict="0">
                <anchor moveWithCells="1">
                  <from>
                    <xdr:col>4</xdr:col>
                    <xdr:colOff>1562100</xdr:colOff>
                    <xdr:row>213</xdr:row>
                    <xdr:rowOff>104775</xdr:rowOff>
                  </from>
                  <to>
                    <xdr:col>5</xdr:col>
                    <xdr:colOff>2114550</xdr:colOff>
                    <xdr:row>213</xdr:row>
                    <xdr:rowOff>504825</xdr:rowOff>
                  </to>
                </anchor>
              </controlPr>
            </control>
          </mc:Choice>
        </mc:AlternateContent>
        <mc:AlternateContent xmlns:mc="http://schemas.openxmlformats.org/markup-compatibility/2006">
          <mc:Choice Requires="x14">
            <control shapeId="5341" r:id="rId42" name="Option Button 221">
              <controlPr defaultSize="0" autoFill="0" autoLine="0" autoPict="0">
                <anchor moveWithCells="1">
                  <from>
                    <xdr:col>2</xdr:col>
                    <xdr:colOff>1266825</xdr:colOff>
                    <xdr:row>213</xdr:row>
                    <xdr:rowOff>123825</xdr:rowOff>
                  </from>
                  <to>
                    <xdr:col>2</xdr:col>
                    <xdr:colOff>3790950</xdr:colOff>
                    <xdr:row>213</xdr:row>
                    <xdr:rowOff>514350</xdr:rowOff>
                  </to>
                </anchor>
              </controlPr>
            </control>
          </mc:Choice>
        </mc:AlternateContent>
        <mc:AlternateContent xmlns:mc="http://schemas.openxmlformats.org/markup-compatibility/2006">
          <mc:Choice Requires="x14">
            <control shapeId="5342" r:id="rId43" name="Group Box 222">
              <controlPr defaultSize="0" autoFill="0" autoPict="0">
                <anchor moveWithCells="1">
                  <from>
                    <xdr:col>4</xdr:col>
                    <xdr:colOff>19050</xdr:colOff>
                    <xdr:row>98</xdr:row>
                    <xdr:rowOff>19050</xdr:rowOff>
                  </from>
                  <to>
                    <xdr:col>4</xdr:col>
                    <xdr:colOff>4010025</xdr:colOff>
                    <xdr:row>104</xdr:row>
                    <xdr:rowOff>219075</xdr:rowOff>
                  </to>
                </anchor>
              </controlPr>
            </control>
          </mc:Choice>
        </mc:AlternateContent>
        <mc:AlternateContent xmlns:mc="http://schemas.openxmlformats.org/markup-compatibility/2006">
          <mc:Choice Requires="x14">
            <control shapeId="5343" r:id="rId44" name="Option Button 223">
              <controlPr defaultSize="0" autoFill="0" autoLine="0" autoPict="0">
                <anchor moveWithCells="1">
                  <from>
                    <xdr:col>4</xdr:col>
                    <xdr:colOff>38100</xdr:colOff>
                    <xdr:row>98</xdr:row>
                    <xdr:rowOff>133350</xdr:rowOff>
                  </from>
                  <to>
                    <xdr:col>4</xdr:col>
                    <xdr:colOff>4000500</xdr:colOff>
                    <xdr:row>100</xdr:row>
                    <xdr:rowOff>38100</xdr:rowOff>
                  </to>
                </anchor>
              </controlPr>
            </control>
          </mc:Choice>
        </mc:AlternateContent>
        <mc:AlternateContent xmlns:mc="http://schemas.openxmlformats.org/markup-compatibility/2006">
          <mc:Choice Requires="x14">
            <control shapeId="5348" r:id="rId45" name="Option Button 228">
              <controlPr defaultSize="0" autoFill="0" autoLine="0" autoPict="0">
                <anchor moveWithCells="1">
                  <from>
                    <xdr:col>4</xdr:col>
                    <xdr:colOff>28575</xdr:colOff>
                    <xdr:row>100</xdr:row>
                    <xdr:rowOff>38100</xdr:rowOff>
                  </from>
                  <to>
                    <xdr:col>4</xdr:col>
                    <xdr:colOff>3990975</xdr:colOff>
                    <xdr:row>101</xdr:row>
                    <xdr:rowOff>104775</xdr:rowOff>
                  </to>
                </anchor>
              </controlPr>
            </control>
          </mc:Choice>
        </mc:AlternateContent>
        <mc:AlternateContent xmlns:mc="http://schemas.openxmlformats.org/markup-compatibility/2006">
          <mc:Choice Requires="x14">
            <control shapeId="5349" r:id="rId46" name="Option Button 229">
              <controlPr defaultSize="0" autoFill="0" autoLine="0" autoPict="0">
                <anchor moveWithCells="1">
                  <from>
                    <xdr:col>4</xdr:col>
                    <xdr:colOff>28575</xdr:colOff>
                    <xdr:row>101</xdr:row>
                    <xdr:rowOff>142875</xdr:rowOff>
                  </from>
                  <to>
                    <xdr:col>4</xdr:col>
                    <xdr:colOff>4000500</xdr:colOff>
                    <xdr:row>102</xdr:row>
                    <xdr:rowOff>200025</xdr:rowOff>
                  </to>
                </anchor>
              </controlPr>
            </control>
          </mc:Choice>
        </mc:AlternateContent>
        <mc:AlternateContent xmlns:mc="http://schemas.openxmlformats.org/markup-compatibility/2006">
          <mc:Choice Requires="x14">
            <control shapeId="5350" r:id="rId47" name="Option Button 230">
              <controlPr defaultSize="0" autoFill="0" autoLine="0" autoPict="0">
                <anchor moveWithCells="1">
                  <from>
                    <xdr:col>4</xdr:col>
                    <xdr:colOff>28575</xdr:colOff>
                    <xdr:row>103</xdr:row>
                    <xdr:rowOff>38100</xdr:rowOff>
                  </from>
                  <to>
                    <xdr:col>4</xdr:col>
                    <xdr:colOff>4010025</xdr:colOff>
                    <xdr:row>104</xdr:row>
                    <xdr:rowOff>104775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9" id="{EA552C4E-480B-46B2-A41F-86B9F9289122}">
            <xm:f>списки!$C$47=0</xm:f>
            <x14:dxf>
              <font>
                <color rgb="FFC0F094"/>
              </font>
            </x14:dxf>
          </x14:cfRule>
          <xm:sqref>E17:E18 E22</xm:sqref>
        </x14:conditionalFormatting>
        <x14:conditionalFormatting xmlns:xm="http://schemas.microsoft.com/office/excel/2006/main">
          <x14:cfRule type="expression" priority="60" id="{3C886272-20F7-4B11-8E64-DE624FE6C505}">
            <xm:f>'классы ЭЭ и выбросы ПГ'!$D$26=1</xm:f>
            <x14:dxf>
              <fill>
                <patternFill>
                  <bgColor theme="1"/>
                </patternFill>
              </fill>
            </x14:dxf>
          </x14:cfRule>
          <xm:sqref>C328</xm:sqref>
        </x14:conditionalFormatting>
        <x14:conditionalFormatting xmlns:xm="http://schemas.microsoft.com/office/excel/2006/main">
          <x14:cfRule type="expression" priority="59" id="{9A2A5F4F-42A9-4EF4-B937-0FBF7A24D4AD}">
            <xm:f>'классы ЭЭ и выбросы ПГ'!$D$27=1</xm:f>
            <x14:dxf>
              <fill>
                <patternFill>
                  <bgColor theme="1"/>
                </patternFill>
              </fill>
            </x14:dxf>
          </x14:cfRule>
          <xm:sqref>C329</xm:sqref>
        </x14:conditionalFormatting>
        <x14:conditionalFormatting xmlns:xm="http://schemas.microsoft.com/office/excel/2006/main">
          <x14:cfRule type="expression" priority="58" id="{E43D742B-1EFB-41D0-9C61-16E61B2776B2}">
            <xm:f>'классы ЭЭ и выбросы ПГ'!$D$28=1</xm:f>
            <x14:dxf>
              <fill>
                <patternFill>
                  <bgColor theme="1"/>
                </patternFill>
              </fill>
            </x14:dxf>
          </x14:cfRule>
          <xm:sqref>C330</xm:sqref>
        </x14:conditionalFormatting>
        <x14:conditionalFormatting xmlns:xm="http://schemas.microsoft.com/office/excel/2006/main">
          <x14:cfRule type="expression" priority="57" id="{67DA493E-1AE2-45AA-9F04-F993EA953B33}">
            <xm:f>'классы ЭЭ и выбросы ПГ'!$D$29=1</xm:f>
            <x14:dxf>
              <fill>
                <patternFill>
                  <bgColor theme="1"/>
                </patternFill>
              </fill>
            </x14:dxf>
          </x14:cfRule>
          <xm:sqref>C331</xm:sqref>
        </x14:conditionalFormatting>
        <x14:conditionalFormatting xmlns:xm="http://schemas.microsoft.com/office/excel/2006/main">
          <x14:cfRule type="expression" priority="56" id="{B88B8FFE-1B3F-4867-9BCB-2AC47CCC4D85}">
            <xm:f>'классы ЭЭ и выбросы ПГ'!$D$30=1</xm:f>
            <x14:dxf>
              <fill>
                <patternFill>
                  <bgColor theme="1"/>
                </patternFill>
              </fill>
            </x14:dxf>
          </x14:cfRule>
          <xm:sqref>C332</xm:sqref>
        </x14:conditionalFormatting>
        <x14:conditionalFormatting xmlns:xm="http://schemas.microsoft.com/office/excel/2006/main">
          <x14:cfRule type="expression" priority="55" id="{8C0127CA-E1E5-41E6-9516-31CA22D246B0}">
            <xm:f>'классы ЭЭ и выбросы ПГ'!$D$31=1</xm:f>
            <x14:dxf>
              <fill>
                <patternFill>
                  <bgColor theme="1"/>
                </patternFill>
              </fill>
            </x14:dxf>
          </x14:cfRule>
          <xm:sqref>C333</xm:sqref>
        </x14:conditionalFormatting>
        <x14:conditionalFormatting xmlns:xm="http://schemas.microsoft.com/office/excel/2006/main">
          <x14:cfRule type="expression" priority="54" id="{E5C11C38-3D21-4E63-8153-01D0F5F4F11B}">
            <xm:f>'классы ЭЭ и выбросы ПГ'!$D$32=1</xm:f>
            <x14:dxf>
              <fill>
                <patternFill>
                  <bgColor theme="1"/>
                </patternFill>
              </fill>
            </x14:dxf>
          </x14:cfRule>
          <xm:sqref>C334</xm:sqref>
        </x14:conditionalFormatting>
        <x14:conditionalFormatting xmlns:xm="http://schemas.microsoft.com/office/excel/2006/main">
          <x14:cfRule type="expression" priority="53" id="{4DFCFA62-5FFA-4BF7-A742-E1BBDE043F2D}">
            <xm:f>'классы ЭЭ и выбросы ПГ'!$D$33=1</xm:f>
            <x14:dxf>
              <fill>
                <patternFill>
                  <bgColor theme="1"/>
                </patternFill>
              </fill>
            </x14:dxf>
          </x14:cfRule>
          <xm:sqref>C335</xm:sqref>
        </x14:conditionalFormatting>
        <x14:conditionalFormatting xmlns:xm="http://schemas.microsoft.com/office/excel/2006/main">
          <x14:cfRule type="expression" priority="52" id="{E2707DB0-7450-40B2-9F3F-38B559BC3C1D}">
            <xm:f>'классы ЭЭ и выбросы ПГ'!$D$34=1</xm:f>
            <x14:dxf>
              <fill>
                <patternFill>
                  <bgColor theme="1"/>
                </patternFill>
              </fill>
            </x14:dxf>
          </x14:cfRule>
          <xm:sqref>C336</xm:sqref>
        </x14:conditionalFormatting>
        <x14:conditionalFormatting xmlns:xm="http://schemas.microsoft.com/office/excel/2006/main">
          <x14:cfRule type="expression" priority="51" id="{59CBFD5F-D1D5-4EEC-92DC-5FF2B66B0E9F}">
            <xm:f>'Система отопления'!$B$32=1</xm:f>
            <x14:dxf>
              <fill>
                <patternFill>
                  <bgColor theme="0" tint="-0.14996795556505021"/>
                </patternFill>
              </fill>
            </x14:dxf>
          </x14:cfRule>
          <xm:sqref>E217:F228</xm:sqref>
        </x14:conditionalFormatting>
        <x14:conditionalFormatting xmlns:xm="http://schemas.microsoft.com/office/excel/2006/main">
          <x14:cfRule type="expression" priority="50" id="{B9635582-A9CA-4CB6-BF94-AE5DB1523818}">
            <xm:f>'Система отопления'!$B$31=1</xm:f>
            <x14:dxf>
              <fill>
                <patternFill>
                  <bgColor theme="0" tint="-0.14996795556505021"/>
                </patternFill>
              </fill>
            </x14:dxf>
          </x14:cfRule>
          <xm:sqref>D217:F228</xm:sqref>
        </x14:conditionalFormatting>
        <x14:conditionalFormatting xmlns:xm="http://schemas.microsoft.com/office/excel/2006/main">
          <x14:cfRule type="expression" priority="49" id="{30ABBF91-188C-40FB-9A0C-B1D0B02B7AB7}">
            <xm:f>'Система ГВС'!$F$3=2</xm:f>
            <x14:dxf>
              <fill>
                <patternFill>
                  <bgColor theme="0" tint="-0.14996795556505021"/>
                </patternFill>
              </fill>
            </x14:dxf>
          </x14:cfRule>
          <xm:sqref>D236:F247</xm:sqref>
        </x14:conditionalFormatting>
        <x14:conditionalFormatting xmlns:xm="http://schemas.microsoft.com/office/excel/2006/main">
          <x14:cfRule type="expression" priority="108" id="{94A8F40F-B3C2-4B76-858A-C5F335960A8E}">
            <xm:f>$D$14&lt;&gt;списки!$B$3</xm:f>
            <x14:dxf>
              <fill>
                <patternFill>
                  <bgColor rgb="FFD9D9D9"/>
                </patternFill>
              </fill>
            </x14:dxf>
          </x14:cfRule>
          <x14:cfRule type="expression" priority="107" id="{1BF6B5FB-FE37-410D-BEDF-AD9307CAFF61}">
            <xm:f>AND($D$14=списки!$B$3,$D$42="Детальный")</xm:f>
            <x14:dxf>
              <font>
                <color auto="1"/>
              </font>
              <fill>
                <patternFill>
                  <bgColor rgb="FFCCFF99"/>
                </patternFill>
              </fill>
            </x14:dxf>
          </x14:cfRule>
          <xm:sqref>D55:D61 D63:D77</xm:sqref>
        </x14:conditionalFormatting>
        <x14:conditionalFormatting xmlns:xm="http://schemas.microsoft.com/office/excel/2006/main">
          <x14:cfRule type="expression" priority="43" id="{0FA82E3F-F174-4765-B5FD-985FA8CDB9C1}">
            <xm:f>AND(OR(D42="Ориентировочный",D42=INDEX(SposobRascheta,3)),списки!$C$40)</xm:f>
            <x14:dxf>
              <font>
                <color rgb="FFFF0000"/>
              </font>
            </x14:dxf>
          </x14:cfRule>
          <xm:sqref>C41:E41</xm:sqref>
        </x14:conditionalFormatting>
        <x14:conditionalFormatting xmlns:xm="http://schemas.microsoft.com/office/excel/2006/main">
          <x14:cfRule type="expression" priority="42" id="{CB412C93-C92A-4C5A-B125-8D7E5640DF4E}">
            <xm:f>AND(OR(D42="Ориентировочный",D42=INDEX(SposobRascheta,3)),списки!$C$40)</xm:f>
            <x14:dxf>
              <font>
                <b/>
                <i val="0"/>
                <color rgb="FFFF0000"/>
              </font>
              <fill>
                <patternFill>
                  <bgColor rgb="FFD9D9D9"/>
                </patternFill>
              </fill>
            </x14:dxf>
          </x14:cfRule>
          <xm:sqref>D42</xm:sqref>
        </x14:conditionalFormatting>
        <x14:conditionalFormatting xmlns:xm="http://schemas.microsoft.com/office/excel/2006/main">
          <x14:cfRule type="expression" priority="3" id="{377DC6E3-468E-4FA9-9A6B-1E560FBB7ED9}">
            <xm:f>'Система ГВС'!$F$3=2</xm:f>
            <x14:dxf>
              <fill>
                <patternFill>
                  <bgColor rgb="FFD9D9D9"/>
                </patternFill>
              </fill>
            </x14:dxf>
          </x14:cfRule>
          <xm:sqref>E110:E115 C118 D118:D122 D127:D132 C144:C145 C136:C141</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данных'!B53:B53</xm:f>
              <xm:sqref>B53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данных'!B80:B80</xm:f>
              <xm:sqref>B80</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данных'!B90:B90</xm:f>
              <xm:sqref>B90</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данных'!B324:B324</xm:f>
              <xm:sqref>B326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данных'!B307:B307</xm:f>
              <xm:sqref>B307</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данных'!B201:B201</xm:f>
              <xm:sqref>B201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данных'!B183:B183</xm:f>
              <xm:sqref>B183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данных'!B270:B270</xm:f>
              <xm:sqref>B270</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данных'!B213:B213</xm:f>
              <xm:sqref>B213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данных'!B287:B287</xm:f>
              <xm:sqref>B287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BE180"/>
  <sheetViews>
    <sheetView zoomScaleNormal="100" workbookViewId="0">
      <pane ySplit="2" topLeftCell="A3" activePane="bottomLeft" state="frozen"/>
      <selection pane="bottomLeft" activeCell="G9" sqref="G9:G11"/>
    </sheetView>
  </sheetViews>
  <sheetFormatPr defaultColWidth="0" defaultRowHeight="15" zeroHeight="1" x14ac:dyDescent="0.25"/>
  <cols>
    <col min="1" max="2" width="3.42578125" style="51" customWidth="1"/>
    <col min="3" max="3" width="6" style="51" customWidth="1"/>
    <col min="4" max="4" width="55.140625" style="51" customWidth="1"/>
    <col min="5" max="5" width="42.5703125" style="51" customWidth="1"/>
    <col min="6" max="11" width="13.7109375" style="51" customWidth="1"/>
    <col min="12" max="12" width="55.5703125" style="51" customWidth="1"/>
    <col min="13" max="13" width="3.5703125" style="51" customWidth="1"/>
    <col min="14" max="14" width="10.28515625" style="1229" customWidth="1"/>
    <col min="15" max="17" width="7.28515625" style="51" hidden="1" customWidth="1"/>
    <col min="18" max="18" width="8.42578125" style="51" hidden="1" customWidth="1"/>
    <col min="19" max="19" width="9" style="51" hidden="1" customWidth="1"/>
    <col min="20" max="25" width="7.28515625" style="51" hidden="1" customWidth="1"/>
    <col min="26" max="27" width="2.7109375" style="51" hidden="1" customWidth="1"/>
    <col min="28" max="29" width="2.7109375" style="186" hidden="1" customWidth="1"/>
    <col min="30" max="30" width="8.85546875" style="51" hidden="1" customWidth="1"/>
    <col min="31" max="33" width="2.7109375" style="51" hidden="1" customWidth="1"/>
    <col min="34" max="48" width="9.140625" style="51" hidden="1" customWidth="1"/>
    <col min="49" max="50" width="7" style="51" hidden="1" customWidth="1"/>
    <col min="51" max="51" width="28.140625" style="51" hidden="1" customWidth="1"/>
    <col min="52" max="53" width="9.140625" hidden="1" customWidth="1"/>
    <col min="54" max="55" width="9.140625" style="51" hidden="1" customWidth="1"/>
    <col min="56" max="57" width="9.140625" style="60" hidden="1" customWidth="1"/>
    <col min="58" max="16384" width="9.140625" style="51" hidden="1"/>
  </cols>
  <sheetData>
    <row r="1" spans="1:57" s="28" customFormat="1" ht="15" customHeight="1" x14ac:dyDescent="0.2">
      <c r="A1" s="22">
        <f>'Ввод исходных данных'!G55</f>
        <v>0</v>
      </c>
      <c r="B1" s="2091" t="s">
        <v>1573</v>
      </c>
      <c r="C1" s="2091"/>
      <c r="D1" s="2091"/>
      <c r="E1" s="1711" t="str">
        <f ca="1">IFERROR(IF('Экономический расчет'!H33="","","Прогноз целевого показателя экономии: "&amp;ROUND('Экономический расчет'!H33*100,2)&amp;"%."),"")</f>
        <v/>
      </c>
      <c r="F1" s="2156" t="s">
        <v>1571</v>
      </c>
      <c r="G1" s="2156"/>
      <c r="H1" s="2156"/>
      <c r="I1" s="24"/>
      <c r="J1" s="25"/>
      <c r="K1" s="25"/>
      <c r="L1" s="25"/>
      <c r="M1" s="25"/>
      <c r="N1" s="25"/>
      <c r="O1" s="25"/>
      <c r="P1" s="25"/>
      <c r="Q1" s="25"/>
      <c r="R1" s="25"/>
      <c r="S1" s="25"/>
      <c r="T1" s="25"/>
      <c r="U1" s="25"/>
      <c r="V1" s="25"/>
      <c r="W1" s="25"/>
      <c r="X1" s="25"/>
      <c r="Y1" s="25"/>
      <c r="Z1" s="25"/>
      <c r="AA1" s="25"/>
      <c r="AB1" s="1132"/>
      <c r="AC1" s="1132"/>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row>
    <row r="2" spans="1:57" ht="71.25" customHeight="1" x14ac:dyDescent="0.25">
      <c r="A2" s="1276" t="s">
        <v>1690</v>
      </c>
      <c r="B2" s="50"/>
      <c r="C2" s="2134" t="s">
        <v>1417</v>
      </c>
      <c r="D2" s="2134"/>
      <c r="E2" s="1144" t="s">
        <v>1239</v>
      </c>
      <c r="F2" s="1273" t="s">
        <v>1691</v>
      </c>
      <c r="G2" s="1274" t="s">
        <v>1692</v>
      </c>
      <c r="H2" s="1275" t="s">
        <v>1329</v>
      </c>
      <c r="I2" s="1275" t="s">
        <v>1327</v>
      </c>
      <c r="J2" s="1275" t="s">
        <v>1741</v>
      </c>
      <c r="K2" s="1275" t="s">
        <v>1328</v>
      </c>
      <c r="L2" s="1144" t="s">
        <v>1240</v>
      </c>
      <c r="M2" s="50"/>
      <c r="N2" s="50"/>
      <c r="O2" s="2139" t="s">
        <v>1455</v>
      </c>
      <c r="P2" s="2140"/>
      <c r="Q2" s="2141"/>
      <c r="R2" s="2133" t="s">
        <v>1427</v>
      </c>
      <c r="S2" s="2133"/>
      <c r="T2" s="2133" t="s">
        <v>1428</v>
      </c>
      <c r="U2" s="2133"/>
      <c r="V2" s="2138" t="s">
        <v>1429</v>
      </c>
      <c r="W2" s="2138"/>
      <c r="X2" s="2133" t="s">
        <v>1434</v>
      </c>
      <c r="Y2" s="2133"/>
      <c r="Z2" s="50" t="s">
        <v>1437</v>
      </c>
      <c r="AA2" s="1145" t="s">
        <v>888</v>
      </c>
      <c r="AB2" s="2145" t="s">
        <v>890</v>
      </c>
      <c r="AC2" s="2145"/>
      <c r="AD2" s="1146" t="s">
        <v>889</v>
      </c>
      <c r="AF2" s="50"/>
      <c r="AG2" s="50"/>
      <c r="AH2" s="50"/>
      <c r="AI2" s="50"/>
      <c r="AJ2" s="50"/>
      <c r="AK2" s="50"/>
      <c r="AL2" s="50"/>
      <c r="AM2" s="50"/>
      <c r="AN2" s="50"/>
      <c r="AO2" s="50"/>
      <c r="AP2" s="50"/>
      <c r="AQ2" s="50"/>
      <c r="AR2" s="50"/>
      <c r="AS2" s="50"/>
    </row>
    <row r="3" spans="1:57" ht="20.25" customHeight="1" x14ac:dyDescent="0.25">
      <c r="A3" s="50"/>
      <c r="B3" s="50"/>
      <c r="C3" s="50"/>
      <c r="D3" s="2113" t="s">
        <v>1452</v>
      </c>
      <c r="E3" s="2113"/>
      <c r="F3" s="2113"/>
      <c r="G3" s="2113"/>
      <c r="H3" s="2113"/>
      <c r="I3" s="2113"/>
      <c r="J3" s="2113"/>
      <c r="K3" s="2113"/>
      <c r="L3" s="2113"/>
      <c r="M3" s="50"/>
      <c r="N3" s="50"/>
      <c r="O3" s="2135" t="s">
        <v>1454</v>
      </c>
      <c r="P3" s="2136"/>
      <c r="Q3" s="2137"/>
      <c r="R3" s="2133" t="s">
        <v>1427</v>
      </c>
      <c r="S3" s="2133"/>
      <c r="T3" s="2133" t="s">
        <v>1428</v>
      </c>
      <c r="U3" s="2133"/>
      <c r="V3" s="2138" t="s">
        <v>1429</v>
      </c>
      <c r="W3" s="2138"/>
      <c r="X3" s="2133" t="s">
        <v>1434</v>
      </c>
      <c r="Y3" s="2133"/>
      <c r="Z3" s="50"/>
      <c r="AA3" s="50"/>
      <c r="AB3" s="1133"/>
      <c r="AC3" s="1133"/>
      <c r="AD3" s="50"/>
      <c r="AE3" s="50"/>
      <c r="AF3" s="50"/>
      <c r="AG3" s="50"/>
      <c r="AH3" s="50"/>
      <c r="AI3" s="50"/>
      <c r="AJ3" s="50"/>
      <c r="AK3" s="50"/>
      <c r="AL3" s="50"/>
      <c r="AM3" s="50"/>
      <c r="AN3" s="50"/>
      <c r="AO3" s="50"/>
      <c r="AP3" s="50"/>
      <c r="AQ3" s="50"/>
      <c r="AR3" s="50"/>
      <c r="AS3" s="50"/>
      <c r="AV3" s="2090" t="s">
        <v>2394</v>
      </c>
      <c r="AW3" s="2090"/>
      <c r="AX3" s="2090"/>
      <c r="AY3" s="2090"/>
      <c r="AZ3" s="2090"/>
      <c r="BA3" s="2090"/>
      <c r="BB3" s="2090"/>
    </row>
    <row r="4" spans="1:57" ht="128.25" customHeight="1" x14ac:dyDescent="0.25">
      <c r="A4" s="50"/>
      <c r="B4" s="50"/>
      <c r="C4" s="2112" t="str">
        <f ca="1">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
      </c>
      <c r="D4" s="2112"/>
      <c r="E4" s="1147" t="str">
        <f ca="1">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
      </c>
      <c r="F4" s="2112" t="str">
        <f>'Ввод исходных данных'!G236</f>
        <v/>
      </c>
      <c r="G4" s="2112"/>
      <c r="H4" s="2112"/>
      <c r="I4" s="2112"/>
      <c r="J4" s="2112"/>
      <c r="K4" s="2112"/>
      <c r="L4" s="1148" t="str">
        <f>'Ввод исходных данных'!I236</f>
        <v/>
      </c>
      <c r="M4" s="50"/>
      <c r="N4" s="1149"/>
      <c r="O4" s="1150" t="s">
        <v>1456</v>
      </c>
      <c r="P4" s="1150" t="s">
        <v>1457</v>
      </c>
      <c r="Q4" s="1150" t="s">
        <v>1368</v>
      </c>
      <c r="R4" s="1150" t="s">
        <v>1426</v>
      </c>
      <c r="S4" s="1150" t="s">
        <v>1425</v>
      </c>
      <c r="T4" s="1150" t="s">
        <v>1426</v>
      </c>
      <c r="U4" s="1150" t="s">
        <v>1425</v>
      </c>
      <c r="V4" s="1150" t="s">
        <v>1426</v>
      </c>
      <c r="W4" s="1150" t="s">
        <v>1425</v>
      </c>
      <c r="X4" s="1150" t="s">
        <v>1426</v>
      </c>
      <c r="Y4" s="1150" t="s">
        <v>1425</v>
      </c>
      <c r="Z4" s="50"/>
      <c r="AA4" s="50"/>
      <c r="AB4" s="1133"/>
      <c r="AC4" s="1133"/>
      <c r="AD4" s="50"/>
      <c r="AE4" s="50"/>
      <c r="AF4" s="50"/>
      <c r="AG4" s="50"/>
      <c r="AH4" s="50"/>
      <c r="AI4" s="50"/>
      <c r="AJ4" s="50"/>
      <c r="AK4" s="50"/>
      <c r="AL4" s="50"/>
      <c r="AM4" s="50"/>
      <c r="AN4" s="50"/>
      <c r="AO4" s="50"/>
      <c r="AP4" s="50"/>
      <c r="AQ4" s="50"/>
      <c r="AR4" s="50"/>
      <c r="AS4" s="50"/>
      <c r="AW4" s="51" t="s">
        <v>2376</v>
      </c>
      <c r="AY4" s="51" t="s">
        <v>2375</v>
      </c>
      <c r="AZ4" s="51" t="s">
        <v>2377</v>
      </c>
      <c r="BA4" s="51" t="s">
        <v>2378</v>
      </c>
      <c r="BB4" s="51" t="s">
        <v>2379</v>
      </c>
    </row>
    <row r="5" spans="1:57" ht="21" customHeight="1" x14ac:dyDescent="0.25">
      <c r="A5" s="50"/>
      <c r="B5" s="50"/>
      <c r="C5" s="50"/>
      <c r="D5" s="2113" t="s">
        <v>1453</v>
      </c>
      <c r="E5" s="2113"/>
      <c r="F5" s="2113"/>
      <c r="G5" s="2113"/>
      <c r="H5" s="2113"/>
      <c r="I5" s="2113"/>
      <c r="J5" s="2113"/>
      <c r="K5" s="2113"/>
      <c r="L5" s="2113"/>
      <c r="M5" s="50"/>
      <c r="N5" s="50"/>
      <c r="O5" s="1151"/>
      <c r="P5" s="1151"/>
      <c r="Q5" s="1151"/>
      <c r="R5" s="1151"/>
      <c r="S5" s="1151"/>
      <c r="T5" s="1151"/>
      <c r="U5" s="1151"/>
      <c r="V5" s="1151"/>
      <c r="W5" s="1151"/>
      <c r="X5" s="1151"/>
      <c r="Y5" s="1151"/>
      <c r="Z5" s="50"/>
      <c r="AA5" s="50"/>
      <c r="AB5" s="1133"/>
      <c r="AC5" s="1134"/>
      <c r="AD5" s="50"/>
      <c r="AE5" s="50"/>
      <c r="AF5" s="50"/>
      <c r="AG5" s="50"/>
      <c r="AH5" s="50"/>
      <c r="AI5" s="50"/>
      <c r="AJ5" s="50"/>
      <c r="AK5" s="50"/>
      <c r="AL5" s="50"/>
      <c r="AM5" s="50"/>
      <c r="AN5" s="50"/>
      <c r="AO5" s="50"/>
      <c r="AP5" s="50"/>
      <c r="AQ5" s="50"/>
      <c r="AR5" s="50"/>
      <c r="AS5" s="50"/>
      <c r="AU5" s="51">
        <v>3</v>
      </c>
      <c r="AV5" s="658" t="b">
        <f>IF(AND(AB13&gt;0,AC13),TRUE,FALSE)</f>
        <v>0</v>
      </c>
      <c r="AW5" s="235" t="str">
        <f>IF(AV5,COUNTIF(AV$5:AV5,TRUE),"")</f>
        <v/>
      </c>
      <c r="AX5" s="235"/>
      <c r="AY5" s="1706" t="s">
        <v>1886</v>
      </c>
      <c r="AZ5" s="1501" t="str">
        <f>IF(OR(BD5=INDEX(materials,        1),
                           BD5=INDEX(layer,                 1),
                           BD5=INDEX(layer15,            1),
                           BD5=INDEX(Windows,        1),
                           BD5=INDEX(AptWindow,   1),
                           BD5=INDEX(AtticMat,          1),
                           BD5=INDEX(AITPIAUU,        1),
                           BD5=INDEX(AUU,                   1),
                           BD5=INDEX(CellarMat,        1),
                           BD5=INDEX(LampsNew,     1),
                           BD5=INDEX(ОсвНар,            1)),
               "-",
               BD5)</f>
        <v>-</v>
      </c>
      <c r="BA5" s="1501" t="str">
        <f>IF(OR(BE5=INDEX(materials,        1),
                           BE5=INDEX(layer,                 1),
                           BE5=INDEX(layer15,            1),
                           BE5=INDEX(Windows,        1),
                           BE5=INDEX(AptWindow,   1),
                           BE5=INDEX(AtticMat,          1),
                           BE5=INDEX(AITPIAUU,        1),
                           BE5=INDEX(AUU,                   1),
                           BE5=INDEX(CellarMat,        1),
                           BE5=INDEX(LampsNew,     1),
                           BE5=INDEX(ОсвНар,            1)),
               "-",
               BE5)</f>
        <v>-</v>
      </c>
      <c r="BB5" s="657">
        <f>H13</f>
        <v>0</v>
      </c>
      <c r="BD5" s="1697" t="s">
        <v>746</v>
      </c>
      <c r="BE5" s="1697" t="s">
        <v>746</v>
      </c>
    </row>
    <row r="6" spans="1:57" ht="15.75" x14ac:dyDescent="0.25">
      <c r="A6" s="1152" t="str">
        <f>IF(SUM(AD8:AD81)&gt;0,"Ошибка","")</f>
        <v/>
      </c>
      <c r="B6" s="50"/>
      <c r="C6" s="1153"/>
      <c r="D6" s="1154" t="s">
        <v>857</v>
      </c>
      <c r="E6" s="1144" t="s">
        <v>1239</v>
      </c>
      <c r="F6" s="1155"/>
      <c r="G6" s="1155"/>
      <c r="H6" s="1155"/>
      <c r="I6" s="1155"/>
      <c r="J6" s="1155"/>
      <c r="K6" s="1155"/>
      <c r="L6" s="1144" t="s">
        <v>1240</v>
      </c>
      <c r="M6" s="50"/>
      <c r="N6" s="50"/>
      <c r="O6" s="1156"/>
      <c r="P6" s="1156"/>
      <c r="Q6" s="1156"/>
      <c r="R6" s="1156"/>
      <c r="S6" s="1157" t="e">
        <f ca="1">S7+S33+S38+S20+S62</f>
        <v>#DIV/0!</v>
      </c>
      <c r="T6" s="1156"/>
      <c r="U6" s="1157" t="e">
        <f ca="1">U7+U33+U38</f>
        <v>#DIV/0!</v>
      </c>
      <c r="V6" s="1156"/>
      <c r="W6" s="1158" t="e">
        <f ca="1">W7+W33+W38+W20+W56+W62+W73</f>
        <v>#DIV/0!</v>
      </c>
      <c r="X6" s="1158"/>
      <c r="Y6" s="1158" t="e">
        <f ca="1">Y56+Y73+Y33</f>
        <v>#DIV/0!</v>
      </c>
      <c r="Z6" s="50"/>
      <c r="AA6" s="50"/>
      <c r="AB6" s="1133"/>
      <c r="AC6" s="1134"/>
      <c r="AD6" s="51">
        <f>SUM(AD8:AD81)</f>
        <v>0</v>
      </c>
      <c r="AF6" s="50"/>
      <c r="AG6" s="50"/>
      <c r="AH6" s="50"/>
      <c r="AI6" s="50"/>
      <c r="AJ6" s="50"/>
      <c r="AK6" s="50"/>
      <c r="AL6" s="50"/>
      <c r="AM6" s="50"/>
      <c r="AN6" s="50"/>
      <c r="AO6" s="50"/>
      <c r="AP6" s="50"/>
      <c r="AQ6" s="50"/>
      <c r="AR6" s="50"/>
      <c r="AS6" s="50"/>
      <c r="AU6" s="51">
        <v>5</v>
      </c>
      <c r="AV6" s="1699" t="b">
        <f>IF(AND(AB16&gt;0,AC16),TRUE,FALSE)</f>
        <v>0</v>
      </c>
      <c r="AW6" s="69" t="str">
        <f>IF(AV6,COUNTIF(AV$5:AV6,TRUE),"")</f>
        <v/>
      </c>
      <c r="AX6" s="69"/>
      <c r="AY6" s="1700" t="s">
        <v>1831</v>
      </c>
      <c r="AZ6" s="1504" t="str">
        <f>IF(OR(BD6=INDEX(materials,        1),
                           BD6=INDEX(layer,                 1),
                           BD6=INDEX(layer15,            1),
                           BD6=INDEX(Windows,        1),
                           BD6=INDEX(AptWindow,   1),
                           BD6=INDEX(AtticMat,          1),
                           BD6=INDEX(AITPIAUU,        1),
                           BD6=INDEX(AUU,                   1),
                           BD6=INDEX(CellarMat,        1),
                           BD6=INDEX(LampsNew,     1),
                           BD6=INDEX(ОсвНар,            1)),
               "-",
               BD6)</f>
        <v>-</v>
      </c>
      <c r="BA6" s="1504" t="str">
        <f>IF(OR(BE6=INDEX(materials,        1),
                           BE6=INDEX(layer,                 1),
                           BE6=INDEX(layer15,            1),
                           BE6=INDEX(Windows,        1),
                           BE6=INDEX(AptWindow,   1),
                           BE6=INDEX(AtticMat,          1),
                           BE6=INDEX(AITPIAUU,        1),
                           BE6=INDEX(AUU,                   1),
                           BE6=INDEX(CellarMat,        1),
                           BE6=INDEX(LampsNew,     1),
                           BE6=INDEX(ОсвНар,            1)),
               "-",
               BE6)</f>
        <v>-</v>
      </c>
      <c r="BB6" s="1703">
        <f>H17</f>
        <v>0</v>
      </c>
      <c r="BD6" s="60" t="str">
        <f>D17</f>
        <v>Пожалуйста, выберите конструкцию</v>
      </c>
      <c r="BE6" s="60" t="s">
        <v>746</v>
      </c>
    </row>
    <row r="7" spans="1:57" ht="15.75" x14ac:dyDescent="0.25">
      <c r="A7" s="1152" t="str">
        <f>IF(SUM(AD8:AD15)&gt;0,"Ошибка","")</f>
        <v/>
      </c>
      <c r="B7" s="50"/>
      <c r="C7" s="1153"/>
      <c r="D7" s="1154" t="s">
        <v>1371</v>
      </c>
      <c r="E7" s="1144"/>
      <c r="F7" s="1155"/>
      <c r="G7" s="1155"/>
      <c r="H7" s="1155"/>
      <c r="I7" s="1155"/>
      <c r="J7" s="1155"/>
      <c r="K7" s="1155"/>
      <c r="L7" s="1144"/>
      <c r="M7" s="50"/>
      <c r="N7" s="50"/>
      <c r="O7" s="1160">
        <f>SUM(O9,O12,O13,O14,O16)</f>
        <v>0</v>
      </c>
      <c r="P7" s="1160"/>
      <c r="Q7" s="1160"/>
      <c r="R7" s="1161" t="e">
        <f ca="1">O7/'Расчет базового уровня'!$D$35*1163</f>
        <v>#DIV/0!</v>
      </c>
      <c r="S7" s="1162" t="e">
        <f ca="1">R7</f>
        <v>#DIV/0!</v>
      </c>
      <c r="T7" s="1163"/>
      <c r="U7" s="1163"/>
      <c r="V7" s="1161" t="e">
        <f ca="1">(O7+P7)/'Расчет базового уровня'!$D$9*1163</f>
        <v>#DIV/0!</v>
      </c>
      <c r="W7" s="1164" t="e">
        <f ca="1">(S7*'Расчет базового уровня'!$D$35+'Список мероприятий'!U7*'Расчет базового уровня'!$D$15)/'Расчет базового уровня'!$D$9</f>
        <v>#DIV/0!</v>
      </c>
      <c r="X7" s="1164"/>
      <c r="Y7" s="1164"/>
      <c r="Z7" s="50"/>
      <c r="AA7" s="1159"/>
      <c r="AB7" s="1135"/>
      <c r="AC7" s="1136"/>
      <c r="AD7" s="1165"/>
      <c r="AE7" s="1165"/>
      <c r="AF7" s="50"/>
      <c r="AG7" s="50"/>
      <c r="AH7" s="50"/>
      <c r="AI7" s="50"/>
      <c r="AJ7" s="50"/>
      <c r="AK7" s="50"/>
      <c r="AL7" s="50"/>
      <c r="AM7" s="50"/>
      <c r="AN7" s="50"/>
      <c r="AO7" s="50"/>
      <c r="AP7" s="50"/>
      <c r="AQ7" s="50"/>
      <c r="AR7" s="50"/>
      <c r="AS7" s="50"/>
      <c r="AU7" s="51">
        <v>25</v>
      </c>
      <c r="AV7" s="1701" t="b">
        <f>IF(AND(AB78&gt;0,AC78),TRUE,FALSE)</f>
        <v>0</v>
      </c>
      <c r="AW7" s="228" t="str">
        <f>IF(AV7,COUNTIF(AV$5:AV7,TRUE),"")</f>
        <v/>
      </c>
      <c r="AX7" s="228"/>
      <c r="AY7" s="1707" t="s">
        <v>1832</v>
      </c>
      <c r="AZ7" s="1498" t="str">
        <f>IF(OR(BD7=INDEX(materials,        1),
                           BD7=INDEX(layer,                 1),
                           BD7=INDEX(layer15,            1),
                           BD7=INDEX(Windows,        1),
                           BD7=INDEX(AptWindow,   1),
                           BD7=INDEX(AtticMat,          1),
                           BD7=INDEX(AITPIAUU,        1),
                           BD7=INDEX(AUU,                   1),
                           BD7=INDEX(CellarMat,        1),
                           BD7=INDEX(LampsNew,     1),
                           BD7=INDEX(ОсвНар,            1)),
               "-",
               "Источник света: "&amp;BD7)</f>
        <v>Источник света: натриевые газоразрядные лампы (ДНаТ)</v>
      </c>
      <c r="BA7" s="1498" t="str">
        <f>IF(OR(BE7=INDEX(materials,        1),
                           BE7=INDEX(layer,                 1),
                           BE7=INDEX(layer15,            1),
                           BE7=INDEX(Windows,        1),
                           BE7=INDEX(AptWindow,   1),
                           BE7=INDEX(AtticMat,          1),
                           BE7=INDEX(AITPIAUU,        1),
                           BE7=INDEX(AUU,                   1),
                           BE7=INDEX(CellarMat,        1),
                           BE7=INDEX(LampsNew,     1),
                           BE7=INDEX(ОсвНар,            1)),
               "-",
               BE7)</f>
        <v>-</v>
      </c>
      <c r="BB7" s="1705">
        <f>H78</f>
        <v>0</v>
      </c>
      <c r="BD7" s="60" t="str">
        <f>D79</f>
        <v>натриевые газоразрядные лампы (ДНаТ)</v>
      </c>
      <c r="BE7" s="1697" t="s">
        <v>746</v>
      </c>
    </row>
    <row r="8" spans="1:57" ht="17.25" customHeight="1" x14ac:dyDescent="0.25">
      <c r="A8" s="1166" t="str">
        <f>IF(OR(AND(AA8=0,AB8=1),AND(AA8=1,AB8=0)),"Ошибка","")</f>
        <v/>
      </c>
      <c r="B8" s="50"/>
      <c r="C8" s="1167"/>
      <c r="D8" s="1168" t="s">
        <v>1268</v>
      </c>
      <c r="E8" s="2093" t="s">
        <v>1696</v>
      </c>
      <c r="F8" s="1277" t="s">
        <v>1693</v>
      </c>
      <c r="G8" s="1277" t="s">
        <v>1285</v>
      </c>
      <c r="H8" s="1277" t="s">
        <v>1284</v>
      </c>
      <c r="I8" s="1277" t="s">
        <v>1284</v>
      </c>
      <c r="J8" s="1277" t="s">
        <v>1284</v>
      </c>
      <c r="K8" s="1277" t="s">
        <v>1284</v>
      </c>
      <c r="L8" s="2096" t="s">
        <v>1421</v>
      </c>
      <c r="M8" s="50"/>
      <c r="N8" s="50"/>
      <c r="O8" s="1169"/>
      <c r="P8" s="1169"/>
      <c r="Q8" s="1169"/>
      <c r="R8" s="1151"/>
      <c r="S8" s="1151"/>
      <c r="T8" s="1151"/>
      <c r="U8" s="1151"/>
      <c r="V8" s="1151"/>
      <c r="W8" s="1151"/>
      <c r="X8" s="1151"/>
      <c r="Y8" s="1151"/>
      <c r="Z8" s="50"/>
      <c r="AA8" s="1165"/>
      <c r="AB8" s="1137"/>
      <c r="AC8" s="1138"/>
      <c r="AD8" s="1165">
        <f>IF(AND(AA8=1,A8="ОШИБКА"),1,0)</f>
        <v>0</v>
      </c>
      <c r="AF8" s="50"/>
      <c r="AG8" s="50"/>
      <c r="AH8" s="50"/>
      <c r="AI8" s="50"/>
      <c r="AJ8" s="50"/>
      <c r="AK8" s="50"/>
      <c r="AL8" s="50"/>
      <c r="AM8" s="50"/>
      <c r="AN8" s="50"/>
      <c r="AO8" s="50"/>
      <c r="AP8" s="50"/>
      <c r="AQ8" s="50"/>
      <c r="AR8" s="50"/>
      <c r="AS8" s="50"/>
      <c r="AU8" s="51">
        <v>1</v>
      </c>
      <c r="AV8" s="1699" t="b">
        <f>IF(AND(AB9&gt;0,AC9),TRUE,FALSE)</f>
        <v>0</v>
      </c>
      <c r="AW8" s="69" t="str">
        <f>IF(AV8,COUNTIF(AV$5:AV8,TRUE),"")</f>
        <v/>
      </c>
      <c r="AX8" s="69" t="str">
        <f>IF(AV8,COUNTIF(AV$8:AV8,TRUE),"")</f>
        <v/>
      </c>
      <c r="AY8" s="240" t="s">
        <v>1268</v>
      </c>
      <c r="AZ8" s="1504" t="str">
        <f t="shared" ref="AZ8:AZ28" si="0">IF(OR(BD8=INDEX(materials,        1),
                           BD8=INDEX(layer,                 1),
                           BD8=INDEX(layer15,            1),
                           BD8=INDEX(Windows,        1),
                           BD8=INDEX(AptWindow,   1),
                           BD8=INDEX(AtticMat,          1),
                           BD8=INDEX(AITPIAUU,        1),
                           BD8=INDEX(AUU,                   1),
                           BD8=INDEX(CellarMat,        1),
                           BD8=INDEX(LampsNew,     1),
                           BD8=INDEX(ОсвНар,            1)),
               "-",
               BD8)</f>
        <v>-</v>
      </c>
      <c r="BA8" s="1504" t="str">
        <f>IF(OR(BE8=INDEX(materials,        1),
                           BE8=INDEX(layer,                 1),
                           BE8=INDEX(layer15,            1),
                           BE8=INDEX(Windows,        1),
                           BE8=INDEX(AptWindow,   1),
                           BE8=INDEX(AtticMat,          1),
                           BE8=INDEX(AITPIAUU,        1),
                           BE8=INDEX(AUU,                   1),
                           BE8=INDEX(CellarMat,        1),
                           BE8=INDEX(LampsNew,     1),
                           BE8=INDEX(ОсвНар,            1)),
               "-",
               "Толщина утеплителя "&amp;BE8&amp;" см")</f>
        <v>-</v>
      </c>
      <c r="BB8" s="1703">
        <f>H9</f>
        <v>0</v>
      </c>
      <c r="BD8" s="60" t="str">
        <f>D10</f>
        <v>Пожалуйста, выберите технологию</v>
      </c>
      <c r="BE8" s="60" t="str">
        <f>D11</f>
        <v>Пожалуйста, выберите толщину утеплителя, см</v>
      </c>
    </row>
    <row r="9" spans="1:57" ht="15" customHeight="1" x14ac:dyDescent="0.25">
      <c r="A9" s="1166" t="str">
        <f>IF(OR(AND(AA9=0,AC9=TRUE)),"Ошибка","")</f>
        <v/>
      </c>
      <c r="B9" s="50"/>
      <c r="C9" s="1167"/>
      <c r="D9" s="1170" t="s">
        <v>1750</v>
      </c>
      <c r="E9" s="2094"/>
      <c r="F9" s="2099">
        <f>'Расчет базового уровня'!B136</f>
        <v>0</v>
      </c>
      <c r="G9" s="2102"/>
      <c r="H9" s="2105">
        <f>I9+J9+K9</f>
        <v>0</v>
      </c>
      <c r="I9" s="2106"/>
      <c r="J9" s="2106">
        <f>IF(AB15=1,G9*F9,0)</f>
        <v>0</v>
      </c>
      <c r="K9" s="2106"/>
      <c r="L9" s="2097"/>
      <c r="M9" s="50"/>
      <c r="N9" s="50"/>
      <c r="O9" s="1169">
        <f>IF(AB9=1,0.024*'Расчет после реализации'!D149*'Расчет после реализации'!B136*(1/'Расчет базового уровня'!C136-1/'Расчет после реализации'!C136),0)/1163</f>
        <v>0</v>
      </c>
      <c r="P9" s="1169"/>
      <c r="Q9" s="1169"/>
      <c r="R9" s="1171" t="e">
        <f ca="1">O9*1163/'Расчет базового уровня'!$D$35</f>
        <v>#DIV/0!</v>
      </c>
      <c r="S9" s="1172" t="e">
        <f ca="1">R9</f>
        <v>#DIV/0!</v>
      </c>
      <c r="T9" s="1151"/>
      <c r="U9" s="1151"/>
      <c r="V9" s="1171" t="e">
        <f ca="1">(O9+P9)*1163/'Расчет базового уровня'!$D$9</f>
        <v>#DIV/0!</v>
      </c>
      <c r="W9" s="1173" t="e">
        <f ca="1">(S9*'Расчет базового уровня'!$D$35+'Список мероприятий'!U9*'Расчет базового уровня'!$D$15)/'Расчет базового уровня'!$D$9</f>
        <v>#DIV/0!</v>
      </c>
      <c r="X9" s="1173"/>
      <c r="Y9" s="1173"/>
      <c r="Z9" s="50">
        <f>IF(AB9-AA9=1,1,0)</f>
        <v>0</v>
      </c>
      <c r="AA9" s="1165">
        <f>IF(AND('Ввод исходных данных'!$D$12&lt;3000),1,0)</f>
        <v>1</v>
      </c>
      <c r="AB9" s="1137">
        <f>IF(AND(AC9=TRUE,AA9=1),1,0)</f>
        <v>0</v>
      </c>
      <c r="AC9" s="1138" t="b">
        <v>0</v>
      </c>
      <c r="AD9" s="1165">
        <f>IF(AND(AA9=1,A9="ОШИБКА"),1,0)</f>
        <v>0</v>
      </c>
      <c r="AE9" s="51" t="str">
        <f>IF(AB9=1,CONCATENATE(D8," - ",D10," - ",D11,"см",CHAR(10)),"")</f>
        <v/>
      </c>
      <c r="AF9" s="50"/>
      <c r="AG9" s="50"/>
      <c r="AH9" s="50"/>
      <c r="AI9" s="50"/>
      <c r="AJ9" s="50"/>
      <c r="AK9" s="50"/>
      <c r="AL9" s="50"/>
      <c r="AM9" s="50"/>
      <c r="AN9" s="50"/>
      <c r="AO9" s="50"/>
      <c r="AP9" s="50"/>
      <c r="AQ9" s="50"/>
      <c r="AR9" s="50"/>
      <c r="AS9" s="50"/>
      <c r="AU9" s="51">
        <v>2</v>
      </c>
      <c r="AV9" s="1699" t="b">
        <f>IF(AND(AB12&gt;0,AC12),TRUE,FALSE)</f>
        <v>0</v>
      </c>
      <c r="AW9" s="69" t="str">
        <f>IF(AV9,COUNTIF(AV$5:AV9,TRUE),"")</f>
        <v/>
      </c>
      <c r="AX9" s="69" t="str">
        <f>IF(AV9,COUNTIF(AV$8:AV9,TRUE),"")</f>
        <v/>
      </c>
      <c r="AY9" s="240" t="s">
        <v>2380</v>
      </c>
      <c r="AZ9" s="1504" t="str">
        <f t="shared" si="0"/>
        <v>-</v>
      </c>
      <c r="BA9" s="1504" t="str">
        <f>IF(OR(BE9=INDEX(materials,        1),
                           BE9=INDEX(layer,                 1),
                           BE9=INDEX(layer15,            1),
                           BE9=INDEX(Windows,        1),
                           BE9=INDEX(AptWindow,   1),
                           BE9=INDEX(AtticMat,          1),
                           BE9=INDEX(AITPIAUU,        1),
                           BE9=INDEX(AUU,                   1),
                           BE9=INDEX(CellarMat,        1),
                           BE9=INDEX(LampsNew,     1),
                           BE9=INDEX(ОсвНар,            1)),
               "-",
               BE9)</f>
        <v>-</v>
      </c>
      <c r="BB9" s="1703">
        <f>H12</f>
        <v>0</v>
      </c>
      <c r="BD9" s="1697" t="s">
        <v>746</v>
      </c>
      <c r="BE9" s="1697" t="s">
        <v>746</v>
      </c>
    </row>
    <row r="10" spans="1:57" ht="15" customHeight="1" x14ac:dyDescent="0.25">
      <c r="A10" s="1166" t="str">
        <f>IF(OR(AND(AA10=0,AB10=1),AND(AA10=1,AB10=0)),"Ошибка","")</f>
        <v/>
      </c>
      <c r="B10" s="50"/>
      <c r="C10" s="1167"/>
      <c r="D10" s="1241" t="s">
        <v>1252</v>
      </c>
      <c r="E10" s="2094"/>
      <c r="F10" s="2100"/>
      <c r="G10" s="2103"/>
      <c r="H10" s="2105"/>
      <c r="I10" s="2106"/>
      <c r="J10" s="2106"/>
      <c r="K10" s="2106"/>
      <c r="L10" s="2097"/>
      <c r="M10" s="50"/>
      <c r="N10" s="50"/>
      <c r="O10" s="1169"/>
      <c r="P10" s="1169"/>
      <c r="Q10" s="1169"/>
      <c r="R10" s="1151"/>
      <c r="S10" s="1151"/>
      <c r="T10" s="1151"/>
      <c r="U10" s="1151"/>
      <c r="V10" s="1151"/>
      <c r="W10" s="1151"/>
      <c r="X10" s="1151"/>
      <c r="Y10" s="1151"/>
      <c r="Z10" s="50"/>
      <c r="AA10" s="1165">
        <f>IF(AND('Ввод исходных данных'!$D$12&lt;3000,AB9=1),1,0)</f>
        <v>0</v>
      </c>
      <c r="AB10" s="1137">
        <f>IF(D10="Пожалуйста, выберите технологию",0,1)</f>
        <v>0</v>
      </c>
      <c r="AC10" s="1138"/>
      <c r="AD10" s="1165">
        <f>IF(AND(AA10=1,A10="ОШИБКА"),1,0)</f>
        <v>0</v>
      </c>
      <c r="AF10" s="50"/>
      <c r="AG10" s="50"/>
      <c r="AH10" s="50"/>
      <c r="AI10" s="50"/>
      <c r="AJ10" s="50"/>
      <c r="AK10" s="50"/>
      <c r="AL10" s="50"/>
      <c r="AM10" s="50"/>
      <c r="AN10" s="50"/>
      <c r="AO10" s="50"/>
      <c r="AP10" s="50"/>
      <c r="AQ10" s="50"/>
      <c r="AR10" s="50"/>
      <c r="AS10" s="50"/>
      <c r="AU10" s="51">
        <v>4</v>
      </c>
      <c r="AV10" s="1699" t="b">
        <f>IF(AND(AB14&gt;0,AC14),TRUE,FALSE)</f>
        <v>0</v>
      </c>
      <c r="AW10" s="69" t="str">
        <f>IF(AV10,COUNTIF(AV$5:AV10,TRUE),"")</f>
        <v/>
      </c>
      <c r="AX10" s="69" t="str">
        <f>IF(AV10,COUNTIF(AV$8:AV10,TRUE),"")</f>
        <v/>
      </c>
      <c r="AY10" s="240" t="s">
        <v>1752</v>
      </c>
      <c r="AZ10" s="1504" t="str">
        <f t="shared" si="0"/>
        <v>-</v>
      </c>
      <c r="BA10" s="1504" t="str">
        <f>IF(OR(BE10=INDEX(materials,        1),
                           BE10=INDEX(layer,                 1),
                           BE10=INDEX(layer15,            1),
                           BE10=INDEX(Windows,        1),
                           BE10=INDEX(AptWindow,   1),
                           BE10=INDEX(AtticMat,          1),
                           BE10=INDEX(AITPIAUU,        1),
                           BE10=INDEX(AUU,                   1),
                           BE10=INDEX(CellarMat,        1),
                           BE10=INDEX(LampsNew,     1),
                           BE10=INDEX(ОсвНар,            1)),
               "-",
               BE10)</f>
        <v>-</v>
      </c>
      <c r="BB10" s="1703">
        <f>H15</f>
        <v>0</v>
      </c>
      <c r="BD10" s="60" t="str">
        <f>D15</f>
        <v>Пожалуйста, выберите конструкцию</v>
      </c>
      <c r="BE10" s="60" t="s">
        <v>746</v>
      </c>
    </row>
    <row r="11" spans="1:57" ht="15" customHeight="1" x14ac:dyDescent="0.25">
      <c r="A11" s="1166" t="str">
        <f>IF(OR(AND(AA11=0,AB11=1),AND(AA11=1,AB11=0)),"Ошибка","")</f>
        <v/>
      </c>
      <c r="B11" s="50"/>
      <c r="C11" s="1167"/>
      <c r="D11" s="1241" t="s">
        <v>1251</v>
      </c>
      <c r="E11" s="2094"/>
      <c r="F11" s="2101"/>
      <c r="G11" s="2104"/>
      <c r="H11" s="2105"/>
      <c r="I11" s="2106"/>
      <c r="J11" s="2106"/>
      <c r="K11" s="2106"/>
      <c r="L11" s="2098"/>
      <c r="M11" s="50"/>
      <c r="N11" s="50"/>
      <c r="O11" s="1169"/>
      <c r="P11" s="1169"/>
      <c r="Q11" s="1169"/>
      <c r="R11" s="1151"/>
      <c r="S11" s="1151"/>
      <c r="T11" s="1151"/>
      <c r="U11" s="1151"/>
      <c r="V11" s="1151"/>
      <c r="W11" s="1151"/>
      <c r="X11" s="1151"/>
      <c r="Y11" s="1151"/>
      <c r="Z11" s="50"/>
      <c r="AA11" s="1165">
        <f>IF(AND('Ввод исходных данных'!$D$12&lt;3000,AB9=1),1,0)</f>
        <v>0</v>
      </c>
      <c r="AB11" s="1137">
        <f>IF(D11="Пожалуйста, выберите толщину утеплителя, см",0,1)</f>
        <v>0</v>
      </c>
      <c r="AC11" s="1138"/>
      <c r="AD11" s="1165">
        <f>IF(AND(AA11=1,A11="ОШИБКА"),1,0)</f>
        <v>0</v>
      </c>
      <c r="AF11" s="50"/>
      <c r="AG11" s="50"/>
      <c r="AH11" s="50"/>
      <c r="AI11" s="50"/>
      <c r="AJ11" s="50"/>
      <c r="AK11" s="50"/>
      <c r="AL11" s="50"/>
      <c r="AM11" s="50"/>
      <c r="AN11" s="50"/>
      <c r="AO11" s="50"/>
      <c r="AP11" s="50"/>
      <c r="AQ11" s="50"/>
      <c r="AR11" s="50"/>
      <c r="AS11" s="50"/>
      <c r="AU11" s="51">
        <v>6</v>
      </c>
      <c r="AV11" s="1699" t="b">
        <f>IF(AND(AB22&gt;0,AC22),TRUE,FALSE)</f>
        <v>0</v>
      </c>
      <c r="AW11" s="69" t="str">
        <f>IF(AV11,COUNTIF(AV$5:AV11,TRUE),"")</f>
        <v/>
      </c>
      <c r="AX11" s="69" t="str">
        <f>IF(AV11,COUNTIF(AV$8:AV11,TRUE),"")</f>
        <v/>
      </c>
      <c r="AY11" s="240" t="s">
        <v>1753</v>
      </c>
      <c r="AZ11" s="1504" t="str">
        <f t="shared" si="0"/>
        <v>-</v>
      </c>
      <c r="BA11" s="1504" t="str">
        <f>IF(OR(BE11=INDEX(materials,        1),
                           BE11=INDEX(layer,                 1),
                           BE11=INDEX(layer15,            1),
                           BE11=INDEX(Windows,        1),
                           BE11=INDEX(AptWindow,   1),
                           BE11=INDEX(AtticMat,          1),
                           BE11=INDEX(AITPIAUU,        1),
                           BE11=INDEX(AUU,                   1),
                           BE11=INDEX(CellarMat,        1),
                           BE11=INDEX(LampsNew,     1),
                           BE11=INDEX(ОсвНар,            1)),
               "-",
               "Толщина утеплителя "&amp;BE11&amp;" см")</f>
        <v>-</v>
      </c>
      <c r="BB11" s="1703">
        <f>H22</f>
        <v>0</v>
      </c>
      <c r="BD11" s="60" t="str">
        <f>D23</f>
        <v>Пожалуйста, выберите технологию</v>
      </c>
      <c r="BE11" s="60" t="str">
        <f>D24</f>
        <v>Пожалуйста, выберите толщину утеплителя, см</v>
      </c>
    </row>
    <row r="12" spans="1:57" ht="30" customHeight="1" x14ac:dyDescent="0.25">
      <c r="A12" s="1166" t="str">
        <f>IF(OR(AND(AA12=0,AC12=TRUE)),"Ошибка","")</f>
        <v/>
      </c>
      <c r="B12" s="50"/>
      <c r="C12" s="1167"/>
      <c r="D12" s="1168" t="s">
        <v>1751</v>
      </c>
      <c r="E12" s="2095"/>
      <c r="F12" s="1238">
        <f>F9</f>
        <v>0</v>
      </c>
      <c r="G12" s="1237"/>
      <c r="H12" s="1239">
        <f>I12+J12+K12</f>
        <v>0</v>
      </c>
      <c r="I12" s="1237"/>
      <c r="J12" s="1298">
        <f>IF(AB12=1,G12*F12,0)</f>
        <v>0</v>
      </c>
      <c r="K12" s="1237"/>
      <c r="L12" s="1174" t="s">
        <v>1422</v>
      </c>
      <c r="M12" s="50"/>
      <c r="N12" s="50"/>
      <c r="O12" s="1169">
        <f>IF(AB12=1,0.024*'Расчет после реализации'!D149*'Расчет после реализации'!B136*(1/'Расчет базового уровня'!C136-1/'Расчет после реализации'!C136),0)/1163</f>
        <v>0</v>
      </c>
      <c r="P12" s="1169"/>
      <c r="Q12" s="1169"/>
      <c r="R12" s="1171" t="e">
        <f ca="1">O12/'Расчет базового уровня'!$D$35*1163</f>
        <v>#DIV/0!</v>
      </c>
      <c r="S12" s="1172" t="e">
        <f ca="1">R12</f>
        <v>#DIV/0!</v>
      </c>
      <c r="T12" s="1151"/>
      <c r="U12" s="1151"/>
      <c r="V12" s="1171" t="e">
        <f ca="1">(O12+P12)/'Расчет базового уровня'!$D$9*1163</f>
        <v>#DIV/0!</v>
      </c>
      <c r="W12" s="1173" t="e">
        <f ca="1">(S12*'Расчет базового уровня'!$D$35+'Список мероприятий'!U12*'Расчет базового уровня'!$D$15)/'Расчет базового уровня'!$D$9</f>
        <v>#DIV/0!</v>
      </c>
      <c r="X12" s="1173"/>
      <c r="Y12" s="1173"/>
      <c r="Z12" s="50">
        <f>IF(AB12-AA12=1,1,0)</f>
        <v>0</v>
      </c>
      <c r="AA12" s="1165">
        <f>IF(AND('Ввод исходных данных'!D16&lt;&gt;"кирпич",'Ввод исходных данных'!D16&lt;&gt;"монолит",'Список мероприятий'!AB9=0),1,0)</f>
        <v>1</v>
      </c>
      <c r="AB12" s="1137">
        <f>IF(AND(AC12=TRUE,AA12=1),1,0)</f>
        <v>0</v>
      </c>
      <c r="AC12" s="1138" t="b">
        <v>0</v>
      </c>
      <c r="AD12" s="1165">
        <f>IF(AND(AA12=1,A12="ОШИБКА"),1,0)</f>
        <v>0</v>
      </c>
      <c r="AE12" s="51" t="str">
        <f>IF(AB12=1,CONCATENATE(D12," - ",CHAR(10)),"")</f>
        <v/>
      </c>
      <c r="AF12" s="50"/>
      <c r="AG12" s="50"/>
      <c r="AH12" s="50"/>
      <c r="AI12" s="50"/>
      <c r="AJ12" s="50"/>
      <c r="AK12" s="50"/>
      <c r="AL12" s="50"/>
      <c r="AM12" s="50"/>
      <c r="AN12" s="50"/>
      <c r="AO12" s="50"/>
      <c r="AP12" s="50"/>
      <c r="AQ12" s="50"/>
      <c r="AR12" s="50"/>
      <c r="AS12" s="50"/>
      <c r="AU12" s="51">
        <v>7</v>
      </c>
      <c r="AV12" s="1699" t="b">
        <f>IF(AND(AB26&gt;0,AC26),TRUE,FALSE)</f>
        <v>0</v>
      </c>
      <c r="AW12" s="69" t="str">
        <f>IF(AV12,COUNTIF(AV$5:AV12,TRUE),"")</f>
        <v/>
      </c>
      <c r="AX12" s="69" t="str">
        <f>IF(AV12,COUNTIF(AV$8:AV12,TRUE),"")</f>
        <v/>
      </c>
      <c r="AY12" s="240" t="s">
        <v>2381</v>
      </c>
      <c r="AZ12" s="1504" t="str">
        <f t="shared" si="0"/>
        <v>-</v>
      </c>
      <c r="BA12" s="1504" t="str">
        <f>IF(OR(BE12=INDEX(materials,        1),
                           BE12=INDEX(layer,                 1),
                           BE12=INDEX(layer15,            1),
                           BE12=INDEX(Windows,        1),
                           BE12=INDEX(AptWindow,   1),
                           BE12=INDEX(AtticMat,          1),
                           BE12=INDEX(AITPIAUU,        1),
                           BE12=INDEX(AUU,                   1),
                           BE12=INDEX(CellarMat,        1),
                           BE12=INDEX(LampsNew,     1),
                           BE12=INDEX(ОсвНар,            1)),
               "-",
               BE12)</f>
        <v>-</v>
      </c>
      <c r="BB12" s="1703">
        <f>H26</f>
        <v>0</v>
      </c>
      <c r="BD12" s="1697" t="s">
        <v>746</v>
      </c>
      <c r="BE12" s="1697" t="s">
        <v>746</v>
      </c>
    </row>
    <row r="13" spans="1:57" ht="32.25" customHeight="1" x14ac:dyDescent="0.25">
      <c r="A13" s="1166" t="str">
        <f>IF(OR(AND(AA13=0,AC13=TRUE)),"Ошибка","")</f>
        <v/>
      </c>
      <c r="B13" s="50"/>
      <c r="C13" s="1167"/>
      <c r="D13" s="1168" t="s">
        <v>1886</v>
      </c>
      <c r="E13" s="1192" t="s">
        <v>1887</v>
      </c>
      <c r="F13" s="1373"/>
      <c r="G13" s="1372"/>
      <c r="H13" s="1371">
        <f>I13+J13+K13</f>
        <v>0</v>
      </c>
      <c r="I13" s="1372"/>
      <c r="J13" s="1372">
        <f>IF(AB13=1,G13*F13,0)</f>
        <v>0</v>
      </c>
      <c r="K13" s="1372"/>
      <c r="L13" s="908"/>
      <c r="M13" s="50"/>
      <c r="N13" s="50"/>
      <c r="O13" s="1169">
        <f>IF(AB13=1,0.024*'Расчет после реализации'!D149*'Расчет после реализации'!D165*'Расчет после реализации'!B136/'Расчет после реализации'!C136*'Расчет после реализации'!D136/1163,0)</f>
        <v>0</v>
      </c>
      <c r="P13" s="1169"/>
      <c r="Q13" s="1169"/>
      <c r="R13" s="1171" t="e">
        <f ca="1">O13/'Расчет базового уровня'!$D$35*1163</f>
        <v>#DIV/0!</v>
      </c>
      <c r="S13" s="1172" t="e">
        <f ca="1">R13</f>
        <v>#DIV/0!</v>
      </c>
      <c r="T13" s="1151"/>
      <c r="U13" s="1151"/>
      <c r="V13" s="1171" t="e">
        <f ca="1">(O13+P13)/'Расчет базового уровня'!$D$9*1163</f>
        <v>#DIV/0!</v>
      </c>
      <c r="W13" s="1173" t="e">
        <f ca="1">(S13*'Расчет базового уровня'!$D$35+'Список мероприятий'!U13*'Расчет базового уровня'!$D$15)/'Расчет базового уровня'!$D$9</f>
        <v>#DIV/0!</v>
      </c>
      <c r="X13" s="1151"/>
      <c r="Y13" s="1151"/>
      <c r="Z13" s="50">
        <f>IF(AB13-AA13=1,1,0)</f>
        <v>0</v>
      </c>
      <c r="AA13" s="50">
        <v>1</v>
      </c>
      <c r="AB13" s="1137">
        <f>IF(AND(AA13=1,AC13=TRUE),1,0)</f>
        <v>0</v>
      </c>
      <c r="AC13" s="1134" t="b">
        <v>0</v>
      </c>
      <c r="AD13" s="50"/>
      <c r="AF13" s="50"/>
      <c r="AG13" s="50"/>
      <c r="AH13" s="50"/>
      <c r="AI13" s="50"/>
      <c r="AJ13" s="50"/>
      <c r="AK13" s="50"/>
      <c r="AL13" s="50"/>
      <c r="AM13" s="50"/>
      <c r="AN13" s="50"/>
      <c r="AO13" s="50"/>
      <c r="AP13" s="50"/>
      <c r="AQ13" s="50"/>
      <c r="AR13" s="50"/>
      <c r="AS13" s="50"/>
      <c r="AU13" s="51">
        <v>8</v>
      </c>
      <c r="AV13" s="1699" t="b">
        <f>IF(AND(AB29&gt;0,AC29),TRUE,FALSE)</f>
        <v>0</v>
      </c>
      <c r="AW13" s="69" t="str">
        <f>IF(AV13,COUNTIF(AV$5:AV13,TRUE),"")</f>
        <v/>
      </c>
      <c r="AX13" s="69" t="str">
        <f>IF(AV13,COUNTIF(AV$8:AV13,TRUE),"")</f>
        <v/>
      </c>
      <c r="AY13" s="240" t="s">
        <v>1269</v>
      </c>
      <c r="AZ13" s="1504" t="str">
        <f t="shared" si="0"/>
        <v>-</v>
      </c>
      <c r="BA13" s="1504" t="str">
        <f>IF(OR(BE13=INDEX(materials,        1),
                           BE13=INDEX(layer,                 1),
                           BE13=INDEX(layer15,            1),
                           BE13=INDEX(Windows,        1),
                           BE13=INDEX(AptWindow,   1),
                           BE13=INDEX(AtticMat,          1),
                           BE13=INDEX(AITPIAUU,        1),
                           BE13=INDEX(AUU,                   1),
                           BE13=INDEX(CellarMat,        1),
                           BE13=INDEX(LampsNew,     1),
                           BE13=INDEX(ОсвНар,            1)),
               "-",
               "Толщина утеплителя "&amp;BE13&amp;" см")</f>
        <v>-</v>
      </c>
      <c r="BB13" s="1703">
        <f>H29</f>
        <v>0</v>
      </c>
      <c r="BD13" s="60" t="str">
        <f>D30</f>
        <v>Пожалуйста, выберите технологию</v>
      </c>
      <c r="BE13" s="60" t="str">
        <f>D31</f>
        <v>Пожалуйста, выберите толщину утеплителя, см</v>
      </c>
    </row>
    <row r="14" spans="1:57" ht="29.1" customHeight="1" x14ac:dyDescent="0.25">
      <c r="A14" s="1166" t="str">
        <f>IF(AND(AA14=0,AC14=TRUE),"Ошибка","")</f>
        <v/>
      </c>
      <c r="B14" s="50"/>
      <c r="C14" s="1167"/>
      <c r="D14" s="1176" t="s">
        <v>1752</v>
      </c>
      <c r="E14" s="2093" t="s">
        <v>1694</v>
      </c>
      <c r="F14" s="1277" t="s">
        <v>1286</v>
      </c>
      <c r="G14" s="1277" t="s">
        <v>1285</v>
      </c>
      <c r="H14" s="1277" t="s">
        <v>1284</v>
      </c>
      <c r="I14" s="1277" t="s">
        <v>1284</v>
      </c>
      <c r="J14" s="1277" t="s">
        <v>1284</v>
      </c>
      <c r="K14" s="1277" t="s">
        <v>1284</v>
      </c>
      <c r="L14" s="908"/>
      <c r="M14" s="50"/>
      <c r="N14" s="50"/>
      <c r="O14" s="1169">
        <f>IF(AB14=1,0.024*'Расчет после реализации'!D149*'Расчет после реализации'!B138*(1/'Расчет базового уровня'!C138-1/'Расчет после реализации'!C138)+'Расчет базового уровня'!D192-'Расчет после реализации'!D190,0)/1163</f>
        <v>0</v>
      </c>
      <c r="P14" s="1169"/>
      <c r="Q14" s="1169"/>
      <c r="R14" s="1171" t="e">
        <f ca="1">O14/'Расчет базового уровня'!$D$35*1163</f>
        <v>#DIV/0!</v>
      </c>
      <c r="S14" s="1172" t="e">
        <f ca="1">R14</f>
        <v>#DIV/0!</v>
      </c>
      <c r="T14" s="1151"/>
      <c r="U14" s="1151"/>
      <c r="V14" s="1173" t="e">
        <f ca="1">(O14+P14)/'Расчет базового уровня'!$D$9*1163</f>
        <v>#DIV/0!</v>
      </c>
      <c r="W14" s="1173" t="e">
        <f ca="1">(S14*'Расчет базового уровня'!$D$35+'Список мероприятий'!U14*'Расчет базового уровня'!$D$15)/'Расчет базового уровня'!$D$9</f>
        <v>#DIV/0!</v>
      </c>
      <c r="X14" s="1173"/>
      <c r="Y14" s="1173"/>
      <c r="Z14" s="50">
        <f>IF(AB14-AA14=1,1,0)</f>
        <v>0</v>
      </c>
      <c r="AA14" s="1165">
        <v>1</v>
      </c>
      <c r="AB14" s="1137">
        <f>IF(AND(AA14=1,AC14=TRUE),1,0)</f>
        <v>0</v>
      </c>
      <c r="AC14" s="1138" t="b">
        <v>0</v>
      </c>
      <c r="AD14" s="1165">
        <f>IF(AND(AA14=1,A14="ОШИБКА"),1,0)</f>
        <v>0</v>
      </c>
      <c r="AE14" s="51" t="str">
        <f>IF(AB14=1,CONCATENATE(D14," - ",D15,CHAR(10)),"")</f>
        <v/>
      </c>
      <c r="AF14" s="50"/>
      <c r="AG14" s="50"/>
      <c r="AH14" s="50"/>
      <c r="AI14" s="50"/>
      <c r="AJ14" s="50"/>
      <c r="AK14" s="50"/>
      <c r="AL14" s="50"/>
      <c r="AM14" s="50"/>
      <c r="AN14" s="50"/>
      <c r="AO14" s="50"/>
      <c r="AP14" s="50"/>
      <c r="AQ14" s="50"/>
      <c r="AR14" s="50"/>
      <c r="AS14" s="50"/>
      <c r="AU14" s="51">
        <v>9</v>
      </c>
      <c r="AV14" s="1699" t="b">
        <f>IF(AND(AB34&gt;0,AC34),TRUE,FALSE)</f>
        <v>1</v>
      </c>
      <c r="AW14" s="69">
        <f>IF(AV14,COUNTIF(AV$5:AV14,TRUE),"")</f>
        <v>1</v>
      </c>
      <c r="AX14" s="69">
        <f>IF(AV14,COUNTIF(AV$8:AV14,TRUE),"")</f>
        <v>1</v>
      </c>
      <c r="AY14" s="240" t="s">
        <v>2387</v>
      </c>
      <c r="AZ14" s="1504" t="str">
        <f t="shared" si="0"/>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
      <c r="BA14" s="1504" t="str">
        <f t="shared" ref="BA14:BA25" si="1">IF(OR(BE14=INDEX(materials,        1),
                           BE14=INDEX(layer,                 1),
                           BE14=INDEX(layer15,            1),
                           BE14=INDEX(Windows,        1),
                           BE14=INDEX(AptWindow,   1),
                           BE14=INDEX(AtticMat,          1),
                           BE14=INDEX(AITPIAUU,        1),
                           BE14=INDEX(AUU,                   1),
                           BE14=INDEX(CellarMat,        1),
                           BE14=INDEX(LampsNew,     1),
                           BE14=INDEX(ОсвНар,            1)),
               "-",
               BE14)</f>
        <v>-</v>
      </c>
      <c r="BB14" s="1703">
        <f>H34</f>
        <v>0</v>
      </c>
      <c r="BD14" s="60" t="str">
        <f>D35</f>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
      <c r="BE14" s="60" t="s">
        <v>746</v>
      </c>
    </row>
    <row r="15" spans="1:57" ht="46.5" customHeight="1" x14ac:dyDescent="0.25">
      <c r="A15" s="1166" t="str">
        <f>IF(OR(AND(AA15=0,AB15=1),AND(AA15=1,AB15=0)),"Ошибка","")</f>
        <v/>
      </c>
      <c r="B15" s="50"/>
      <c r="C15" s="1167"/>
      <c r="D15" s="1243" t="s">
        <v>1254</v>
      </c>
      <c r="E15" s="2095"/>
      <c r="F15" s="1237">
        <f>'Ввод исходных данных'!G66-'Ввод исходных данных'!D34</f>
        <v>0</v>
      </c>
      <c r="G15" s="1237"/>
      <c r="H15" s="1239">
        <f>I15+J15+K15</f>
        <v>0</v>
      </c>
      <c r="I15" s="1237"/>
      <c r="J15" s="1298">
        <f>IF(AB15=1,G15*F15,0)</f>
        <v>0</v>
      </c>
      <c r="K15" s="1237"/>
      <c r="L15" s="908"/>
      <c r="M15" s="50"/>
      <c r="N15" s="50"/>
      <c r="O15" s="1169"/>
      <c r="P15" s="1169"/>
      <c r="Q15" s="1169"/>
      <c r="R15" s="1151"/>
      <c r="S15" s="1151"/>
      <c r="T15" s="1151"/>
      <c r="U15" s="1151"/>
      <c r="V15" s="1151"/>
      <c r="W15" s="1151"/>
      <c r="X15" s="1151"/>
      <c r="Y15" s="1151"/>
      <c r="Z15" s="50"/>
      <c r="AA15" s="1165">
        <f>IF(AND(AB14=1,'Ввод исходных данных'!$D$12&lt;2000),1,0)</f>
        <v>0</v>
      </c>
      <c r="AB15" s="1137">
        <f>IF(D15&lt;&gt;списки!N32,1,0)</f>
        <v>0</v>
      </c>
      <c r="AC15" s="1138"/>
      <c r="AD15" s="1165">
        <f>IF(AND(AA15=1,A15="ОШИБКА"),1,0)</f>
        <v>0</v>
      </c>
      <c r="AF15" s="50"/>
      <c r="AG15" s="50"/>
      <c r="AH15" s="50"/>
      <c r="AI15" s="50"/>
      <c r="AJ15" s="50"/>
      <c r="AK15" s="50"/>
      <c r="AL15" s="50"/>
      <c r="AM15" s="50"/>
      <c r="AN15" s="50"/>
      <c r="AO15" s="50"/>
      <c r="AP15" s="50"/>
      <c r="AQ15" s="50"/>
      <c r="AR15" s="50"/>
      <c r="AS15" s="50"/>
      <c r="AU15" s="51">
        <v>10</v>
      </c>
      <c r="AV15" s="1699" t="b">
        <f>IF(AND(AB36&gt;0,AC36),TRUE,FALSE)</f>
        <v>0</v>
      </c>
      <c r="AW15" s="69" t="str">
        <f>IF(AV15,COUNTIF(AV$5:AV15,TRUE),"")</f>
        <v/>
      </c>
      <c r="AX15" s="69" t="str">
        <f>IF(AV15,COUNTIF(AV$8:AV15,TRUE),"")</f>
        <v/>
      </c>
      <c r="AY15" s="240" t="s">
        <v>2388</v>
      </c>
      <c r="AZ15" s="1504" t="str">
        <f t="shared" si="0"/>
        <v>-</v>
      </c>
      <c r="BA15" s="1504" t="str">
        <f t="shared" si="1"/>
        <v>-</v>
      </c>
      <c r="BB15" s="1703">
        <f>H36</f>
        <v>0</v>
      </c>
      <c r="BD15" s="1697" t="s">
        <v>746</v>
      </c>
      <c r="BE15" s="1697" t="s">
        <v>746</v>
      </c>
    </row>
    <row r="16" spans="1:57" ht="32.25" customHeight="1" x14ac:dyDescent="0.25">
      <c r="A16" s="1166" t="str">
        <f>IF(AND(AA16=0,AC16=TRUE),"Ошибка","")</f>
        <v/>
      </c>
      <c r="B16" s="50"/>
      <c r="C16" s="1167"/>
      <c r="D16" s="1176" t="s">
        <v>1831</v>
      </c>
      <c r="E16" s="2093" t="s">
        <v>1694</v>
      </c>
      <c r="F16" s="1277" t="s">
        <v>1286</v>
      </c>
      <c r="G16" s="1277" t="s">
        <v>1285</v>
      </c>
      <c r="H16" s="1277" t="s">
        <v>1284</v>
      </c>
      <c r="I16" s="1277" t="s">
        <v>1284</v>
      </c>
      <c r="J16" s="1277" t="s">
        <v>1284</v>
      </c>
      <c r="K16" s="1277" t="s">
        <v>1284</v>
      </c>
      <c r="L16" s="908"/>
      <c r="M16" s="50"/>
      <c r="N16" s="50"/>
      <c r="O16" s="1169">
        <f>IF(AB16=1,0.024*'Расчет после реализации'!D149*'Расчет после реализации'!B137*(1/'Расчет базового уровня'!C137-1/'Расчет после реализации'!C137),0)/1163</f>
        <v>0</v>
      </c>
      <c r="P16" s="1169"/>
      <c r="Q16" s="1169"/>
      <c r="R16" s="1171" t="e">
        <f ca="1">O16/'Расчет базового уровня'!$D$35*1163</f>
        <v>#DIV/0!</v>
      </c>
      <c r="S16" s="1172" t="e">
        <f ca="1">R16</f>
        <v>#DIV/0!</v>
      </c>
      <c r="T16" s="1151"/>
      <c r="U16" s="1151"/>
      <c r="V16" s="1173" t="e">
        <f ca="1">(O16+P16)/'Расчет базового уровня'!$D$9*1163</f>
        <v>#DIV/0!</v>
      </c>
      <c r="W16" s="1173" t="e">
        <f ca="1">(S16*'Расчет базового уровня'!$D$35+'Список мероприятий'!U16*'Расчет базового уровня'!$D$15)/'Расчет базового уровня'!$D$9</f>
        <v>#DIV/0!</v>
      </c>
      <c r="X16" s="1151"/>
      <c r="Y16" s="1151"/>
      <c r="Z16" s="50">
        <f>IF(AB16-AA16=1,1,0)</f>
        <v>0</v>
      </c>
      <c r="AA16" s="1165">
        <v>1</v>
      </c>
      <c r="AB16" s="1137">
        <f>IF(AND(AA16=1,AC16=TRUE),1,0)</f>
        <v>0</v>
      </c>
      <c r="AC16" s="1138" t="b">
        <v>0</v>
      </c>
      <c r="AD16" s="1165"/>
      <c r="AE16" s="51" t="str">
        <f>IF(AB16=1,CONCATENATE(D16," - ",D17,CHAR(10)),"")</f>
        <v/>
      </c>
      <c r="AF16" s="50"/>
      <c r="AG16" s="50"/>
      <c r="AH16" s="50"/>
      <c r="AI16" s="50"/>
      <c r="AJ16" s="50"/>
      <c r="AK16" s="50"/>
      <c r="AL16" s="50"/>
      <c r="AM16" s="50"/>
      <c r="AN16" s="50"/>
      <c r="AO16" s="50"/>
      <c r="AP16" s="50"/>
      <c r="AQ16" s="50"/>
      <c r="AR16" s="50"/>
      <c r="AS16" s="50"/>
      <c r="AU16" s="51">
        <v>11</v>
      </c>
      <c r="AV16" s="1699" t="b">
        <f>IF(AND(AB37&gt;0,AC37),TRUE,FALSE)</f>
        <v>0</v>
      </c>
      <c r="AW16" s="69" t="str">
        <f>IF(AV16,COUNTIF(AV$5:AV16,TRUE),"")</f>
        <v/>
      </c>
      <c r="AX16" s="69" t="str">
        <f>IF(AV16,COUNTIF(AV$8:AV16,TRUE),"")</f>
        <v/>
      </c>
      <c r="AY16" s="240" t="s">
        <v>1756</v>
      </c>
      <c r="AZ16" s="1504" t="str">
        <f t="shared" si="0"/>
        <v>-</v>
      </c>
      <c r="BA16" s="1504" t="str">
        <f t="shared" si="1"/>
        <v>-</v>
      </c>
      <c r="BB16" s="1703">
        <f>H37</f>
        <v>0</v>
      </c>
      <c r="BD16" s="1697" t="s">
        <v>746</v>
      </c>
      <c r="BE16" s="1697" t="s">
        <v>746</v>
      </c>
    </row>
    <row r="17" spans="1:57" ht="46.5" customHeight="1" x14ac:dyDescent="0.25">
      <c r="A17" s="1166" t="str">
        <f>IF(OR(AND(AA17=0,AB17=1),AND(AA17=1,AB17=0)),"Ошибка","")</f>
        <v/>
      </c>
      <c r="B17" s="50"/>
      <c r="C17" s="1167"/>
      <c r="D17" s="1243" t="s">
        <v>1254</v>
      </c>
      <c r="E17" s="2095"/>
      <c r="F17" s="1346">
        <f>'Ввод исходных данных'!D63-'Ввод исходных данных'!D33</f>
        <v>0</v>
      </c>
      <c r="G17" s="1344"/>
      <c r="H17" s="1345"/>
      <c r="I17" s="1344"/>
      <c r="J17" s="1344">
        <f>IF(AB17=1,G17*F17,0)</f>
        <v>0</v>
      </c>
      <c r="K17" s="1344"/>
      <c r="L17" s="908"/>
      <c r="M17" s="50"/>
      <c r="N17" s="50"/>
      <c r="O17" s="1169"/>
      <c r="P17" s="1169"/>
      <c r="Q17" s="1169"/>
      <c r="R17" s="1151"/>
      <c r="S17" s="1151"/>
      <c r="T17" s="1151"/>
      <c r="U17" s="1151"/>
      <c r="V17" s="1151"/>
      <c r="W17" s="1151"/>
      <c r="X17" s="1151"/>
      <c r="Y17" s="1151"/>
      <c r="Z17" s="50"/>
      <c r="AA17" s="1165">
        <f>IF(AND(AB16=1,'Ввод исходных данных'!$D$12&lt;2000),1,0)</f>
        <v>0</v>
      </c>
      <c r="AB17" s="1137">
        <f>IF(D17&lt;&gt;списки!N32,1,0)</f>
        <v>0</v>
      </c>
      <c r="AC17" s="1138"/>
      <c r="AD17" s="1165"/>
      <c r="AF17" s="50"/>
      <c r="AG17" s="50"/>
      <c r="AH17" s="50"/>
      <c r="AI17" s="50"/>
      <c r="AJ17" s="50"/>
      <c r="AK17" s="50"/>
      <c r="AL17" s="50"/>
      <c r="AM17" s="50"/>
      <c r="AN17" s="50"/>
      <c r="AO17" s="50"/>
      <c r="AP17" s="50"/>
      <c r="AQ17" s="50"/>
      <c r="AR17" s="50"/>
      <c r="AS17" s="50"/>
      <c r="AU17" s="51">
        <v>12</v>
      </c>
      <c r="AV17" s="1699" t="b">
        <f>IF(AND(AB39&gt;0,AC39),TRUE,FALSE)</f>
        <v>0</v>
      </c>
      <c r="AW17" s="69" t="str">
        <f>IF(AV17,COUNTIF(AV$5:AV17,TRUE),"")</f>
        <v/>
      </c>
      <c r="AX17" s="69" t="str">
        <f>IF(AV17,COUNTIF(AV$8:AV17,TRUE),"")</f>
        <v/>
      </c>
      <c r="AY17" s="240" t="s">
        <v>2382</v>
      </c>
      <c r="AZ17" s="1504" t="str">
        <f t="shared" si="0"/>
        <v>-</v>
      </c>
      <c r="BA17" s="1504" t="str">
        <f t="shared" si="1"/>
        <v>-</v>
      </c>
      <c r="BB17" s="1704">
        <f>H39</f>
        <v>0</v>
      </c>
      <c r="BD17" s="1697" t="s">
        <v>746</v>
      </c>
      <c r="BE17" s="1697" t="s">
        <v>746</v>
      </c>
    </row>
    <row r="18" spans="1:57" ht="15" customHeight="1" x14ac:dyDescent="0.25">
      <c r="A18" s="50"/>
      <c r="B18" s="50"/>
      <c r="C18" s="50"/>
      <c r="D18" s="50"/>
      <c r="E18" s="50"/>
      <c r="F18" s="1175"/>
      <c r="G18" s="1175"/>
      <c r="H18" s="1175"/>
      <c r="I18" s="1175"/>
      <c r="J18" s="1175"/>
      <c r="K18" s="1175"/>
      <c r="L18" s="50"/>
      <c r="M18" s="50"/>
      <c r="N18" s="50"/>
      <c r="O18" s="1169"/>
      <c r="P18" s="1169"/>
      <c r="Q18" s="1169"/>
      <c r="R18" s="1151"/>
      <c r="S18" s="1151"/>
      <c r="T18" s="1151"/>
      <c r="U18" s="1151"/>
      <c r="V18" s="1151"/>
      <c r="W18" s="1151"/>
      <c r="X18" s="1151"/>
      <c r="Y18" s="1151"/>
      <c r="Z18" s="50"/>
      <c r="AA18" s="50"/>
      <c r="AB18" s="1133"/>
      <c r="AC18" s="1134"/>
      <c r="AD18" s="50"/>
      <c r="AF18" s="50"/>
      <c r="AG18" s="50"/>
      <c r="AH18" s="50"/>
      <c r="AI18" s="50"/>
      <c r="AJ18" s="50"/>
      <c r="AK18" s="50"/>
      <c r="AL18" s="50"/>
      <c r="AM18" s="50"/>
      <c r="AN18" s="50"/>
      <c r="AO18" s="50"/>
      <c r="AP18" s="50"/>
      <c r="AQ18" s="50"/>
      <c r="AR18" s="50"/>
      <c r="AS18" s="50"/>
      <c r="AU18" s="51">
        <v>13</v>
      </c>
      <c r="AV18" s="1699" t="b">
        <f>IF(AND(AB40&gt;0,AC40),TRUE,FALSE)</f>
        <v>0</v>
      </c>
      <c r="AW18" s="69" t="str">
        <f>IF(AV18,COUNTIF(AV$5:AV18,TRUE),"")</f>
        <v/>
      </c>
      <c r="AX18" s="69" t="str">
        <f>IF(AV18,COUNTIF(AV$8:AV18,TRUE),"")</f>
        <v/>
      </c>
      <c r="AY18" s="240" t="s">
        <v>2383</v>
      </c>
      <c r="AZ18" s="1504" t="str">
        <f t="shared" si="0"/>
        <v>-</v>
      </c>
      <c r="BA18" s="1504" t="str">
        <f t="shared" si="1"/>
        <v>-</v>
      </c>
      <c r="BB18" s="1704">
        <f>H40</f>
        <v>0</v>
      </c>
      <c r="BD18" s="1697" t="s">
        <v>746</v>
      </c>
      <c r="BE18" s="1697" t="s">
        <v>746</v>
      </c>
    </row>
    <row r="19" spans="1:57" ht="14.45" customHeight="1" x14ac:dyDescent="0.25">
      <c r="A19" s="50"/>
      <c r="B19" s="50"/>
      <c r="C19" s="50"/>
      <c r="D19" s="50"/>
      <c r="E19" s="50"/>
      <c r="F19" s="1175"/>
      <c r="G19" s="1175"/>
      <c r="H19" s="1175"/>
      <c r="I19" s="1175"/>
      <c r="J19" s="1175"/>
      <c r="K19" s="1175"/>
      <c r="L19" s="50"/>
      <c r="M19" s="50"/>
      <c r="N19" s="50"/>
      <c r="O19" s="1169"/>
      <c r="P19" s="1169"/>
      <c r="Q19" s="1169"/>
      <c r="R19" s="1151"/>
      <c r="S19" s="1151"/>
      <c r="T19" s="1151"/>
      <c r="U19" s="1151"/>
      <c r="V19" s="1151"/>
      <c r="W19" s="1151"/>
      <c r="X19" s="1151"/>
      <c r="Y19" s="1151"/>
      <c r="Z19" s="50"/>
      <c r="AA19" s="50"/>
      <c r="AB19" s="1133"/>
      <c r="AC19" s="1134"/>
      <c r="AD19" s="50"/>
      <c r="AF19" s="50"/>
      <c r="AG19" s="50"/>
      <c r="AH19" s="50"/>
      <c r="AI19" s="50"/>
      <c r="AJ19" s="50"/>
      <c r="AK19" s="50"/>
      <c r="AL19" s="50"/>
      <c r="AM19" s="50"/>
      <c r="AN19" s="50"/>
      <c r="AO19" s="50"/>
      <c r="AP19" s="50"/>
      <c r="AQ19" s="50"/>
      <c r="AR19" s="50"/>
      <c r="AS19" s="50"/>
      <c r="AU19" s="51">
        <v>14</v>
      </c>
      <c r="AV19" s="1699" t="b">
        <f>IF(AND(AB41&gt;0,AC41),TRUE,FALSE)</f>
        <v>0</v>
      </c>
      <c r="AW19" s="69" t="str">
        <f>IF(AV19,COUNTIF(AV$5:AV19,TRUE),"")</f>
        <v/>
      </c>
      <c r="AX19" s="69" t="str">
        <f>IF(AV19,COUNTIF(AV$8:AV19,TRUE),"")</f>
        <v/>
      </c>
      <c r="AY19" s="240" t="s">
        <v>1758</v>
      </c>
      <c r="AZ19" s="1504" t="str">
        <f t="shared" si="0"/>
        <v>-</v>
      </c>
      <c r="BA19" s="1504" t="str">
        <f t="shared" si="1"/>
        <v>-</v>
      </c>
      <c r="BB19" s="1703">
        <f>H41</f>
        <v>0</v>
      </c>
      <c r="BD19" s="1697" t="s">
        <v>746</v>
      </c>
      <c r="BE19" s="1697" t="s">
        <v>746</v>
      </c>
    </row>
    <row r="20" spans="1:57" ht="15.75" x14ac:dyDescent="0.25">
      <c r="A20" s="1152" t="str">
        <f>IF(SUM(AD22:AD32)&gt;0,"Ошибка","")</f>
        <v/>
      </c>
      <c r="B20" s="50"/>
      <c r="C20" s="1153"/>
      <c r="D20" s="1154" t="s">
        <v>1372</v>
      </c>
      <c r="E20" s="1144"/>
      <c r="F20" s="1155"/>
      <c r="G20" s="1155"/>
      <c r="H20" s="1155"/>
      <c r="I20" s="1155"/>
      <c r="J20" s="1155"/>
      <c r="K20" s="1155"/>
      <c r="L20" s="1144"/>
      <c r="M20" s="50"/>
      <c r="N20" s="50"/>
      <c r="O20" s="1160">
        <f>O22+O26+O29</f>
        <v>0</v>
      </c>
      <c r="P20" s="1160"/>
      <c r="Q20" s="1160"/>
      <c r="R20" s="1161" t="e">
        <f ca="1">O20/'Расчет базового уровня'!$D$35/0.86*1000</f>
        <v>#DIV/0!</v>
      </c>
      <c r="S20" s="1162" t="e">
        <f ca="1">R20</f>
        <v>#DIV/0!</v>
      </c>
      <c r="T20" s="1163"/>
      <c r="U20" s="1163"/>
      <c r="V20" s="1161" t="e">
        <f ca="1">(O20+P20)/'Расчет базового уровня'!$D$9*1163</f>
        <v>#DIV/0!</v>
      </c>
      <c r="W20" s="1164" t="e">
        <f ca="1">(S20*'Расчет базового уровня'!$D$35+'Список мероприятий'!U20*'Расчет базового уровня'!$D$15)/'Расчет базового уровня'!$D$9</f>
        <v>#DIV/0!</v>
      </c>
      <c r="X20" s="1163"/>
      <c r="Y20" s="1163"/>
      <c r="Z20" s="50"/>
      <c r="AA20" s="50"/>
      <c r="AB20" s="1133"/>
      <c r="AC20" s="1134"/>
      <c r="AF20" s="50"/>
      <c r="AG20" s="50"/>
      <c r="AH20" s="50"/>
      <c r="AI20" s="50"/>
      <c r="AJ20" s="50"/>
      <c r="AK20" s="50"/>
      <c r="AL20" s="50"/>
      <c r="AM20" s="50"/>
      <c r="AN20" s="50"/>
      <c r="AO20" s="50"/>
      <c r="AP20" s="50"/>
      <c r="AQ20" s="50"/>
      <c r="AR20" s="50"/>
      <c r="AS20" s="50"/>
      <c r="AU20" s="51">
        <v>15</v>
      </c>
      <c r="AV20" s="1699" t="b">
        <f>IF(OR(AND(AB45&gt;0,AC45),AND(AB46&gt;0,AC46),AND(AB47&gt;0,AC47)),TRUE,FALSE)</f>
        <v>0</v>
      </c>
      <c r="AW20" s="69" t="str">
        <f>IF(AV20,COUNTIF(AV$5:AV20,TRUE),"")</f>
        <v/>
      </c>
      <c r="AX20" s="69" t="str">
        <f>IF(AV20,COUNTIF(AV$8:AV20,TRUE),"")</f>
        <v/>
      </c>
      <c r="AY20" s="240" t="s">
        <v>2384</v>
      </c>
      <c r="AZ20" s="1504" t="str">
        <f t="shared" si="0"/>
        <v/>
      </c>
      <c r="BA20" s="1504" t="str">
        <f t="shared" si="1"/>
        <v>-</v>
      </c>
      <c r="BB20" s="1703">
        <f>H44</f>
        <v>0</v>
      </c>
      <c r="BD20" s="60" t="str">
        <f>CONCATENATE(IF(AC45,D45,""),IF(AC46,", "&amp;D46,""),IF(AC47,", "&amp;D47,""))</f>
        <v/>
      </c>
      <c r="BE20" s="1697" t="s">
        <v>746</v>
      </c>
    </row>
    <row r="21" spans="1:57" ht="24" customHeight="1" x14ac:dyDescent="0.25">
      <c r="A21" s="1166" t="str">
        <f>IF(AND(AA21=0,AB21=1),"Ошибка","")</f>
        <v/>
      </c>
      <c r="B21" s="50"/>
      <c r="C21" s="1167"/>
      <c r="D21" s="1176"/>
      <c r="E21" s="2093" t="s">
        <v>1695</v>
      </c>
      <c r="F21" s="1277" t="s">
        <v>1693</v>
      </c>
      <c r="G21" s="1277" t="s">
        <v>1285</v>
      </c>
      <c r="H21" s="1277" t="s">
        <v>1284</v>
      </c>
      <c r="I21" s="1277" t="s">
        <v>1284</v>
      </c>
      <c r="J21" s="1277" t="s">
        <v>1284</v>
      </c>
      <c r="K21" s="1277" t="s">
        <v>1284</v>
      </c>
      <c r="L21" s="2142" t="s">
        <v>1418</v>
      </c>
      <c r="M21" s="50"/>
      <c r="N21" s="50"/>
      <c r="O21" s="1169"/>
      <c r="P21" s="1169"/>
      <c r="Q21" s="1169"/>
      <c r="R21" s="1151"/>
      <c r="S21" s="1151"/>
      <c r="T21" s="1151"/>
      <c r="U21" s="1151"/>
      <c r="V21" s="1151"/>
      <c r="W21" s="1151"/>
      <c r="X21" s="1151"/>
      <c r="Y21" s="1151"/>
      <c r="Z21" s="50"/>
      <c r="AA21" s="50"/>
      <c r="AB21" s="1133"/>
      <c r="AC21" s="1133"/>
      <c r="AD21" s="50"/>
      <c r="AF21" s="50"/>
      <c r="AG21" s="50"/>
      <c r="AH21" s="50"/>
      <c r="AI21" s="50"/>
      <c r="AJ21" s="50"/>
      <c r="AK21" s="50"/>
      <c r="AL21" s="50"/>
      <c r="AM21" s="50"/>
      <c r="AN21" s="50"/>
      <c r="AO21" s="50"/>
      <c r="AP21" s="50"/>
      <c r="AQ21" s="50"/>
      <c r="AR21" s="50"/>
      <c r="AS21" s="50"/>
      <c r="AU21" s="51">
        <v>16</v>
      </c>
      <c r="AV21" s="1699" t="b">
        <f>IF(OR(AND(AB50&gt;0,AC50),AND(AB51&gt;0,AC51),AND(AB52&gt;0,AC52)),TRUE,FALSE)</f>
        <v>0</v>
      </c>
      <c r="AW21" s="69" t="str">
        <f>IF(AV21,COUNTIF(AV$5:AV21,TRUE),"")</f>
        <v/>
      </c>
      <c r="AX21" s="69" t="str">
        <f>IF(AV21,COUNTIF(AV$8:AV21,TRUE),"")</f>
        <v/>
      </c>
      <c r="AY21" s="240" t="s">
        <v>2385</v>
      </c>
      <c r="AZ21" s="1504" t="str">
        <f t="shared" si="0"/>
        <v/>
      </c>
      <c r="BA21" s="1504" t="str">
        <f t="shared" si="1"/>
        <v>-</v>
      </c>
      <c r="BB21" s="1703">
        <f>H49</f>
        <v>0</v>
      </c>
      <c r="BD21" s="60" t="str">
        <f>CONCATENATE(IF(AC50,D50,""),IF(AC51,", "&amp;D51,""),IF(AC52,", "&amp;D52,""))</f>
        <v/>
      </c>
      <c r="BE21" s="1697" t="s">
        <v>746</v>
      </c>
    </row>
    <row r="22" spans="1:57" x14ac:dyDescent="0.25">
      <c r="A22" s="1166" t="str">
        <f>IF(AND(AA22=0,AC22=TRUE),"Ошибка","")</f>
        <v/>
      </c>
      <c r="B22" s="50"/>
      <c r="C22" s="1167"/>
      <c r="D22" s="1170" t="s">
        <v>1753</v>
      </c>
      <c r="E22" s="2094"/>
      <c r="F22" s="2120">
        <f>'Расчет базового уровня'!B140</f>
        <v>0</v>
      </c>
      <c r="G22" s="2106"/>
      <c r="H22" s="2105">
        <f>I22+J22+K22</f>
        <v>0</v>
      </c>
      <c r="I22" s="2106"/>
      <c r="J22" s="2106">
        <f>IF(AB22=1,G22*F22,0)</f>
        <v>0</v>
      </c>
      <c r="K22" s="2106"/>
      <c r="L22" s="2143"/>
      <c r="M22" s="50"/>
      <c r="N22" s="50"/>
      <c r="O22" s="1169">
        <f>IF(AB22=1,0.024*'Расчет после реализации'!$D$149*'Расчет после реализации'!B140*(1/'Расчет базового уровня'!C140-1/'Расчет после реализации'!C140),0)*0.86/1000</f>
        <v>0</v>
      </c>
      <c r="P22" s="1169"/>
      <c r="Q22" s="1169"/>
      <c r="R22" s="1171" t="e">
        <f ca="1">O22/'Расчет базового уровня'!$D$35/0.86*1000</f>
        <v>#DIV/0!</v>
      </c>
      <c r="S22" s="1172" t="e">
        <f ca="1">R22</f>
        <v>#DIV/0!</v>
      </c>
      <c r="T22" s="1151"/>
      <c r="U22" s="1151"/>
      <c r="V22" s="1171" t="e">
        <f ca="1">(O22+P22)/'Расчет базового уровня'!$D$9*1163</f>
        <v>#DIV/0!</v>
      </c>
      <c r="W22" s="1177" t="e">
        <f ca="1">(S22*'Расчет базового уровня'!$D$35+'Список мероприятий'!U22*'Расчет базового уровня'!$D$15)/'Расчет базового уровня'!$D$9</f>
        <v>#DIV/0!</v>
      </c>
      <c r="X22" s="1173"/>
      <c r="Y22" s="1173"/>
      <c r="Z22" s="50">
        <f>IF(AB22-AA22=1,1,0)</f>
        <v>0</v>
      </c>
      <c r="AA22" s="1165">
        <f>IF(AND(списки!$D$31=0),1,0)</f>
        <v>1</v>
      </c>
      <c r="AB22" s="1137">
        <f>IF(AND(AA22=1,AC22=TRUE,AB23=1,AB24=1),1,0)</f>
        <v>0</v>
      </c>
      <c r="AC22" s="1138" t="b">
        <v>0</v>
      </c>
      <c r="AD22" s="1165">
        <f>IF(AND(AA22=1,A22="ОШИБКА"),1,0)</f>
        <v>0</v>
      </c>
      <c r="AE22" s="51" t="str">
        <f>IF(AB22=1,CONCATENATE(D22," - ",D23," - ",D24,"см",CHAR(10)),"")</f>
        <v/>
      </c>
      <c r="AF22" s="50"/>
      <c r="AG22" s="50"/>
      <c r="AH22" s="50"/>
      <c r="AI22" s="50"/>
      <c r="AJ22" s="50"/>
      <c r="AK22" s="50"/>
      <c r="AL22" s="50"/>
      <c r="AM22" s="50"/>
      <c r="AN22" s="50"/>
      <c r="AO22" s="50"/>
      <c r="AP22" s="50"/>
      <c r="AQ22" s="50"/>
      <c r="AR22" s="50"/>
      <c r="AS22" s="50"/>
      <c r="AU22" s="51">
        <v>17</v>
      </c>
      <c r="AV22" s="1699" t="b">
        <f>IF(AND(AB54&gt;0,AC54),TRUE,FALSE)</f>
        <v>0</v>
      </c>
      <c r="AW22" s="69" t="str">
        <f>IF(AV22,COUNTIF(AV$5:AV22,TRUE),"")</f>
        <v/>
      </c>
      <c r="AX22" s="69" t="str">
        <f>IF(AV22,COUNTIF(AV$8:AV22,TRUE),"")</f>
        <v/>
      </c>
      <c r="AY22" s="240" t="s">
        <v>2386</v>
      </c>
      <c r="AZ22" s="1504" t="str">
        <f t="shared" si="0"/>
        <v>-</v>
      </c>
      <c r="BA22" s="1504" t="str">
        <f t="shared" si="1"/>
        <v>-</v>
      </c>
      <c r="BB22" s="1703">
        <f>H54</f>
        <v>0</v>
      </c>
      <c r="BD22" s="1697" t="s">
        <v>746</v>
      </c>
      <c r="BE22" s="1697" t="s">
        <v>746</v>
      </c>
    </row>
    <row r="23" spans="1:57" x14ac:dyDescent="0.25">
      <c r="A23" s="1166" t="str">
        <f>IF(OR(AND(AA23=0,AB23=1),AND(AA23=1,AB23=0)),"Ошибка","")</f>
        <v/>
      </c>
      <c r="B23" s="50"/>
      <c r="C23" s="1167"/>
      <c r="D23" s="1242" t="s">
        <v>1252</v>
      </c>
      <c r="E23" s="2094"/>
      <c r="F23" s="2106"/>
      <c r="G23" s="2106"/>
      <c r="H23" s="2105"/>
      <c r="I23" s="2106"/>
      <c r="J23" s="2106"/>
      <c r="K23" s="2106"/>
      <c r="L23" s="2143"/>
      <c r="M23" s="50"/>
      <c r="N23" s="50"/>
      <c r="O23" s="1169"/>
      <c r="P23" s="1169"/>
      <c r="Q23" s="1169"/>
      <c r="R23" s="1151"/>
      <c r="S23" s="1151"/>
      <c r="T23" s="1151"/>
      <c r="U23" s="1151"/>
      <c r="V23" s="1151"/>
      <c r="W23" s="1151"/>
      <c r="X23" s="1151"/>
      <c r="Y23" s="1151"/>
      <c r="Z23" s="50"/>
      <c r="AA23" s="1165">
        <f>IF(AND(списки!$D$31=0,AC22=TRUE),1,0)</f>
        <v>0</v>
      </c>
      <c r="AB23" s="1137">
        <f>IF(D23="Пожалуйста, выберите технологию",0,1)</f>
        <v>0</v>
      </c>
      <c r="AC23" s="1138"/>
      <c r="AD23" s="1165">
        <f>IF(AND(AA23=1,A23="ОШИБКА"),1,0)</f>
        <v>0</v>
      </c>
      <c r="AF23" s="50"/>
      <c r="AG23" s="50"/>
      <c r="AH23" s="50"/>
      <c r="AI23" s="50"/>
      <c r="AJ23" s="50"/>
      <c r="AK23" s="50"/>
      <c r="AL23" s="50"/>
      <c r="AM23" s="50"/>
      <c r="AN23" s="50"/>
      <c r="AO23" s="50"/>
      <c r="AP23" s="50"/>
      <c r="AQ23" s="50"/>
      <c r="AR23" s="50"/>
      <c r="AS23" s="50"/>
      <c r="AU23" s="51">
        <v>18</v>
      </c>
      <c r="AV23" s="1699" t="b">
        <f>IF(AND(AB57&gt;0,AC57),TRUE,FALSE)</f>
        <v>0</v>
      </c>
      <c r="AW23" s="69" t="str">
        <f>IF(AV23,COUNTIF(AV$5:AV23,TRUE),"")</f>
        <v/>
      </c>
      <c r="AX23" s="69" t="str">
        <f>IF(AV23,COUNTIF(AV$8:AV23,TRUE),"")</f>
        <v/>
      </c>
      <c r="AY23" s="240" t="s">
        <v>2389</v>
      </c>
      <c r="AZ23" s="1504" t="str">
        <f t="shared" si="0"/>
        <v>-</v>
      </c>
      <c r="BA23" s="1504" t="str">
        <f t="shared" si="1"/>
        <v>-</v>
      </c>
      <c r="BB23" s="1703">
        <f>H57</f>
        <v>0</v>
      </c>
      <c r="BD23" s="1697" t="s">
        <v>746</v>
      </c>
      <c r="BE23" s="1697" t="s">
        <v>746</v>
      </c>
    </row>
    <row r="24" spans="1:57" ht="16.5" customHeight="1" x14ac:dyDescent="0.25">
      <c r="A24" s="1166" t="str">
        <f>IF(OR(AND(AA24=0,AB24=1),AND(AA24=1,AB24=0)),"Ошибка","")</f>
        <v/>
      </c>
      <c r="B24" s="50"/>
      <c r="C24" s="1167"/>
      <c r="D24" s="1242" t="s">
        <v>1251</v>
      </c>
      <c r="E24" s="2095"/>
      <c r="F24" s="2106"/>
      <c r="G24" s="2106"/>
      <c r="H24" s="2105"/>
      <c r="I24" s="2106"/>
      <c r="J24" s="2106"/>
      <c r="K24" s="2106"/>
      <c r="L24" s="2144"/>
      <c r="M24" s="50"/>
      <c r="N24" s="50"/>
      <c r="O24" s="1169"/>
      <c r="P24" s="1169"/>
      <c r="Q24" s="1169"/>
      <c r="R24" s="1151"/>
      <c r="S24" s="1151"/>
      <c r="T24" s="1151"/>
      <c r="U24" s="1151"/>
      <c r="V24" s="1151"/>
      <c r="W24" s="1151"/>
      <c r="X24" s="1151"/>
      <c r="Y24" s="1151"/>
      <c r="Z24" s="50"/>
      <c r="AA24" s="1165">
        <f>IF(AND(списки!$D$31=0,AC22=TRUE),1,0)</f>
        <v>0</v>
      </c>
      <c r="AB24" s="1137">
        <f>IF(D24&lt;&gt;списки!O16,1,0)</f>
        <v>0</v>
      </c>
      <c r="AC24" s="1138"/>
      <c r="AD24" s="1165">
        <f>IF(AND(AA24=1,A24="ОШИБКА"),1,0)</f>
        <v>0</v>
      </c>
      <c r="AF24" s="50"/>
      <c r="AG24" s="50"/>
      <c r="AH24" s="50"/>
      <c r="AI24" s="50"/>
      <c r="AJ24" s="50"/>
      <c r="AK24" s="50"/>
      <c r="AL24" s="50"/>
      <c r="AM24" s="50"/>
      <c r="AN24" s="50"/>
      <c r="AO24" s="50"/>
      <c r="AP24" s="50"/>
      <c r="AQ24" s="50"/>
      <c r="AR24" s="50"/>
      <c r="AS24" s="50"/>
      <c r="AU24" s="51">
        <v>19</v>
      </c>
      <c r="AV24" s="1699" t="b">
        <f>IF(AND(AB58&gt;0,AC58),TRUE,FALSE)</f>
        <v>0</v>
      </c>
      <c r="AW24" s="69" t="str">
        <f>IF(AV24,COUNTIF(AV$5:AV24,TRUE),"")</f>
        <v/>
      </c>
      <c r="AX24" s="69" t="str">
        <f>IF(AV24,COUNTIF(AV$8:AV24,TRUE),"")</f>
        <v/>
      </c>
      <c r="AY24" s="240" t="s">
        <v>2390</v>
      </c>
      <c r="AZ24" s="1504" t="str">
        <f t="shared" si="0"/>
        <v>-</v>
      </c>
      <c r="BA24" s="1504" t="str">
        <f t="shared" si="1"/>
        <v>Мощность новых лифтов: - кВт</v>
      </c>
      <c r="BB24" s="1703">
        <f>H58</f>
        <v>0</v>
      </c>
      <c r="BD24" s="1697" t="s">
        <v>746</v>
      </c>
      <c r="BE24" s="60" t="str">
        <f>"Мощность новых лифтов: "&amp;IF(ISBLANK(D59),"-",D59)&amp;" кВт"</f>
        <v>Мощность новых лифтов: - кВт</v>
      </c>
    </row>
    <row r="25" spans="1:57" x14ac:dyDescent="0.25">
      <c r="A25" s="50"/>
      <c r="B25" s="50"/>
      <c r="C25" s="50"/>
      <c r="D25" s="50"/>
      <c r="E25" s="50"/>
      <c r="F25" s="50"/>
      <c r="G25" s="50"/>
      <c r="H25" s="50"/>
      <c r="I25" s="50"/>
      <c r="J25" s="50"/>
      <c r="K25" s="50"/>
      <c r="L25" s="50"/>
      <c r="M25" s="50"/>
      <c r="N25" s="50"/>
      <c r="O25" s="1169"/>
      <c r="P25" s="1169"/>
      <c r="Q25" s="1169"/>
      <c r="R25" s="1151"/>
      <c r="S25" s="1151"/>
      <c r="T25" s="1151"/>
      <c r="U25" s="1151"/>
      <c r="V25" s="1151"/>
      <c r="W25" s="1151"/>
      <c r="X25" s="1151"/>
      <c r="Y25" s="1151"/>
      <c r="Z25" s="50"/>
      <c r="AA25" s="50"/>
      <c r="AB25" s="1133"/>
      <c r="AC25" s="1134"/>
      <c r="AD25" s="50"/>
      <c r="AF25" s="50"/>
      <c r="AG25" s="50"/>
      <c r="AH25" s="50"/>
      <c r="AI25" s="50"/>
      <c r="AJ25" s="50"/>
      <c r="AK25" s="50"/>
      <c r="AL25" s="50"/>
      <c r="AM25" s="50"/>
      <c r="AN25" s="50"/>
      <c r="AO25" s="50"/>
      <c r="AP25" s="50"/>
      <c r="AQ25" s="50"/>
      <c r="AR25" s="50"/>
      <c r="AS25" s="50"/>
      <c r="AU25" s="51">
        <v>20</v>
      </c>
      <c r="AV25" s="1699" t="b">
        <f>IF(AND(AB60&gt;0,AC60),TRUE,FALSE)</f>
        <v>0</v>
      </c>
      <c r="AW25" s="69" t="str">
        <f>IF(AV25,COUNTIF(AV$5:AV25,TRUE),"")</f>
        <v/>
      </c>
      <c r="AX25" s="69" t="str">
        <f>IF(AV25,COUNTIF(AV$8:AV25,TRUE),"")</f>
        <v/>
      </c>
      <c r="AY25" s="240" t="s">
        <v>2391</v>
      </c>
      <c r="AZ25" s="1504" t="str">
        <f t="shared" si="0"/>
        <v>-</v>
      </c>
      <c r="BA25" s="1504" t="str">
        <f t="shared" si="1"/>
        <v>-</v>
      </c>
      <c r="BB25" s="1703">
        <f>H60</f>
        <v>0</v>
      </c>
      <c r="BD25" s="1697" t="s">
        <v>746</v>
      </c>
      <c r="BE25" s="1697" t="s">
        <v>746</v>
      </c>
    </row>
    <row r="26" spans="1:57" ht="57" customHeight="1" x14ac:dyDescent="0.25">
      <c r="A26" s="1166" t="str">
        <f>IF(AND(AA26=0,AB26=1),"Ошибка","")</f>
        <v/>
      </c>
      <c r="B26" s="50"/>
      <c r="C26" s="1167"/>
      <c r="D26" s="1179" t="s">
        <v>1754</v>
      </c>
      <c r="E26" s="1201" t="s">
        <v>1697</v>
      </c>
      <c r="F26" s="1278"/>
      <c r="G26" s="1278"/>
      <c r="H26" s="1239">
        <f>I26+J26+K26</f>
        <v>0</v>
      </c>
      <c r="I26" s="1237"/>
      <c r="J26" s="1298"/>
      <c r="K26" s="1237"/>
      <c r="L26" s="1181" t="s">
        <v>1419</v>
      </c>
      <c r="M26" s="50"/>
      <c r="N26" s="50"/>
      <c r="O26" s="1169">
        <f>IF(AB26=1,0.024*'Расчет после реализации'!$D$149*('Расчет базового уровня'!B142*(1*'Расчет базового уровня'!D142/'Расчет базового уровня'!C142)-'Расчет после реализации'!B141*('Расчет после реализации'!D141/'Расчет после реализации'!C141)),0)*0.86/1000</f>
        <v>0</v>
      </c>
      <c r="P26" s="1169"/>
      <c r="Q26" s="1169"/>
      <c r="R26" s="1171" t="e">
        <f ca="1">O26/'Расчет базового уровня'!$D$35/0.86*1000</f>
        <v>#DIV/0!</v>
      </c>
      <c r="S26" s="1172" t="e">
        <f ca="1">R26</f>
        <v>#DIV/0!</v>
      </c>
      <c r="T26" s="1151"/>
      <c r="U26" s="1151"/>
      <c r="V26" s="1171" t="e">
        <f ca="1">(O26+P26)/'Расчет базового уровня'!$D$9*1163</f>
        <v>#DIV/0!</v>
      </c>
      <c r="W26" s="1173" t="e">
        <f ca="1">(S26*'Расчет базового уровня'!$D$35+'Список мероприятий'!U26*'Расчет базового уровня'!$D$15)/'Расчет базового уровня'!$D$9</f>
        <v>#DIV/0!</v>
      </c>
      <c r="X26" s="1173"/>
      <c r="Y26" s="1173"/>
      <c r="Z26" s="50">
        <f>IF(AB26-AA26=1,1,0)</f>
        <v>0</v>
      </c>
      <c r="AA26" s="1165">
        <f>IF(AND('Ввод исходных данных'!$D$12&lt;2000,списки!$D$32=0,списки!$D$31=1),1,0)</f>
        <v>0</v>
      </c>
      <c r="AB26" s="1137">
        <f>IF(AND(AA26=1,AC26=TRUE),1,0)</f>
        <v>0</v>
      </c>
      <c r="AC26" s="1138" t="b">
        <v>0</v>
      </c>
      <c r="AD26" s="1165">
        <f>IF(AND(AA26=1,A26="ОШИБКА"),1,0)</f>
        <v>0</v>
      </c>
      <c r="AE26" s="51" t="str">
        <f>IF(AB26=1,CONCATENATE(D26,CHAR(10)),"")</f>
        <v/>
      </c>
      <c r="AF26" s="50"/>
      <c r="AG26" s="50"/>
      <c r="AH26" s="50"/>
      <c r="AI26" s="50"/>
      <c r="AJ26" s="50"/>
      <c r="AK26" s="50"/>
      <c r="AL26" s="50"/>
      <c r="AM26" s="50"/>
      <c r="AN26" s="50"/>
      <c r="AO26" s="50"/>
      <c r="AP26" s="50"/>
      <c r="AQ26" s="50"/>
      <c r="AR26" s="50"/>
      <c r="AS26" s="50"/>
      <c r="AU26" s="51">
        <v>21</v>
      </c>
      <c r="AV26" s="1699" t="b">
        <f>IF(AND(AB64&gt;0,AC64),TRUE,FALSE)</f>
        <v>0</v>
      </c>
      <c r="AW26" s="69" t="str">
        <f>IF(AV26,COUNTIF(AV$5:AV26,TRUE),"")</f>
        <v/>
      </c>
      <c r="AX26" s="69" t="str">
        <f>IF(AV26,COUNTIF(AV$8:AV26,TRUE),"")</f>
        <v/>
      </c>
      <c r="AY26" s="240" t="s">
        <v>1270</v>
      </c>
      <c r="AZ26" s="1504" t="str">
        <f t="shared" si="0"/>
        <v>-</v>
      </c>
      <c r="BA26" s="1504" t="str">
        <f>IF(OR(BE26=INDEX(materials,        1),
                           BE26=INDEX(layer,                 1),
                           BE26=INDEX(layer15,            1),
                           BE26=INDEX(Windows,        1),
                           BE26=INDEX(AptWindow,   1),
                           BE26=INDEX(AtticMat,          1),
                           BE26=INDEX(AITPIAUU,        1),
                           BE26=INDEX(AUU,                   1),
                           BE26=INDEX(CellarMat,        1),
                           BE26=INDEX(LampsNew,     1),
                           BE26=INDEX(ОсвНар,            1)),
               "-",
              "Толщина утеплителя "&amp;BE26&amp;" см")</f>
        <v>-</v>
      </c>
      <c r="BB26" s="1703">
        <f>H64</f>
        <v>0</v>
      </c>
      <c r="BD26" s="60" t="str">
        <f>D65</f>
        <v>Пожалуйста, выберите технологию</v>
      </c>
      <c r="BE26" s="60" t="str">
        <f>D66</f>
        <v>Пожалуйста, выберите толщину утеплителя, см</v>
      </c>
    </row>
    <row r="27" spans="1:57" x14ac:dyDescent="0.25">
      <c r="A27" s="50"/>
      <c r="B27" s="50"/>
      <c r="C27" s="50"/>
      <c r="D27" s="50"/>
      <c r="E27" s="50"/>
      <c r="F27" s="1175"/>
      <c r="G27" s="1175"/>
      <c r="H27" s="1175"/>
      <c r="I27" s="1175"/>
      <c r="J27" s="1175"/>
      <c r="K27" s="1175"/>
      <c r="L27" s="50"/>
      <c r="M27" s="50"/>
      <c r="N27" s="50"/>
      <c r="O27" s="1169"/>
      <c r="P27" s="1169"/>
      <c r="Q27" s="1169"/>
      <c r="R27" s="1151"/>
      <c r="S27" s="1151"/>
      <c r="T27" s="1151"/>
      <c r="U27" s="1151"/>
      <c r="V27" s="1151"/>
      <c r="W27" s="1151"/>
      <c r="X27" s="1151"/>
      <c r="Y27" s="1151"/>
      <c r="Z27" s="50"/>
      <c r="AA27" s="50"/>
      <c r="AB27" s="1133"/>
      <c r="AC27" s="1134"/>
      <c r="AD27" s="50"/>
      <c r="AF27" s="50"/>
      <c r="AG27" s="50"/>
      <c r="AH27" s="50"/>
      <c r="AI27" s="50"/>
      <c r="AJ27" s="50"/>
      <c r="AK27" s="50"/>
      <c r="AL27" s="50"/>
      <c r="AM27" s="50"/>
      <c r="AN27" s="50"/>
      <c r="AO27" s="50"/>
      <c r="AP27" s="50"/>
      <c r="AQ27" s="50"/>
      <c r="AR27" s="50"/>
      <c r="AS27" s="50"/>
      <c r="AU27" s="51">
        <v>22</v>
      </c>
      <c r="AV27" s="1699" t="b">
        <f>IF(AND(AB69&gt;0,AC69),TRUE,FALSE)</f>
        <v>0</v>
      </c>
      <c r="AW27" s="69" t="str">
        <f>IF(AV27,COUNTIF(AV$5:AV27,TRUE),"")</f>
        <v/>
      </c>
      <c r="AX27" s="69" t="str">
        <f>IF(AV27,COUNTIF(AV$8:AV27,TRUE),"")</f>
        <v/>
      </c>
      <c r="AY27" s="240" t="s">
        <v>1271</v>
      </c>
      <c r="AZ27" s="1504" t="str">
        <f t="shared" si="0"/>
        <v>-</v>
      </c>
      <c r="BA27" s="1504" t="str">
        <f>IF(OR(BE27=INDEX(materials,        1),
                           BE27=INDEX(layer,                 1),
                           BE27=INDEX(layer15,            1),
                           BE27=INDEX(Windows,        1),
                           BE27=INDEX(AptWindow,   1),
                           BE27=INDEX(AtticMat,          1),
                           BE27=INDEX(AITPIAUU,        1),
                           BE27=INDEX(AUU,                   1),
                           BE27=INDEX(CellarMat,        1),
                           BE27=INDEX(LampsNew,     1),
                           BE27=INDEX(ОсвНар,            1)),
               "-",
               "Толщина утеплителя "&amp;BE27&amp;" см")</f>
        <v>-</v>
      </c>
      <c r="BB27" s="1703">
        <f>H69</f>
        <v>0</v>
      </c>
      <c r="BD27" s="60" t="str">
        <f>D70</f>
        <v>Пожалуйста, выберите технологию</v>
      </c>
      <c r="BE27" s="60" t="str">
        <f>D71</f>
        <v>Пожалуйста, выберите толщину утеплителя, см</v>
      </c>
    </row>
    <row r="28" spans="1:57" ht="24" customHeight="1" x14ac:dyDescent="0.25">
      <c r="A28" s="1166" t="str">
        <f>IF(AND(AA28=0,AB28=1),"Ошибка","")</f>
        <v/>
      </c>
      <c r="B28" s="50"/>
      <c r="C28" s="1167"/>
      <c r="D28" s="1176" t="s">
        <v>1269</v>
      </c>
      <c r="E28" s="2093" t="s">
        <v>1697</v>
      </c>
      <c r="F28" s="1277" t="s">
        <v>1693</v>
      </c>
      <c r="G28" s="1277" t="s">
        <v>1285</v>
      </c>
      <c r="H28" s="1277" t="s">
        <v>1284</v>
      </c>
      <c r="I28" s="1277" t="s">
        <v>1284</v>
      </c>
      <c r="J28" s="1277" t="s">
        <v>1284</v>
      </c>
      <c r="K28" s="1277" t="s">
        <v>1284</v>
      </c>
      <c r="L28" s="2096" t="s">
        <v>1420</v>
      </c>
      <c r="M28" s="50"/>
      <c r="N28" s="50"/>
      <c r="O28" s="1169"/>
      <c r="P28" s="1169"/>
      <c r="Q28" s="1169"/>
      <c r="R28" s="1151"/>
      <c r="S28" s="1151"/>
      <c r="T28" s="1151"/>
      <c r="U28" s="1151"/>
      <c r="V28" s="1151"/>
      <c r="W28" s="1151"/>
      <c r="X28" s="1151"/>
      <c r="Y28" s="1151"/>
      <c r="Z28" s="50"/>
      <c r="AA28" s="50"/>
      <c r="AB28" s="1133"/>
      <c r="AC28" s="1133"/>
      <c r="AD28" s="50"/>
      <c r="AF28" s="50"/>
      <c r="AG28" s="50"/>
      <c r="AH28" s="50"/>
      <c r="AI28" s="50"/>
      <c r="AJ28" s="50"/>
      <c r="AK28" s="50"/>
      <c r="AL28" s="50"/>
      <c r="AM28" s="50"/>
      <c r="AN28" s="50"/>
      <c r="AO28" s="50"/>
      <c r="AP28" s="50"/>
      <c r="AQ28" s="50"/>
      <c r="AR28" s="50"/>
      <c r="AS28" s="50"/>
      <c r="AU28" s="51">
        <v>23</v>
      </c>
      <c r="AV28" s="1699" t="b">
        <f>IF(AND(AB75&gt;0,AC75),TRUE,FALSE)</f>
        <v>0</v>
      </c>
      <c r="AW28" s="69" t="str">
        <f>IF(AV28,COUNTIF(AV$5:AV28,TRUE),"")</f>
        <v/>
      </c>
      <c r="AX28" s="69" t="str">
        <f>IF(AV28,COUNTIF(AV$8:AV28,TRUE),"")</f>
        <v/>
      </c>
      <c r="AY28" s="240" t="s">
        <v>1764</v>
      </c>
      <c r="AZ28" s="1504" t="str">
        <f t="shared" si="0"/>
        <v>-</v>
      </c>
      <c r="BA28" s="1504" t="str">
        <f>IF(OR(BE28=INDEX(materials,        1),
                           BE28=INDEX(layer,                 1),
                           BE28=INDEX(layer15,            1),
                           BE28=INDEX(Windows,        1),
                           BE28=INDEX(AptWindow,   1),
                           BE28=INDEX(AtticMat,          1),
                           BE28=INDEX(AITPIAUU,        1),
                           BE28=INDEX(AUU,                   1),
                           BE28=INDEX(CellarMat,        1),
                           BE28=INDEX(LampsNew,     1),
                           BE28=INDEX(ОсвНар,            1)),
               "-",
               BE28)</f>
        <v>-</v>
      </c>
      <c r="BB28" s="1703">
        <f>H75</f>
        <v>0</v>
      </c>
      <c r="BD28" s="1697" t="s">
        <v>746</v>
      </c>
      <c r="BE28" s="1697" t="s">
        <v>746</v>
      </c>
    </row>
    <row r="29" spans="1:57" x14ac:dyDescent="0.25">
      <c r="A29" s="1166" t="str">
        <f>IF(AND(AA29=0,AC29=TRUE),"Ошибка","")</f>
        <v/>
      </c>
      <c r="B29" s="50"/>
      <c r="C29" s="1167"/>
      <c r="D29" s="1170" t="s">
        <v>1755</v>
      </c>
      <c r="E29" s="2094"/>
      <c r="F29" s="2120">
        <f>'Расчет базового уровня'!B141+'Расчет базового уровня'!B142</f>
        <v>0</v>
      </c>
      <c r="G29" s="2120">
        <v>0</v>
      </c>
      <c r="H29" s="2105">
        <f>I29+J29+K29</f>
        <v>0</v>
      </c>
      <c r="I29" s="2106"/>
      <c r="J29" s="2106">
        <f>IF(AB29=1,G29*F29,0)</f>
        <v>0</v>
      </c>
      <c r="K29" s="2106"/>
      <c r="L29" s="2097"/>
      <c r="M29" s="50"/>
      <c r="N29" s="50"/>
      <c r="O29" s="1169">
        <f>IF(AB29=1,0.024*'Расчет после реализации'!$D$149*('Расчет базового уровня'!B141*'Расчет базового уровня'!D141/'Расчет базового уровня'!C141+'Расчет базового уровня'!B142*'Расчет базового уровня'!D142/'Расчет базового уровня'!C142-'Расчет после реализации'!B141*'Расчет после реализации'!D141/'Расчет после реализации'!C141-'Расчет после реализации'!B142*'Расчет после реализации'!D142/'Расчет после реализации'!C142),0)*0.86/1000</f>
        <v>0</v>
      </c>
      <c r="P29" s="1169"/>
      <c r="Q29" s="1169"/>
      <c r="R29" s="1171" t="e">
        <f ca="1">O29/'Расчет базового уровня'!$D$35/0.86*1000</f>
        <v>#DIV/0!</v>
      </c>
      <c r="S29" s="1172" t="e">
        <f ca="1">R29</f>
        <v>#DIV/0!</v>
      </c>
      <c r="T29" s="1151"/>
      <c r="U29" s="1151"/>
      <c r="V29" s="1171" t="e">
        <f ca="1">(O29+P29)/'Расчет базового уровня'!$D$9*1163</f>
        <v>#DIV/0!</v>
      </c>
      <c r="W29" s="1173" t="e">
        <f ca="1">(S29*'Расчет базового уровня'!$D$35+'Список мероприятий'!U29*'Расчет базового уровня'!$D$15)/'Расчет базового уровня'!$D$9</f>
        <v>#DIV/0!</v>
      </c>
      <c r="X29" s="1173"/>
      <c r="Y29" s="1173"/>
      <c r="Z29" s="50">
        <f>IF(AB29-AA29=1,1,0)</f>
        <v>0</v>
      </c>
      <c r="AA29" s="1165">
        <f>IF(AND(списки!$D$31=1,списки!$D$36=0),1,0)</f>
        <v>0</v>
      </c>
      <c r="AB29" s="1137">
        <f>IF(AND(AA29=1,AC29=TRUE,AB30=1,AB31=1),1,0)</f>
        <v>0</v>
      </c>
      <c r="AC29" s="1138" t="b">
        <v>0</v>
      </c>
      <c r="AD29" s="1165">
        <f>IF(AND(AA29=1,A29="ОШИБКА"),1,0)</f>
        <v>0</v>
      </c>
      <c r="AE29" s="51" t="str">
        <f>IF(AB29=1,CONCATENATE(D28," - ",D30," - ",D31,"см",CHAR(10)),"")</f>
        <v/>
      </c>
      <c r="AF29" s="50"/>
      <c r="AG29" s="50"/>
      <c r="AH29" s="50"/>
      <c r="AI29" s="50"/>
      <c r="AJ29" s="50"/>
      <c r="AK29" s="50"/>
      <c r="AL29" s="50"/>
      <c r="AM29" s="50"/>
      <c r="AN29" s="50"/>
      <c r="AO29" s="50"/>
      <c r="AP29" s="50"/>
      <c r="AQ29" s="50"/>
      <c r="AR29" s="50"/>
      <c r="AS29" s="50"/>
      <c r="AU29" s="51">
        <v>24</v>
      </c>
      <c r="AV29" s="1699" t="b">
        <f>IF(AND(AB76&gt;0,AC76),TRUE,FALSE)</f>
        <v>0</v>
      </c>
      <c r="AW29" s="69" t="str">
        <f>IF(AV29,COUNTIF(AV$5:AV29,TRUE),"")</f>
        <v/>
      </c>
      <c r="AX29" s="69" t="str">
        <f>IF(AV29,COUNTIF(AV$8:AV29,TRUE),"")</f>
        <v/>
      </c>
      <c r="AY29" s="240" t="s">
        <v>2392</v>
      </c>
      <c r="AZ29" s="1504" t="str">
        <f>IF(OR(BD29=INDEX(materials,        1),
                           BD29=INDEX(layer,                 1),
                           BD29=INDEX(layer15,            1),
                           BD29=INDEX(Windows,        1),
                           BD29=INDEX(AptWindow,   1),
                           BD29=INDEX(AtticMat,          1),
                           BD29=INDEX(AITPIAUU,        1),
                           BD29=INDEX(AUU,                   1),
                           BD29=INDEX(CellarMat,        1),
                           BD29=INDEX(LampsNew,     1),
                           BD29=INDEX(ОсвНар,            1)),
               "-",
               "Источник света: "&amp;BD29)</f>
        <v>Источник света: светодиодные осветительные приборы</v>
      </c>
      <c r="BA29" s="1504" t="str">
        <f>IF(OR(BE29=INDEX(materials,        1),
                           BE29=INDEX(layer,                 1),
                           BE29=INDEX(layer15,            1),
                           BE29=INDEX(Windows,        1),
                           BE29=INDEX(AptWindow,   1),
                           BE29=INDEX(AtticMat,          1),
                           BE29=INDEX(AITPIAUU,        1),
                           BE29=INDEX(AUU,                   1),
                           BE29=INDEX(CellarMat,        1),
                           BE29=INDEX(LampsNew,     1),
                           BE29=INDEX(ОсвНар,            1)),
               "-",
               BE29)</f>
        <v>-</v>
      </c>
      <c r="BB29" s="1703">
        <f>H76</f>
        <v>0</v>
      </c>
      <c r="BD29" s="60" t="str">
        <f>D77</f>
        <v>светодиодные осветительные приборы</v>
      </c>
      <c r="BE29" s="1697" t="s">
        <v>746</v>
      </c>
    </row>
    <row r="30" spans="1:57" x14ac:dyDescent="0.25">
      <c r="A30" s="1166" t="str">
        <f>IF(OR(AND(AA30=0,AB30=1),AND(AA30=1,AB30=0)),"Ошибка","")</f>
        <v/>
      </c>
      <c r="B30" s="50"/>
      <c r="C30" s="1167"/>
      <c r="D30" s="1241" t="s">
        <v>1252</v>
      </c>
      <c r="E30" s="2094"/>
      <c r="F30" s="2106"/>
      <c r="G30" s="2106"/>
      <c r="H30" s="2105"/>
      <c r="I30" s="2106"/>
      <c r="J30" s="2106"/>
      <c r="K30" s="2106"/>
      <c r="L30" s="2097"/>
      <c r="M30" s="50"/>
      <c r="N30" s="50"/>
      <c r="O30" s="1169"/>
      <c r="P30" s="1169"/>
      <c r="Q30" s="1169"/>
      <c r="R30" s="1151"/>
      <c r="S30" s="1151"/>
      <c r="T30" s="1151"/>
      <c r="U30" s="1151"/>
      <c r="V30" s="1151"/>
      <c r="W30" s="1151"/>
      <c r="X30" s="1151"/>
      <c r="Y30" s="1151"/>
      <c r="Z30" s="50"/>
      <c r="AA30" s="1165">
        <f>IF(AND(списки!$D$31=1,списки!$D$36=0,$AB$26=0,AC29=TRUE),1,0)</f>
        <v>0</v>
      </c>
      <c r="AB30" s="1137">
        <f>IF(D30="Пожалуйста, выберите технологию",0,1)</f>
        <v>0</v>
      </c>
      <c r="AC30" s="1138"/>
      <c r="AD30" s="1165">
        <f>IF(AND(AA30=1,A30="ОШИБКА"),1,0)</f>
        <v>0</v>
      </c>
      <c r="AF30" s="50"/>
      <c r="AG30" s="50"/>
      <c r="AH30" s="50"/>
      <c r="AI30" s="50"/>
      <c r="AJ30" s="50"/>
      <c r="AK30" s="50"/>
      <c r="AL30" s="50"/>
      <c r="AM30" s="50"/>
      <c r="AN30" s="50"/>
      <c r="AO30" s="50"/>
      <c r="AP30" s="50"/>
      <c r="AQ30" s="50"/>
      <c r="AR30" s="50"/>
      <c r="AS30" s="50"/>
      <c r="AU30" s="51">
        <v>26</v>
      </c>
      <c r="AV30" s="1701" t="b">
        <f>IF(AND(AB80&gt;0,AC80),TRUE,FALSE)</f>
        <v>0</v>
      </c>
      <c r="AW30" s="228" t="str">
        <f>IF(AV30,COUNTIF(AV$5:AV30,TRUE),"")</f>
        <v/>
      </c>
      <c r="AX30" s="228" t="str">
        <f>IF(AV30,COUNTIF(AV$8:AV30,TRUE),"")</f>
        <v/>
      </c>
      <c r="AY30" s="1702" t="s">
        <v>2393</v>
      </c>
      <c r="AZ30" s="1498" t="str">
        <f>IF(OR(BD30=INDEX(materials,        1),
                           BD30=INDEX(layer,                 1),
                           BD30=INDEX(layer15,            1),
                           BD30=INDEX(Windows,        1),
                           BD30=INDEX(AptWindow,   1),
                           BD30=INDEX(AtticMat,          1),
                           BD30=INDEX(AITPIAUU,        1),
                           BD30=INDEX(AUU,                   1),
                           BD30=INDEX(CellarMat,        1),
                           BD30=INDEX(LampsNew,     1),
                           BD30=INDEX(ОсвНар,            1)),
               "-",
               BD30)</f>
        <v>-</v>
      </c>
      <c r="BA30" s="1498" t="str">
        <f>IF(OR(BE30=INDEX(materials,        1),
                           BE30=INDEX(layer,                 1),
                           BE30=INDEX(layer15,            1),
                           BE30=INDEX(Windows,        1),
                           BE30=INDEX(AptWindow,   1),
                           BE30=INDEX(AtticMat,          1),
                           BE30=INDEX(AITPIAUU,        1),
                           BE30=INDEX(AUU,                   1),
                           BE30=INDEX(CellarMat,        1),
                           BE30=INDEX(LampsNew,     1),
                           BE30=INDEX(ОсвНар,            1)),
               "-",
               BE30)</f>
        <v>-</v>
      </c>
      <c r="BB30" s="1705">
        <f>H80</f>
        <v>0</v>
      </c>
      <c r="BD30" s="1697" t="s">
        <v>746</v>
      </c>
      <c r="BE30" s="1697" t="s">
        <v>746</v>
      </c>
    </row>
    <row r="31" spans="1:57" ht="15.6" customHeight="1" x14ac:dyDescent="0.25">
      <c r="A31" s="1166" t="str">
        <f>IF(OR(AND(AA31=0,AB31=1),AND(AA31=1,AB31=0)),"Ошибка","")</f>
        <v/>
      </c>
      <c r="B31" s="50"/>
      <c r="C31" s="1167"/>
      <c r="D31" s="1241" t="s">
        <v>1251</v>
      </c>
      <c r="E31" s="2095"/>
      <c r="F31" s="2106"/>
      <c r="G31" s="2106"/>
      <c r="H31" s="2105"/>
      <c r="I31" s="2106"/>
      <c r="J31" s="2106"/>
      <c r="K31" s="2106"/>
      <c r="L31" s="2098"/>
      <c r="M31" s="50"/>
      <c r="N31" s="50"/>
      <c r="O31" s="1169"/>
      <c r="P31" s="1169"/>
      <c r="Q31" s="1169"/>
      <c r="R31" s="1151"/>
      <c r="S31" s="1151"/>
      <c r="T31" s="1151"/>
      <c r="U31" s="1151"/>
      <c r="V31" s="1151"/>
      <c r="W31" s="1151"/>
      <c r="X31" s="1151"/>
      <c r="Y31" s="1151"/>
      <c r="Z31" s="50"/>
      <c r="AA31" s="1165">
        <f>IF(AND(списки!$D$31=1,списки!$D$36=0,$AB$26=0,AC29=TRUE),1,0)</f>
        <v>0</v>
      </c>
      <c r="AB31" s="1137">
        <f>IF(D31&lt;&gt;списки!$O$16,1,0)</f>
        <v>0</v>
      </c>
      <c r="AC31" s="1138"/>
      <c r="AD31" s="1165">
        <f>IF(AND(AA31=1,A31="ОШИБКА"),1,0)</f>
        <v>0</v>
      </c>
      <c r="AF31" s="50"/>
      <c r="AG31" s="50"/>
      <c r="AH31" s="50"/>
      <c r="AI31" s="50"/>
      <c r="AJ31" s="50"/>
      <c r="AK31" s="50"/>
      <c r="AL31" s="50"/>
      <c r="AM31" s="50"/>
      <c r="AN31" s="50"/>
      <c r="AO31" s="50"/>
      <c r="AP31" s="50"/>
      <c r="AQ31" s="50"/>
      <c r="AR31" s="50"/>
      <c r="AS31" s="50"/>
      <c r="BB31" s="51">
        <f>BB32+BB33</f>
        <v>0</v>
      </c>
      <c r="BC31" s="60"/>
    </row>
    <row r="32" spans="1:57" x14ac:dyDescent="0.25">
      <c r="A32" s="50"/>
      <c r="B32" s="50"/>
      <c r="C32" s="50"/>
      <c r="D32" s="50"/>
      <c r="E32" s="50"/>
      <c r="F32" s="1175"/>
      <c r="G32" s="1175"/>
      <c r="H32" s="1175"/>
      <c r="I32" s="1175"/>
      <c r="J32" s="1175"/>
      <c r="K32" s="1175"/>
      <c r="L32" s="50"/>
      <c r="M32" s="50"/>
      <c r="N32" s="50"/>
      <c r="O32" s="1169"/>
      <c r="P32" s="1169"/>
      <c r="Q32" s="1169"/>
      <c r="R32" s="1151"/>
      <c r="S32" s="1151"/>
      <c r="T32" s="1151"/>
      <c r="U32" s="1151"/>
      <c r="V32" s="1151"/>
      <c r="W32" s="1151"/>
      <c r="X32" s="1151"/>
      <c r="Y32" s="1151"/>
      <c r="Z32" s="50"/>
      <c r="AA32" s="50"/>
      <c r="AB32" s="1133"/>
      <c r="AC32" s="1134"/>
      <c r="AD32" s="50"/>
      <c r="AF32" s="50"/>
      <c r="AG32" s="50"/>
      <c r="AH32" s="50"/>
      <c r="AI32" s="50"/>
      <c r="AJ32" s="50"/>
      <c r="AK32" s="50"/>
      <c r="AL32" s="50"/>
      <c r="AM32" s="50"/>
      <c r="AN32" s="50"/>
      <c r="AO32" s="50"/>
      <c r="AP32" s="50"/>
      <c r="AQ32" s="50"/>
      <c r="AR32" s="50"/>
      <c r="AS32" s="50"/>
      <c r="BB32" s="60">
        <f>SUMIFS(BB8:BB30,AV8:AV30,TRUE)</f>
        <v>0</v>
      </c>
    </row>
    <row r="33" spans="1:54" ht="30" x14ac:dyDescent="0.25">
      <c r="A33" s="1182" t="str">
        <f>IF(SUM(AD34:AD37)&gt;0,"Ошибка","")</f>
        <v/>
      </c>
      <c r="B33" s="50"/>
      <c r="C33" s="1183"/>
      <c r="D33" s="1184" t="s">
        <v>1257</v>
      </c>
      <c r="E33" s="1183"/>
      <c r="F33" s="1277" t="s">
        <v>853</v>
      </c>
      <c r="G33" s="1277" t="s">
        <v>1285</v>
      </c>
      <c r="H33" s="1277" t="s">
        <v>1284</v>
      </c>
      <c r="I33" s="1277" t="s">
        <v>1284</v>
      </c>
      <c r="J33" s="1277" t="s">
        <v>1284</v>
      </c>
      <c r="K33" s="1277" t="s">
        <v>1284</v>
      </c>
      <c r="L33" s="1183"/>
      <c r="M33" s="50"/>
      <c r="N33" s="50"/>
      <c r="O33" s="1185"/>
      <c r="P33" s="1185"/>
      <c r="Q33" s="1185" t="e">
        <f ca="1">Q34</f>
        <v>#N/A</v>
      </c>
      <c r="R33" s="1186" t="e">
        <f ca="1">R34+R36+R37</f>
        <v>#N/A</v>
      </c>
      <c r="S33" s="1186" t="e">
        <f ca="1">S34+S36+S37</f>
        <v>#N/A</v>
      </c>
      <c r="T33" s="1187"/>
      <c r="U33" s="1186" t="e">
        <f ca="1">U34+U36+U37</f>
        <v>#DIV/0!</v>
      </c>
      <c r="V33" s="1187"/>
      <c r="W33" s="1186" t="e">
        <f ca="1">W34+W36+W37</f>
        <v>#N/A</v>
      </c>
      <c r="X33" s="1186" t="e">
        <f ca="1">X34</f>
        <v>#N/A</v>
      </c>
      <c r="Y33" s="1186" t="e">
        <f ca="1">Y34</f>
        <v>#N/A</v>
      </c>
      <c r="Z33" s="50"/>
      <c r="AA33" s="1188"/>
      <c r="AB33" s="1139"/>
      <c r="AC33" s="1140"/>
      <c r="AD33" s="1188"/>
      <c r="AE33" s="1189"/>
      <c r="AF33" s="50"/>
      <c r="AG33" s="50"/>
      <c r="AH33" s="50"/>
      <c r="AI33" s="50"/>
      <c r="AJ33" s="50"/>
      <c r="AK33" s="50"/>
      <c r="AL33" s="50"/>
      <c r="AM33" s="50"/>
      <c r="AN33" s="50"/>
      <c r="AO33" s="50"/>
      <c r="AP33" s="50"/>
      <c r="AQ33" s="50"/>
      <c r="AR33" s="50"/>
      <c r="AS33" s="50"/>
      <c r="BB33" s="60">
        <f>SUMIFS(BB5:BB7,AV5:AV7,TRUE)</f>
        <v>0</v>
      </c>
    </row>
    <row r="34" spans="1:54" ht="66.75" customHeight="1" x14ac:dyDescent="0.25">
      <c r="A34" s="1166" t="str">
        <f>IF(AND(AA34=0,AB34=1),"Ошибка","")</f>
        <v/>
      </c>
      <c r="B34" s="50"/>
      <c r="C34" s="1183"/>
      <c r="D34" s="1190" t="s">
        <v>2026</v>
      </c>
      <c r="E34" s="2125" t="s">
        <v>1698</v>
      </c>
      <c r="F34" s="2106">
        <v>1</v>
      </c>
      <c r="G34" s="2121"/>
      <c r="H34" s="2105">
        <f>I34+J34+K34</f>
        <v>0</v>
      </c>
      <c r="I34" s="2106"/>
      <c r="J34" s="2106">
        <f>IF(AB34=1,G34*F34,0)</f>
        <v>0</v>
      </c>
      <c r="K34" s="2106"/>
      <c r="L34" s="2110" t="s">
        <v>1544</v>
      </c>
      <c r="M34" s="50"/>
      <c r="N34" s="50"/>
      <c r="O34" s="1169" t="e">
        <f ca="1">IF(AND(AB34=1,'Расчет базового уровня'!E13&gt;'Расчет базового уровня'!C13),('Расчет базового уровня'!E35-'Расчет базового уровня'!C35)/'Расчет базового уровня'!D149*'Расчет после реализации'!D149,0)/1163</f>
        <v>#N/A</v>
      </c>
      <c r="P34" s="1169">
        <f>(IF(AND(AB34=1,D35=списки!N46),MAX(0,'Расчет после реализации'!C85-('Расчет после реализации'!D90*(60-'Расчет после реализации'!E175))*1.163*(1+'Расчет базового уровня'!D178)-списки!C63*1.163*'Ввод исходных данных'!E248),0))/1163</f>
        <v>0</v>
      </c>
      <c r="Q34" s="1169" t="e">
        <f ca="1">-IF(AND(AB34=1,'Ввод исходных данных'!D165=0),'Расчет после реализации'!D110,0)-IF(AND(AB34=1,'Ввод исходных данных'!D169=0),'Расчет после реализации'!D111,0)+IF(AND(AB34=1,'Ввод исходных данных'!D165&lt;&gt;0),'Расчет базового уровня'!D110-'Расчет после реализации'!D110,0)</f>
        <v>#N/A</v>
      </c>
      <c r="R34" s="1171" t="e">
        <f ca="1">O34/'Расчет базового уровня'!$D$35*1163</f>
        <v>#N/A</v>
      </c>
      <c r="S34" s="1172" t="e">
        <f ca="1">R34</f>
        <v>#N/A</v>
      </c>
      <c r="T34" s="1171" t="e">
        <f ca="1">IF('Система ГВС'!F3=2,0,P34/'Расчет базового уровня'!$D$85*1163)</f>
        <v>#DIV/0!</v>
      </c>
      <c r="U34" s="1172" t="e">
        <f ca="1">T34*(1-U41)</f>
        <v>#DIV/0!</v>
      </c>
      <c r="V34" s="1171" t="e">
        <f ca="1">(O34+P34)/'Расчет базового уровня'!$D$9*1163</f>
        <v>#N/A</v>
      </c>
      <c r="W34" s="1173" t="e">
        <f ca="1">(S34*'Расчет базового уровня'!$D$35+'Список мероприятий'!U34*'Расчет базового уровня'!$D$15)/'Расчет базового уровня'!$D$9</f>
        <v>#N/A</v>
      </c>
      <c r="X34" s="1171" t="e">
        <f ca="1">Q34/'Расчет базового уровня'!$D$100</f>
        <v>#N/A</v>
      </c>
      <c r="Y34" s="1173" t="e">
        <f ca="1">X34</f>
        <v>#N/A</v>
      </c>
      <c r="Z34" s="50">
        <f>IF(AB34-AA34=1,1,0)</f>
        <v>0</v>
      </c>
      <c r="AA34" s="1165">
        <v>1</v>
      </c>
      <c r="AB34" s="1137">
        <f>IF(AND(AA34=1,AB35=1,AC34=TRUE),1,0)</f>
        <v>1</v>
      </c>
      <c r="AC34" s="1138" t="b">
        <v>1</v>
      </c>
      <c r="AD34" s="1165">
        <f>IF(AND(AA34=1,A34="ОШИБКА"),1,0)</f>
        <v>0</v>
      </c>
      <c r="AE34" s="51" t="str">
        <f>IF(AB34=1,CONCATENATE(D35,CHAR(10)),"")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4" s="50"/>
      <c r="AG34" s="50"/>
      <c r="AH34" s="50"/>
      <c r="AI34" s="50"/>
      <c r="AJ34" s="50"/>
      <c r="AK34" s="50"/>
      <c r="AL34" s="50"/>
      <c r="AM34" s="50"/>
      <c r="AN34" s="50"/>
      <c r="AO34" s="50"/>
      <c r="AP34" s="50"/>
      <c r="AQ34" s="50"/>
      <c r="AR34" s="50"/>
      <c r="AS34" s="50"/>
    </row>
    <row r="35" spans="1:54" ht="61.5" customHeight="1" x14ac:dyDescent="0.25">
      <c r="A35" s="1166" t="str">
        <f>IF(AND(AB34=1,AB35=0),"Ошибка","")</f>
        <v/>
      </c>
      <c r="B35" s="50"/>
      <c r="C35" s="1308" t="str">
        <f>IF(AB34=1,"Выберите тип узла","")</f>
        <v>Выберите тип узла</v>
      </c>
      <c r="D35" s="1240" t="s">
        <v>1249</v>
      </c>
      <c r="E35" s="2126"/>
      <c r="F35" s="2106"/>
      <c r="G35" s="2121"/>
      <c r="H35" s="2105"/>
      <c r="I35" s="2106"/>
      <c r="J35" s="2106"/>
      <c r="K35" s="2106"/>
      <c r="L35" s="2111"/>
      <c r="M35" s="50"/>
      <c r="N35" s="50"/>
      <c r="O35" s="1169"/>
      <c r="P35" s="1169"/>
      <c r="Q35" s="1169"/>
      <c r="R35" s="1151"/>
      <c r="S35" s="1151"/>
      <c r="T35" s="1151"/>
      <c r="U35" s="1151"/>
      <c r="V35" s="1151"/>
      <c r="W35" s="1151"/>
      <c r="X35" s="1151"/>
      <c r="Y35" s="1151"/>
      <c r="Z35" s="50"/>
      <c r="AA35" s="50">
        <f>IF(AA34=1,1,0)</f>
        <v>1</v>
      </c>
      <c r="AB35" s="1133">
        <f>IF(D35&lt;&gt;"пожалуйста, выберите оборудование",1,0)</f>
        <v>1</v>
      </c>
      <c r="AC35" s="1133"/>
      <c r="AD35" s="50"/>
      <c r="AF35" s="50"/>
      <c r="AG35" s="50"/>
      <c r="AH35" s="50"/>
      <c r="AI35" s="50"/>
      <c r="AJ35" s="50"/>
      <c r="AK35" s="50"/>
      <c r="AL35" s="50"/>
      <c r="AM35" s="50"/>
      <c r="AN35" s="50"/>
      <c r="AO35" s="50"/>
      <c r="AP35" s="50"/>
      <c r="AQ35" s="50"/>
      <c r="AR35" s="50"/>
      <c r="AS35" s="50"/>
    </row>
    <row r="36" spans="1:54" ht="72" x14ac:dyDescent="0.25">
      <c r="A36" s="1166" t="str">
        <f>IF(AND(AA36=0,AC36=TRUE),"Ошибка","")</f>
        <v/>
      </c>
      <c r="B36" s="50"/>
      <c r="C36" s="1183"/>
      <c r="D36" s="1191" t="s">
        <v>1769</v>
      </c>
      <c r="E36" s="1192" t="s">
        <v>1423</v>
      </c>
      <c r="F36" s="1237"/>
      <c r="G36" s="1237"/>
      <c r="H36" s="1239">
        <f>I36+J36+K36</f>
        <v>0</v>
      </c>
      <c r="I36" s="1237"/>
      <c r="J36" s="1237"/>
      <c r="K36" s="1237"/>
      <c r="L36" s="1193" t="s">
        <v>1699</v>
      </c>
      <c r="M36" s="50"/>
      <c r="N36" s="50"/>
      <c r="O36" s="1169"/>
      <c r="P36" s="1169">
        <f>(IF(AB36=1,MAX(0,'Расчет после реализации'!$C$85-('Расчет после реализации'!$D$90*(60-'Расчет после реализации'!$E$175))*1.163*(1+'Расчет базового уровня'!$D$178)-списки!C63*1.163*'Ввод исходных данных'!E248),0))/1163</f>
        <v>0</v>
      </c>
      <c r="Q36" s="1169"/>
      <c r="R36" s="1171"/>
      <c r="S36" s="1172"/>
      <c r="T36" s="1171" t="e">
        <f ca="1">IF('Система ГВС'!F3=2,0,P36/'Расчет базового уровня'!$D$85*1163)</f>
        <v>#DIV/0!</v>
      </c>
      <c r="U36" s="1172" t="e">
        <f ca="1">T36</f>
        <v>#DIV/0!</v>
      </c>
      <c r="V36" s="1171" t="e">
        <f ca="1">(O36+P36)/'Расчет базового уровня'!$D$9/0.86*1000</f>
        <v>#DIV/0!</v>
      </c>
      <c r="W36" s="1173" t="e">
        <f ca="1">(S36*'Расчет базового уровня'!$D$35+'Список мероприятий'!U36*'Расчет базового уровня'!$D$15)/'Расчет базового уровня'!$D$9</f>
        <v>#DIV/0!</v>
      </c>
      <c r="X36" s="1173"/>
      <c r="Y36" s="1173"/>
      <c r="Z36" s="50">
        <f>IF(AB36-AA36=1,1,0)</f>
        <v>0</v>
      </c>
      <c r="AA36" s="1165">
        <f>IF(AND('Система ГВС'!$F$3=1,D35&lt;&gt;списки!N46,AC37=FALSE),1,0)</f>
        <v>1</v>
      </c>
      <c r="AB36" s="1137">
        <f>IF(AND(AA36=1,AC36=TRUE),1,0)</f>
        <v>0</v>
      </c>
      <c r="AC36" s="1138" t="b">
        <v>0</v>
      </c>
      <c r="AD36" s="1165">
        <f>IF(AND(AA36=1,A36="ОШИБКА"),1,0)</f>
        <v>0</v>
      </c>
      <c r="AE36" s="51" t="str">
        <f>IF(AB36=1,CONCATENATE(D36,CHAR(10)),"")</f>
        <v/>
      </c>
      <c r="AF36" s="50"/>
      <c r="AG36" s="50"/>
      <c r="AH36" s="50"/>
      <c r="AI36" s="50"/>
      <c r="AJ36" s="50"/>
      <c r="AK36" s="50"/>
      <c r="AL36" s="50"/>
      <c r="AM36" s="50"/>
      <c r="AN36" s="50"/>
      <c r="AO36" s="50"/>
      <c r="AP36" s="50"/>
      <c r="AQ36" s="50"/>
      <c r="AR36" s="50"/>
      <c r="AS36" s="50"/>
    </row>
    <row r="37" spans="1:54" ht="88.5" customHeight="1" x14ac:dyDescent="0.25">
      <c r="A37" s="1166" t="str">
        <f>IF(AND(AA37=0,AB37=1),"Ошибка","")</f>
        <v/>
      </c>
      <c r="B37" s="50"/>
      <c r="C37" s="1183"/>
      <c r="D37" s="1194" t="s">
        <v>1756</v>
      </c>
      <c r="E37" s="1192" t="s">
        <v>1424</v>
      </c>
      <c r="F37" s="1237">
        <v>1</v>
      </c>
      <c r="G37" s="1237"/>
      <c r="H37" s="1338">
        <f>I37+J37+K37</f>
        <v>0</v>
      </c>
      <c r="I37" s="1237"/>
      <c r="J37" s="1237">
        <f>F37*G37</f>
        <v>0</v>
      </c>
      <c r="K37" s="1237"/>
      <c r="L37" s="1193" t="s">
        <v>1700</v>
      </c>
      <c r="M37" s="50"/>
      <c r="N37" s="50"/>
      <c r="O37" s="1169"/>
      <c r="P37" s="1169">
        <f>(IF(AB37=1,MAX(0,'Расчет после реализации'!$C$85-('Расчет после реализации'!$D$90*(60-'Расчет после реализации'!$E$175))*1.163*(1+'Расчет базового уровня'!$D$178)-списки!C63*1.163*'Ввод исходных данных'!E248),0))/1163</f>
        <v>0</v>
      </c>
      <c r="Q37" s="1169"/>
      <c r="R37" s="1171"/>
      <c r="S37" s="1172"/>
      <c r="T37" s="1171" t="e">
        <f ca="1">IF('Система ГВС'!F3=2,0,P37/'Расчет базового уровня'!$D$85*1163)</f>
        <v>#DIV/0!</v>
      </c>
      <c r="U37" s="1172" t="e">
        <f ca="1">T37</f>
        <v>#DIV/0!</v>
      </c>
      <c r="V37" s="1171" t="e">
        <f ca="1">(O37+P37)/'Расчет базового уровня'!$D$9/0.86*1000</f>
        <v>#DIV/0!</v>
      </c>
      <c r="W37" s="1173" t="e">
        <f ca="1">(S37*'Расчет базового уровня'!$D$35+'Список мероприятий'!U37*'Расчет базового уровня'!$D$15)/'Расчет базового уровня'!$D$9</f>
        <v>#DIV/0!</v>
      </c>
      <c r="X37" s="1173"/>
      <c r="Y37" s="1173"/>
      <c r="Z37" s="50">
        <f>IF(AB37-AA37=1,1,0)</f>
        <v>0</v>
      </c>
      <c r="AA37" s="1165">
        <f>IF(AND('Система ГВС'!$F$3=1,D35&lt;&gt;списки!N46,'Список мероприятий'!AC36=FALSE),1,0)</f>
        <v>1</v>
      </c>
      <c r="AB37" s="1137">
        <f>IF(AND(AA37=1,AC37=TRUE),1,0)</f>
        <v>0</v>
      </c>
      <c r="AC37" s="1138" t="b">
        <v>0</v>
      </c>
      <c r="AD37" s="1165">
        <f>IF(AND(AA37=1,A37="ОШИБКА"),1,0)</f>
        <v>0</v>
      </c>
      <c r="AE37" s="51" t="str">
        <f>IF(AB37=1,CONCATENATE(D37,CHAR(10)),"")</f>
        <v/>
      </c>
      <c r="AF37" s="50"/>
      <c r="AG37" s="50"/>
      <c r="AH37" s="50"/>
      <c r="AI37" s="50"/>
      <c r="AJ37" s="50"/>
      <c r="AK37" s="50"/>
      <c r="AL37" s="50"/>
      <c r="AM37" s="50"/>
      <c r="AN37" s="50"/>
      <c r="AO37" s="50"/>
      <c r="AP37" s="50"/>
      <c r="AQ37" s="50"/>
      <c r="AR37" s="50"/>
      <c r="AS37" s="50"/>
    </row>
    <row r="38" spans="1:54" x14ac:dyDescent="0.25">
      <c r="A38" s="1195" t="str">
        <f>IF(SUM(AD39:AD54)&gt;0,"Ошибка","")</f>
        <v/>
      </c>
      <c r="B38" s="50"/>
      <c r="C38" s="1183"/>
      <c r="D38" s="1184" t="s">
        <v>1388</v>
      </c>
      <c r="E38" s="1183"/>
      <c r="F38" s="1196"/>
      <c r="G38" s="1196"/>
      <c r="H38" s="1196"/>
      <c r="I38" s="1196"/>
      <c r="J38" s="1196"/>
      <c r="K38" s="1196"/>
      <c r="L38" s="1183"/>
      <c r="M38" s="50"/>
      <c r="N38" s="50"/>
      <c r="O38" s="1185"/>
      <c r="P38" s="1185"/>
      <c r="Q38" s="1185"/>
      <c r="R38" s="1187"/>
      <c r="S38" s="1197" t="e">
        <f ca="1">S39+S40+S41</f>
        <v>#DIV/0!</v>
      </c>
      <c r="T38" s="1187"/>
      <c r="U38" s="1197" t="e">
        <f ca="1">U39+U40+U41</f>
        <v>#DIV/0!</v>
      </c>
      <c r="V38" s="1187"/>
      <c r="W38" s="1197" t="e">
        <f ca="1">W39+W40+W41</f>
        <v>#DIV/0!</v>
      </c>
      <c r="X38" s="1197"/>
      <c r="Y38" s="1197"/>
      <c r="Z38" s="50"/>
      <c r="AA38" s="1188"/>
      <c r="AB38" s="1139"/>
      <c r="AC38" s="1140"/>
      <c r="AD38" s="1188"/>
      <c r="AE38" s="1189"/>
      <c r="AF38" s="50"/>
      <c r="AG38" s="50"/>
      <c r="AH38" s="50"/>
      <c r="AI38" s="50"/>
      <c r="AJ38" s="50"/>
      <c r="AK38" s="50"/>
      <c r="AL38" s="50"/>
      <c r="AM38" s="50"/>
      <c r="AN38" s="50"/>
      <c r="AO38" s="50"/>
      <c r="AP38" s="50"/>
      <c r="AQ38" s="50"/>
      <c r="AR38" s="50"/>
      <c r="AS38" s="50"/>
    </row>
    <row r="39" spans="1:54" ht="52.5" customHeight="1" x14ac:dyDescent="0.25">
      <c r="A39" s="1166" t="str">
        <f>IF(AND(AA39=0,AB39=1),"Ошибка","")</f>
        <v/>
      </c>
      <c r="B39" s="50"/>
      <c r="C39" s="1183"/>
      <c r="D39" s="1198" t="s">
        <v>1272</v>
      </c>
      <c r="E39" s="1192" t="s">
        <v>1702</v>
      </c>
      <c r="F39" s="1238"/>
      <c r="G39" s="1237"/>
      <c r="H39" s="1279">
        <f>I39+J39+K39</f>
        <v>0</v>
      </c>
      <c r="I39" s="1238"/>
      <c r="J39" s="1337">
        <f>IF(AB39=1,G39*F39,0)</f>
        <v>0</v>
      </c>
      <c r="K39" s="1238"/>
      <c r="L39" s="908"/>
      <c r="M39" s="50"/>
      <c r="N39" s="50"/>
      <c r="O39" s="1169">
        <f>IF(AB39=1,('Расчет базового уровня'!D160-'Расчет после реализации'!D160)*'Расчет базового уровня'!D13,0)</f>
        <v>0</v>
      </c>
      <c r="P39" s="1199"/>
      <c r="Q39" s="1199"/>
      <c r="R39" s="1173" t="e">
        <f ca="1">O39/'Расчет базового уровня'!$D$35/0.86*1000</f>
        <v>#DIV/0!</v>
      </c>
      <c r="S39" s="1173" t="e">
        <f ca="1">R39*(1-R33-S20-S7-S62-S73)</f>
        <v>#DIV/0!</v>
      </c>
      <c r="T39" s="1151"/>
      <c r="U39" s="1151"/>
      <c r="V39" s="1171" t="e">
        <f ca="1">(O39+P39)/'Расчет базового уровня'!$D$9/0.86*1000</f>
        <v>#DIV/0!</v>
      </c>
      <c r="W39" s="1173" t="e">
        <f ca="1">(S39*'Расчет базового уровня'!$D$35+'Список мероприятий'!U39*'Расчет базового уровня'!$D$15)/'Расчет базового уровня'!$D$9</f>
        <v>#DIV/0!</v>
      </c>
      <c r="X39" s="1173"/>
      <c r="Y39" s="1173"/>
      <c r="Z39" s="50">
        <f>IF(AB39-AA39=1,1,0)</f>
        <v>0</v>
      </c>
      <c r="AA39" s="1165">
        <v>1</v>
      </c>
      <c r="AB39" s="1137">
        <f>IF(AC39=TRUE,1,0)</f>
        <v>0</v>
      </c>
      <c r="AC39" s="1138" t="b">
        <v>0</v>
      </c>
      <c r="AD39" s="1165">
        <f>IF(AND(AA39=1,A39="ОШИБКА"),1,0)</f>
        <v>0</v>
      </c>
      <c r="AE39" s="51" t="str">
        <f>IF(AB39=1,CONCATENATE(D39,CHAR(10)),"")</f>
        <v/>
      </c>
      <c r="AF39" s="50"/>
      <c r="AG39" s="50"/>
      <c r="AH39" s="50"/>
      <c r="AI39" s="50"/>
      <c r="AJ39" s="50"/>
      <c r="AK39" s="50"/>
      <c r="AL39" s="50"/>
      <c r="AM39" s="50"/>
      <c r="AN39" s="50"/>
      <c r="AO39" s="50"/>
      <c r="AP39" s="50"/>
      <c r="AQ39" s="50"/>
      <c r="AR39" s="50"/>
      <c r="AS39" s="50"/>
    </row>
    <row r="40" spans="1:54" ht="101.45" customHeight="1" x14ac:dyDescent="0.25">
      <c r="A40" s="1166" t="str">
        <f>IF(AND(AA40=0,AC40=TRUE),"Ошибка","")</f>
        <v/>
      </c>
      <c r="B40" s="50"/>
      <c r="C40" s="1183"/>
      <c r="D40" s="1200" t="s">
        <v>1757</v>
      </c>
      <c r="E40" s="1192" t="s">
        <v>1703</v>
      </c>
      <c r="F40" s="1237"/>
      <c r="G40" s="1237"/>
      <c r="H40" s="1279">
        <f>I40+J40+K40</f>
        <v>0</v>
      </c>
      <c r="I40" s="1238"/>
      <c r="J40" s="1344">
        <f>IF(AB40=1,G40*F40,0)</f>
        <v>0</v>
      </c>
      <c r="K40" s="1238"/>
      <c r="L40" s="908"/>
      <c r="M40" s="50"/>
      <c r="N40" s="50"/>
      <c r="O40" s="1169"/>
      <c r="P40" s="1169">
        <f>IF(AB40=1,-'Расчет базового уровня'!D85*(1+'Расчет после реализации'!D176)/(1+'Расчет базового уровня'!D178)+'Расчет базового уровня'!D85,0)*0.86/1000</f>
        <v>0</v>
      </c>
      <c r="Q40" s="1169"/>
      <c r="R40" s="1171"/>
      <c r="S40" s="1171"/>
      <c r="T40" s="1171" t="e">
        <f ca="1">IF('Система ГВС'!F3=2,0,P40/'Расчет базового уровня'!$D$85/0.86*1000)</f>
        <v>#DIV/0!</v>
      </c>
      <c r="U40" s="1171" t="e">
        <f ca="1">IF('Система ГВС'!F3=2,0,T40*(1-T34-T41))</f>
        <v>#DIV/0!</v>
      </c>
      <c r="V40" s="1171" t="e">
        <f ca="1">(O40+P40)/'Расчет базового уровня'!$D$9/0.86*1000</f>
        <v>#DIV/0!</v>
      </c>
      <c r="W40" s="1173" t="e">
        <f ca="1">(S40*'Расчет базового уровня'!$D$35+'Список мероприятий'!U40*'Расчет базового уровня'!$D$15)/'Расчет базового уровня'!$D$9</f>
        <v>#DIV/0!</v>
      </c>
      <c r="X40" s="1173"/>
      <c r="Y40" s="1173"/>
      <c r="Z40" s="50">
        <f>IF(AB40-AA40=1,1,0)</f>
        <v>0</v>
      </c>
      <c r="AA40" s="1165">
        <f>IF(AND('Система ГВС'!$F$3=1),1,0)</f>
        <v>1</v>
      </c>
      <c r="AB40" s="1137">
        <f>IF(AND(AA40=1,AC40=TRUE),1,0)</f>
        <v>0</v>
      </c>
      <c r="AC40" s="1138" t="b">
        <v>0</v>
      </c>
      <c r="AD40" s="1165">
        <f>IF(AND(AA40=1,A40="ОШИБКА"),1,0)</f>
        <v>0</v>
      </c>
      <c r="AE40" s="51" t="str">
        <f>IF(AB40=1,CONCATENATE(D40,CHAR(10)),"")</f>
        <v/>
      </c>
      <c r="AF40" s="50"/>
      <c r="AG40" s="50"/>
      <c r="AH40" s="50"/>
      <c r="AI40" s="50"/>
      <c r="AJ40" s="50"/>
      <c r="AK40" s="50"/>
      <c r="AL40" s="50"/>
      <c r="AM40" s="50"/>
      <c r="AN40" s="50"/>
      <c r="AO40" s="50"/>
      <c r="AP40" s="50"/>
      <c r="AQ40" s="50"/>
      <c r="AR40" s="50"/>
      <c r="AS40" s="50"/>
    </row>
    <row r="41" spans="1:54" ht="45.75" customHeight="1" x14ac:dyDescent="0.25">
      <c r="A41" s="1166" t="str">
        <f>IF(AND(AA41=0,AC41=TRUE),"Ошибка","")</f>
        <v/>
      </c>
      <c r="B41" s="50"/>
      <c r="C41" s="1183"/>
      <c r="D41" s="1190" t="s">
        <v>1758</v>
      </c>
      <c r="E41" s="1201" t="s">
        <v>1256</v>
      </c>
      <c r="F41" s="1237"/>
      <c r="G41" s="1237"/>
      <c r="H41" s="1239">
        <f>I41+J41+K41</f>
        <v>0</v>
      </c>
      <c r="I41" s="1237"/>
      <c r="J41" s="1237">
        <f>IF(AB41=1,G41*F41,0)</f>
        <v>0</v>
      </c>
      <c r="K41" s="1237"/>
      <c r="L41" s="1193" t="s">
        <v>1721</v>
      </c>
      <c r="M41" s="50"/>
      <c r="N41" s="50"/>
      <c r="O41" s="1169"/>
      <c r="P41" s="1169">
        <f>IF(AB41=1,'Расчет базового уровня'!D85*0.1-'Расчет после реализации'!D180/0.86*1000,0)*0.86/1000</f>
        <v>0</v>
      </c>
      <c r="Q41" s="1169"/>
      <c r="R41" s="1171"/>
      <c r="S41" s="1172"/>
      <c r="T41" s="1171" t="e">
        <f ca="1">IF('Система ГВС'!F3=2,0,P41/'Расчет базового уровня'!$D$85/0.86*1000)</f>
        <v>#DIV/0!</v>
      </c>
      <c r="U41" s="1171" t="e">
        <f ca="1">T41</f>
        <v>#DIV/0!</v>
      </c>
      <c r="V41" s="1171" t="e">
        <f ca="1">(O41+P41)/'Расчет базового уровня'!$D$9/0.86*1000</f>
        <v>#DIV/0!</v>
      </c>
      <c r="W41" s="1173" t="e">
        <f ca="1">(S41*'Расчет базового уровня'!$D$35+'Список мероприятий'!U41*'Расчет базового уровня'!$D$15)/'Расчет базового уровня'!$D$9</f>
        <v>#DIV/0!</v>
      </c>
      <c r="X41" s="1173"/>
      <c r="Y41" s="1173"/>
      <c r="Z41" s="50">
        <f>IF(AB41-AA41=1,1,0)</f>
        <v>0</v>
      </c>
      <c r="AA41" s="1165">
        <f>IF(AND('Система ГВС'!$F$3=1,'Система ГВС'!F17=0),1,0)</f>
        <v>1</v>
      </c>
      <c r="AB41" s="1137">
        <f>IF(AND(AA41=1,AC41=TRUE),1,0)</f>
        <v>0</v>
      </c>
      <c r="AC41" s="1138" t="b">
        <v>0</v>
      </c>
      <c r="AD41" s="1165">
        <f>IF(AND(AA41=1,A41="ОШИБКА"),1,0)</f>
        <v>0</v>
      </c>
      <c r="AE41" s="51" t="str">
        <f>IF(AB41=1,CONCATENATE(D41,CHAR(10)),"")</f>
        <v/>
      </c>
      <c r="AF41" s="50"/>
      <c r="AG41" s="50"/>
      <c r="AH41" s="50"/>
      <c r="AI41" s="50"/>
      <c r="AJ41" s="50"/>
      <c r="AK41" s="50"/>
      <c r="AL41" s="50"/>
      <c r="AM41" s="50"/>
      <c r="AN41" s="50"/>
      <c r="AO41" s="50"/>
      <c r="AP41" s="50"/>
      <c r="AQ41" s="50"/>
      <c r="AR41" s="50"/>
      <c r="AS41" s="50"/>
    </row>
    <row r="42" spans="1:54" ht="46.5" customHeight="1" x14ac:dyDescent="0.25">
      <c r="A42" s="1202"/>
      <c r="B42" s="50"/>
      <c r="C42" s="1183"/>
      <c r="D42" s="1203" t="s">
        <v>1486</v>
      </c>
      <c r="E42" s="50"/>
      <c r="F42" s="50"/>
      <c r="G42" s="50"/>
      <c r="H42" s="50"/>
      <c r="I42" s="50"/>
      <c r="J42" s="50"/>
      <c r="K42" s="50"/>
      <c r="L42" s="50"/>
      <c r="M42" s="50"/>
      <c r="N42" s="50"/>
      <c r="O42" s="1169"/>
      <c r="P42" s="1169"/>
      <c r="Q42" s="1169"/>
      <c r="R42" s="1171"/>
      <c r="S42" s="1172"/>
      <c r="T42" s="1171"/>
      <c r="U42" s="1171"/>
      <c r="V42" s="1171"/>
      <c r="W42" s="1173"/>
      <c r="X42" s="1173"/>
      <c r="Y42" s="1173"/>
      <c r="Z42" s="50"/>
      <c r="AA42" s="1165"/>
      <c r="AB42" s="1137"/>
      <c r="AC42" s="1138"/>
      <c r="AD42" s="1165"/>
      <c r="AF42" s="50"/>
      <c r="AG42" s="50"/>
      <c r="AH42" s="50"/>
      <c r="AI42" s="50"/>
      <c r="AJ42" s="50"/>
      <c r="AK42" s="50"/>
      <c r="AL42" s="50"/>
      <c r="AM42" s="50"/>
      <c r="AN42" s="50"/>
      <c r="AO42" s="50"/>
      <c r="AP42" s="50"/>
      <c r="AQ42" s="50"/>
      <c r="AR42" s="50"/>
      <c r="AS42" s="50"/>
    </row>
    <row r="43" spans="1:54" x14ac:dyDescent="0.25">
      <c r="A43" s="1202"/>
      <c r="B43" s="50"/>
      <c r="C43" s="1183"/>
      <c r="D43" s="1235">
        <f>'Ввод исходных данных'!G60+'Серии планировка'!AB76</f>
        <v>0</v>
      </c>
      <c r="E43" s="50"/>
      <c r="F43" s="50"/>
      <c r="G43" s="50"/>
      <c r="H43" s="50"/>
      <c r="I43" s="50"/>
      <c r="J43" s="50"/>
      <c r="K43" s="50"/>
      <c r="L43" s="50"/>
      <c r="M43" s="50"/>
      <c r="N43" s="50"/>
      <c r="O43" s="1169"/>
      <c r="P43" s="1169"/>
      <c r="Q43" s="1169"/>
      <c r="R43" s="1171"/>
      <c r="S43" s="1172"/>
      <c r="T43" s="1171"/>
      <c r="U43" s="1171"/>
      <c r="V43" s="1171"/>
      <c r="W43" s="1173"/>
      <c r="X43" s="1173"/>
      <c r="Y43" s="1173"/>
      <c r="Z43" s="50"/>
      <c r="AA43" s="1165"/>
      <c r="AB43" s="1137"/>
      <c r="AC43" s="1138"/>
      <c r="AD43" s="1165"/>
      <c r="AF43" s="50"/>
      <c r="AG43" s="50"/>
      <c r="AH43" s="50"/>
      <c r="AI43" s="50"/>
      <c r="AJ43" s="50"/>
      <c r="AK43" s="50"/>
      <c r="AL43" s="50"/>
      <c r="AM43" s="50"/>
      <c r="AN43" s="50"/>
      <c r="AO43" s="50"/>
      <c r="AP43" s="50"/>
      <c r="AQ43" s="50"/>
      <c r="AR43" s="50"/>
      <c r="AS43" s="50"/>
    </row>
    <row r="44" spans="1:54" ht="48.75" customHeight="1" x14ac:dyDescent="0.25">
      <c r="A44" s="1204" t="str">
        <f>IF(AND(AA44=0,AB44=1),"Ошибка","")</f>
        <v/>
      </c>
      <c r="B44" s="50"/>
      <c r="C44" s="1183"/>
      <c r="D44" s="1176" t="s">
        <v>1258</v>
      </c>
      <c r="E44" s="1280" t="s">
        <v>1701</v>
      </c>
      <c r="F44" s="1237"/>
      <c r="G44" s="1237"/>
      <c r="H44" s="1239">
        <f>H45+H46+H47</f>
        <v>0</v>
      </c>
      <c r="I44" s="1237"/>
      <c r="J44" s="1237"/>
      <c r="K44" s="1237"/>
      <c r="L44" s="2153" t="s">
        <v>1722</v>
      </c>
      <c r="M44" s="50"/>
      <c r="N44" s="50"/>
      <c r="O44" s="1169"/>
      <c r="P44" s="1169"/>
      <c r="Q44" s="1169"/>
      <c r="R44" s="1151"/>
      <c r="S44" s="1151"/>
      <c r="T44" s="1151"/>
      <c r="U44" s="1151"/>
      <c r="V44" s="1151"/>
      <c r="W44" s="1151"/>
      <c r="X44" s="1151"/>
      <c r="Y44" s="1172" t="e">
        <f>SUM(Y45:Y47)</f>
        <v>#DIV/0!</v>
      </c>
      <c r="Z44" s="50"/>
      <c r="AA44" s="1165">
        <f>IF(SUM(AA45:AA47)&gt;0,1,0)</f>
        <v>0</v>
      </c>
      <c r="AB44" s="1137">
        <f>IF(SUM(AB45:AB47)&gt;0,1,0)</f>
        <v>0</v>
      </c>
      <c r="AC44" s="1137"/>
      <c r="AD44" s="1165">
        <f>IF(AND(AA44=1,A44="ОШИБКА"),1,0)</f>
        <v>0</v>
      </c>
      <c r="AE44" s="51" t="str">
        <f>IF(AB45=1,CONCATENATE(D44,CHAR(10)),"")</f>
        <v/>
      </c>
      <c r="AF44" s="50"/>
      <c r="AG44" s="50"/>
      <c r="AH44" s="50"/>
      <c r="AI44" s="50"/>
      <c r="AJ44" s="50"/>
      <c r="AK44" s="50"/>
      <c r="AL44" s="50"/>
      <c r="AM44" s="50"/>
      <c r="AN44" s="50"/>
      <c r="AO44" s="50"/>
      <c r="AP44" s="50"/>
      <c r="AQ44" s="50"/>
      <c r="AR44" s="50"/>
      <c r="AS44" s="50"/>
    </row>
    <row r="45" spans="1:54" ht="16.5" customHeight="1" x14ac:dyDescent="0.25">
      <c r="A45" s="1204" t="str">
        <f>IF(AND(AA45=0,AC45=TRUE),"Ошибка","")</f>
        <v/>
      </c>
      <c r="B45" s="50"/>
      <c r="C45" s="1205"/>
      <c r="D45" s="1206" t="s">
        <v>1312</v>
      </c>
      <c r="E45" s="1207"/>
      <c r="F45" s="1237"/>
      <c r="G45" s="1237"/>
      <c r="H45" s="1309">
        <f>I45+J45+K45</f>
        <v>0</v>
      </c>
      <c r="I45" s="1237"/>
      <c r="J45" s="1237"/>
      <c r="K45" s="1237"/>
      <c r="L45" s="2154"/>
      <c r="M45" s="50"/>
      <c r="N45" s="50"/>
      <c r="O45" s="1169"/>
      <c r="P45" s="1169"/>
      <c r="Q45" s="1151">
        <f>IF(AB45=1,'Расчет после реализации'!$D$110/(IF($AB$54=1,0.9572,1))-'Расчет после реализации'!$C$110,0)</f>
        <v>0</v>
      </c>
      <c r="R45" s="1151"/>
      <c r="S45" s="1151"/>
      <c r="T45" s="1151"/>
      <c r="U45" s="1151"/>
      <c r="V45" s="1151"/>
      <c r="W45" s="1151"/>
      <c r="X45" s="1171" t="e">
        <f>Q45/'Расчет базового уровня'!$D$100</f>
        <v>#DIV/0!</v>
      </c>
      <c r="Y45" s="1172" t="e">
        <f>X45</f>
        <v>#DIV/0!</v>
      </c>
      <c r="Z45" s="50">
        <f>IF(AB45-AA45=1,1,0)</f>
        <v>0</v>
      </c>
      <c r="AA45" s="50">
        <f>IF(AND('Ввод исходных данных'!D165&gt;0,AC50=FALSE,AB34=0),1,0)</f>
        <v>0</v>
      </c>
      <c r="AB45" s="1137">
        <f>IF(AND(AA45=1,AC45=TRUE),1,0)</f>
        <v>0</v>
      </c>
      <c r="AC45" s="1138" t="b">
        <v>0</v>
      </c>
      <c r="AD45" s="1165">
        <f>IF(AND(AA45=1,A45="ОШИБКА"),1,0)</f>
        <v>0</v>
      </c>
      <c r="AF45" s="50"/>
      <c r="AG45" s="50"/>
      <c r="AH45" s="50"/>
      <c r="AI45" s="50"/>
      <c r="AJ45" s="50"/>
      <c r="AK45" s="50"/>
      <c r="AL45" s="50"/>
      <c r="AM45" s="50"/>
      <c r="AN45" s="50"/>
      <c r="AO45" s="50"/>
      <c r="AP45" s="50"/>
      <c r="AQ45" s="50"/>
      <c r="AR45" s="50"/>
      <c r="AS45" s="50"/>
    </row>
    <row r="46" spans="1:54" ht="19.5" customHeight="1" x14ac:dyDescent="0.25">
      <c r="A46" s="1204" t="str">
        <f>IF(AND(AA46=0,AC46=TRUE),"Ошибка","")</f>
        <v/>
      </c>
      <c r="B46" s="50"/>
      <c r="C46" s="1205"/>
      <c r="D46" s="1206" t="s">
        <v>541</v>
      </c>
      <c r="E46" s="1207"/>
      <c r="F46" s="1237"/>
      <c r="G46" s="1237"/>
      <c r="H46" s="1309">
        <f>I46+J46+K46</f>
        <v>0</v>
      </c>
      <c r="I46" s="1237"/>
      <c r="J46" s="1237"/>
      <c r="K46" s="1237"/>
      <c r="L46" s="2154"/>
      <c r="M46" s="50"/>
      <c r="N46" s="50"/>
      <c r="O46" s="1169"/>
      <c r="P46" s="1169"/>
      <c r="Q46" s="1151">
        <f>IF(AB46=1,'Расчет после реализации'!$D$111/(IF($AB$54=1,0.9572,1))-'Расчет после реализации'!$C$111,0)</f>
        <v>0</v>
      </c>
      <c r="R46" s="1151"/>
      <c r="S46" s="1151"/>
      <c r="T46" s="1151"/>
      <c r="U46" s="1151"/>
      <c r="V46" s="1151"/>
      <c r="W46" s="1151"/>
      <c r="X46" s="1171" t="e">
        <f>Q46/'Расчет базового уровня'!$D$100</f>
        <v>#DIV/0!</v>
      </c>
      <c r="Y46" s="1172" t="e">
        <f>X46</f>
        <v>#DIV/0!</v>
      </c>
      <c r="Z46" s="50">
        <f>IF(AB46-AA46=1,1,0)</f>
        <v>0</v>
      </c>
      <c r="AA46" s="50">
        <f>IF(AND('Ввод исходных данных'!D169&gt;0,AC51=FALSE,D35&lt;&gt;списки!N46),1,0)</f>
        <v>0</v>
      </c>
      <c r="AB46" s="1137">
        <f>IF(AND(AA46=1,AC46=TRUE),1,0)</f>
        <v>0</v>
      </c>
      <c r="AC46" s="1138" t="b">
        <v>0</v>
      </c>
      <c r="AD46" s="1165">
        <f>IF(AND(AA46=1,A46="ОШИБКА"),1,0)</f>
        <v>0</v>
      </c>
      <c r="AF46" s="50"/>
      <c r="AG46" s="50"/>
      <c r="AH46" s="50"/>
      <c r="AI46" s="50"/>
      <c r="AJ46" s="50"/>
      <c r="AK46" s="50"/>
      <c r="AL46" s="50"/>
      <c r="AM46" s="50"/>
      <c r="AN46" s="50"/>
      <c r="AO46" s="50"/>
      <c r="AP46" s="50"/>
      <c r="AQ46" s="50"/>
      <c r="AR46" s="50"/>
      <c r="AS46" s="50"/>
    </row>
    <row r="47" spans="1:54" ht="18" customHeight="1" x14ac:dyDescent="0.25">
      <c r="A47" s="1204" t="str">
        <f>IF(AND(AA47=0,AC47=TRUE),"Ошибка","")</f>
        <v/>
      </c>
      <c r="B47" s="50"/>
      <c r="C47" s="1205"/>
      <c r="D47" s="1206" t="s">
        <v>1313</v>
      </c>
      <c r="E47" s="1207"/>
      <c r="F47" s="1237"/>
      <c r="G47" s="1237"/>
      <c r="H47" s="1309">
        <f>I47+J47+K47</f>
        <v>0</v>
      </c>
      <c r="I47" s="1237"/>
      <c r="J47" s="1237"/>
      <c r="K47" s="1237"/>
      <c r="L47" s="2155"/>
      <c r="M47" s="50"/>
      <c r="N47" s="50"/>
      <c r="O47" s="1169"/>
      <c r="P47" s="1169"/>
      <c r="Q47" s="1151">
        <f>IF(AB47=1,'Расчет после реализации'!$D$112/(IF($AB$54=1,0.9572,1))-'Расчет после реализации'!$C$112,0)</f>
        <v>0</v>
      </c>
      <c r="R47" s="1151"/>
      <c r="S47" s="1151"/>
      <c r="T47" s="1151"/>
      <c r="U47" s="1151"/>
      <c r="V47" s="1151"/>
      <c r="W47" s="1151"/>
      <c r="X47" s="1171" t="e">
        <f>Q47/'Расчет базового уровня'!$D$100</f>
        <v>#DIV/0!</v>
      </c>
      <c r="Y47" s="1172" t="e">
        <f>X47</f>
        <v>#DIV/0!</v>
      </c>
      <c r="Z47" s="50">
        <f>IF(AB47-AA47=1,1,0)</f>
        <v>0</v>
      </c>
      <c r="AA47" s="50">
        <f>IF(AND('Ввод исходных данных'!D173&gt;0,AC52=FALSE),1,0)</f>
        <v>0</v>
      </c>
      <c r="AB47" s="1137">
        <f>IF(AND(AA47=1,AC47=TRUE),1,0)</f>
        <v>0</v>
      </c>
      <c r="AC47" s="1138" t="b">
        <v>0</v>
      </c>
      <c r="AD47" s="1165">
        <f>IF(AND(AA47=1,A47="ОШИБКА"),1,0)</f>
        <v>0</v>
      </c>
      <c r="AF47" s="50"/>
      <c r="AG47" s="50"/>
      <c r="AH47" s="50"/>
      <c r="AI47" s="50"/>
      <c r="AJ47" s="50"/>
      <c r="AK47" s="50"/>
      <c r="AL47" s="50"/>
      <c r="AM47" s="50"/>
      <c r="AN47" s="50"/>
      <c r="AO47" s="50"/>
      <c r="AP47" s="50"/>
      <c r="AQ47" s="50"/>
      <c r="AR47" s="50"/>
      <c r="AS47" s="50"/>
    </row>
    <row r="48" spans="1:54" x14ac:dyDescent="0.25">
      <c r="A48" s="50"/>
      <c r="B48" s="50"/>
      <c r="C48" s="50"/>
      <c r="D48" s="50"/>
      <c r="E48" s="50"/>
      <c r="F48" s="1175"/>
      <c r="G48" s="1175"/>
      <c r="H48" s="1175"/>
      <c r="I48" s="1175"/>
      <c r="J48" s="1175"/>
      <c r="K48" s="1175"/>
      <c r="L48" s="50"/>
      <c r="M48" s="50"/>
      <c r="N48" s="50"/>
      <c r="O48" s="1169"/>
      <c r="P48" s="1169"/>
      <c r="Q48" s="1169"/>
      <c r="R48" s="1151"/>
      <c r="S48" s="1151"/>
      <c r="T48" s="1151"/>
      <c r="U48" s="1151"/>
      <c r="V48" s="1151"/>
      <c r="W48" s="1151"/>
      <c r="X48" s="1151"/>
      <c r="Y48" s="1151"/>
      <c r="Z48" s="50"/>
      <c r="AA48" s="50"/>
      <c r="AB48" s="1133"/>
      <c r="AC48" s="1134"/>
      <c r="AD48" s="50"/>
      <c r="AF48" s="50"/>
      <c r="AG48" s="50"/>
      <c r="AH48" s="50"/>
      <c r="AI48" s="50"/>
      <c r="AJ48" s="50"/>
      <c r="AK48" s="50"/>
      <c r="AL48" s="50"/>
      <c r="AM48" s="50"/>
      <c r="AN48" s="50"/>
      <c r="AO48" s="50"/>
      <c r="AP48" s="50"/>
      <c r="AQ48" s="50"/>
      <c r="AR48" s="50"/>
      <c r="AS48" s="50"/>
    </row>
    <row r="49" spans="1:45" ht="60" x14ac:dyDescent="0.25">
      <c r="A49" s="1204" t="str">
        <f>IF(AND(AA49=0,AB49=1),"Ошибка","")</f>
        <v/>
      </c>
      <c r="B49" s="50"/>
      <c r="C49" s="1183"/>
      <c r="D49" s="1208" t="s">
        <v>1343</v>
      </c>
      <c r="E49" s="1280" t="s">
        <v>1701</v>
      </c>
      <c r="F49" s="1237"/>
      <c r="G49" s="1237"/>
      <c r="H49" s="1309">
        <f>H50+H51+H52</f>
        <v>0</v>
      </c>
      <c r="I49" s="1237"/>
      <c r="J49" s="1237"/>
      <c r="K49" s="1237"/>
      <c r="L49" s="2107" t="s">
        <v>1723</v>
      </c>
      <c r="M49" s="50"/>
      <c r="N49" s="50"/>
      <c r="O49" s="1169"/>
      <c r="P49" s="1169"/>
      <c r="Q49" s="1169"/>
      <c r="R49" s="1151"/>
      <c r="S49" s="1151"/>
      <c r="T49" s="1151"/>
      <c r="U49" s="1151"/>
      <c r="V49" s="1151"/>
      <c r="W49" s="1151"/>
      <c r="X49" s="1151"/>
      <c r="Y49" s="1172" t="e">
        <f>SUM(Y50:Y52)</f>
        <v>#DIV/0!</v>
      </c>
      <c r="Z49" s="50"/>
      <c r="AA49" s="1165">
        <f>IF(SUM(AA50:AA52)&gt;0,1,0)</f>
        <v>0</v>
      </c>
      <c r="AB49" s="1137">
        <f>IF(SUM(AB50:AB52)&gt;0,1,0)</f>
        <v>0</v>
      </c>
      <c r="AC49" s="1137"/>
      <c r="AD49" s="1165"/>
      <c r="AE49" s="51" t="str">
        <f>IF(AB49=1,CONCATENATE(D49,CHAR(10)),"")</f>
        <v/>
      </c>
      <c r="AF49" s="50"/>
      <c r="AG49" s="50"/>
      <c r="AH49" s="50"/>
      <c r="AI49" s="50"/>
      <c r="AJ49" s="50"/>
      <c r="AK49" s="50"/>
      <c r="AL49" s="50"/>
      <c r="AM49" s="50"/>
      <c r="AN49" s="50"/>
      <c r="AO49" s="50"/>
      <c r="AP49" s="50"/>
      <c r="AQ49" s="50"/>
      <c r="AR49" s="50"/>
      <c r="AS49" s="50"/>
    </row>
    <row r="50" spans="1:45" ht="16.5" customHeight="1" x14ac:dyDescent="0.25">
      <c r="A50" s="1204" t="str">
        <f>IF(AND(AA50=0,AC50=TRUE),"Ошибка","")</f>
        <v/>
      </c>
      <c r="B50" s="50"/>
      <c r="C50" s="1205"/>
      <c r="D50" s="1206" t="s">
        <v>1312</v>
      </c>
      <c r="E50" s="1207"/>
      <c r="F50" s="1237"/>
      <c r="G50" s="1237"/>
      <c r="H50" s="1309">
        <f>I50+J50+K50</f>
        <v>0</v>
      </c>
      <c r="I50" s="1237"/>
      <c r="J50" s="1237"/>
      <c r="K50" s="1237"/>
      <c r="L50" s="2108"/>
      <c r="M50" s="50"/>
      <c r="N50" s="50"/>
      <c r="O50" s="1151"/>
      <c r="P50" s="1151"/>
      <c r="Q50" s="1151">
        <f>IF(AB50=1,'Расчет после реализации'!$D$110/(IF($AB$54=1,0.9572,1))-'Расчет после реализации'!$C$110,0)</f>
        <v>0</v>
      </c>
      <c r="R50" s="1151"/>
      <c r="S50" s="1151"/>
      <c r="T50" s="1151"/>
      <c r="U50" s="1151"/>
      <c r="V50" s="1151"/>
      <c r="W50" s="1151"/>
      <c r="X50" s="1171" t="e">
        <f>Q50/'Расчет базового уровня'!$D$100</f>
        <v>#DIV/0!</v>
      </c>
      <c r="Y50" s="1172" t="e">
        <f>X50</f>
        <v>#DIV/0!</v>
      </c>
      <c r="Z50" s="50">
        <f>IF(AB50-AA50=1,1,0)</f>
        <v>0</v>
      </c>
      <c r="AA50" s="50">
        <f>IF(AND('Ввод исходных данных'!D165&gt;0,AC45=FALSE,AB34=0),1,0)</f>
        <v>0</v>
      </c>
      <c r="AB50" s="1137">
        <f>IF(AND(AA50=1,AC50=TRUE),1,0)</f>
        <v>0</v>
      </c>
      <c r="AC50" s="1138" t="b">
        <v>0</v>
      </c>
      <c r="AD50" s="1165">
        <f>IF(AND(AA50=1,A50="ОШИБКА"),1,0)</f>
        <v>0</v>
      </c>
      <c r="AF50" s="50"/>
      <c r="AG50" s="50"/>
      <c r="AH50" s="50"/>
      <c r="AI50" s="50"/>
      <c r="AJ50" s="50"/>
      <c r="AK50" s="50"/>
      <c r="AL50" s="50"/>
      <c r="AM50" s="50"/>
      <c r="AN50" s="50"/>
      <c r="AO50" s="50"/>
      <c r="AP50" s="50"/>
      <c r="AQ50" s="50"/>
      <c r="AR50" s="50"/>
      <c r="AS50" s="50"/>
    </row>
    <row r="51" spans="1:45" ht="19.5" customHeight="1" x14ac:dyDescent="0.25">
      <c r="A51" s="1204" t="str">
        <f>IF(AND(AA51=0,AC51=TRUE),"Ошибка","")</f>
        <v/>
      </c>
      <c r="B51" s="50"/>
      <c r="C51" s="1205"/>
      <c r="D51" s="1206" t="s">
        <v>541</v>
      </c>
      <c r="E51" s="1207"/>
      <c r="F51" s="1237"/>
      <c r="G51" s="1237"/>
      <c r="H51" s="1309">
        <f>I51+J51+K51</f>
        <v>0</v>
      </c>
      <c r="I51" s="1237"/>
      <c r="J51" s="1237"/>
      <c r="K51" s="1237"/>
      <c r="L51" s="2108"/>
      <c r="M51" s="50"/>
      <c r="N51" s="50"/>
      <c r="O51" s="1151"/>
      <c r="P51" s="1151"/>
      <c r="Q51" s="1151">
        <f>IF(AB51=1,'Расчет после реализации'!$D$111/(IF($AB$54=1,0.9572,1))-'Расчет после реализации'!$C$111,0)</f>
        <v>0</v>
      </c>
      <c r="R51" s="1151"/>
      <c r="S51" s="1151"/>
      <c r="T51" s="1151"/>
      <c r="U51" s="1151"/>
      <c r="V51" s="1151"/>
      <c r="W51" s="1151"/>
      <c r="X51" s="1171" t="e">
        <f>Q51/'Расчет базового уровня'!$D$100</f>
        <v>#DIV/0!</v>
      </c>
      <c r="Y51" s="1172" t="e">
        <f>X51</f>
        <v>#DIV/0!</v>
      </c>
      <c r="Z51" s="50">
        <f>IF(AB51-AA51=1,1,0)</f>
        <v>0</v>
      </c>
      <c r="AA51" s="50">
        <f>IF(AND('Ввод исходных данных'!D169&gt;0,AC46=FALSE,D35&lt;&gt;списки!N46),1,0)</f>
        <v>0</v>
      </c>
      <c r="AB51" s="1137">
        <f>IF(AND(AA51=1,AC51=TRUE),1,0)</f>
        <v>0</v>
      </c>
      <c r="AC51" s="1138" t="b">
        <v>0</v>
      </c>
      <c r="AD51" s="1165">
        <f>IF(AND(AA51=1,A51="ОШИБКА"),1,0)</f>
        <v>0</v>
      </c>
      <c r="AF51" s="50"/>
      <c r="AG51" s="50"/>
      <c r="AH51" s="50"/>
      <c r="AI51" s="50"/>
      <c r="AJ51" s="50"/>
      <c r="AK51" s="50"/>
      <c r="AL51" s="50"/>
      <c r="AM51" s="50"/>
      <c r="AN51" s="50"/>
      <c r="AO51" s="50"/>
      <c r="AP51" s="50"/>
      <c r="AQ51" s="50"/>
      <c r="AR51" s="50"/>
      <c r="AS51" s="50"/>
    </row>
    <row r="52" spans="1:45" ht="18" customHeight="1" x14ac:dyDescent="0.25">
      <c r="A52" s="1204" t="str">
        <f>IF(AND(AA52=0,AC52=TRUE),"Ошибка","")</f>
        <v/>
      </c>
      <c r="B52" s="50"/>
      <c r="C52" s="1205"/>
      <c r="D52" s="1206" t="s">
        <v>1313</v>
      </c>
      <c r="E52" s="1207"/>
      <c r="F52" s="1237"/>
      <c r="G52" s="1237"/>
      <c r="H52" s="1309">
        <f>I52+J52+K52</f>
        <v>0</v>
      </c>
      <c r="I52" s="1237"/>
      <c r="J52" s="1237"/>
      <c r="K52" s="1237"/>
      <c r="L52" s="2109"/>
      <c r="M52" s="50"/>
      <c r="N52" s="50"/>
      <c r="O52" s="1151"/>
      <c r="P52" s="1151"/>
      <c r="Q52" s="1151">
        <f>IF(AB52=1,'Расчет после реализации'!$D$112/(IF($AB$54=1,0.9572,1))-'Расчет после реализации'!$C$112,0)</f>
        <v>0</v>
      </c>
      <c r="R52" s="1151"/>
      <c r="S52" s="1151"/>
      <c r="T52" s="1151"/>
      <c r="U52" s="1151"/>
      <c r="V52" s="1151"/>
      <c r="W52" s="1151"/>
      <c r="X52" s="1171" t="e">
        <f>Q52/'Расчет базового уровня'!$D$100</f>
        <v>#DIV/0!</v>
      </c>
      <c r="Y52" s="1172" t="e">
        <f>X52</f>
        <v>#DIV/0!</v>
      </c>
      <c r="Z52" s="50">
        <f>IF(AB52-AA52=1,1,0)</f>
        <v>0</v>
      </c>
      <c r="AA52" s="50">
        <f>IF(AND('Ввод исходных данных'!D173&gt;0,AC47=FALSE),1,0)</f>
        <v>0</v>
      </c>
      <c r="AB52" s="1137">
        <f>IF(AND(AA52=1,AC52=TRUE),1,0)</f>
        <v>0</v>
      </c>
      <c r="AC52" s="1138" t="b">
        <v>0</v>
      </c>
      <c r="AD52" s="1165">
        <f>IF(AND(AA52=1,A52="ОШИБКА"),1,0)</f>
        <v>0</v>
      </c>
      <c r="AF52" s="50"/>
      <c r="AG52" s="50"/>
      <c r="AH52" s="50"/>
      <c r="AI52" s="50"/>
      <c r="AJ52" s="50"/>
      <c r="AK52" s="50"/>
      <c r="AL52" s="50"/>
      <c r="AM52" s="50"/>
      <c r="AN52" s="50"/>
      <c r="AO52" s="50"/>
      <c r="AP52" s="50"/>
      <c r="AQ52" s="50"/>
      <c r="AR52" s="50"/>
      <c r="AS52" s="50"/>
    </row>
    <row r="53" spans="1:45" x14ac:dyDescent="0.25">
      <c r="A53" s="50"/>
      <c r="B53" s="50"/>
      <c r="C53" s="50"/>
      <c r="D53" s="50"/>
      <c r="E53" s="50"/>
      <c r="F53" s="1175"/>
      <c r="G53" s="1175"/>
      <c r="H53" s="1175"/>
      <c r="I53" s="1175"/>
      <c r="J53" s="1175"/>
      <c r="K53" s="1175"/>
      <c r="L53" s="50"/>
      <c r="M53" s="50"/>
      <c r="N53" s="50"/>
      <c r="O53" s="1151"/>
      <c r="P53" s="1151"/>
      <c r="Q53" s="1151"/>
      <c r="R53" s="1151"/>
      <c r="S53" s="1151"/>
      <c r="T53" s="1151"/>
      <c r="U53" s="1151"/>
      <c r="V53" s="1151"/>
      <c r="W53" s="1151"/>
      <c r="X53" s="1151"/>
      <c r="Y53" s="1151"/>
      <c r="Z53" s="50"/>
      <c r="AA53" s="50"/>
      <c r="AB53" s="1133"/>
      <c r="AC53" s="1134"/>
      <c r="AD53" s="50"/>
      <c r="AF53" s="50"/>
      <c r="AG53" s="50"/>
      <c r="AH53" s="50"/>
      <c r="AI53" s="50"/>
      <c r="AJ53" s="50"/>
      <c r="AK53" s="50"/>
      <c r="AL53" s="50"/>
      <c r="AM53" s="50"/>
      <c r="AN53" s="50"/>
      <c r="AO53" s="50"/>
      <c r="AP53" s="50"/>
      <c r="AQ53" s="50"/>
      <c r="AR53" s="50"/>
      <c r="AS53" s="50"/>
    </row>
    <row r="54" spans="1:45" ht="30" x14ac:dyDescent="0.25">
      <c r="A54" s="1204" t="str">
        <f>IF(AND(AA54=0,AC54=TRUE),"Ошибка","")</f>
        <v/>
      </c>
      <c r="B54" s="50"/>
      <c r="C54" s="1183"/>
      <c r="D54" s="1209" t="s">
        <v>1759</v>
      </c>
      <c r="E54" s="1192" t="s">
        <v>1275</v>
      </c>
      <c r="F54" s="1237"/>
      <c r="G54" s="1237"/>
      <c r="H54" s="1309">
        <f>I54+J54+K54</f>
        <v>0</v>
      </c>
      <c r="I54" s="1237"/>
      <c r="J54" s="1237"/>
      <c r="K54" s="1237"/>
      <c r="L54" s="1193" t="s">
        <v>1432</v>
      </c>
      <c r="M54" s="50"/>
      <c r="N54" s="50"/>
      <c r="O54" s="1151"/>
      <c r="P54" s="1151"/>
      <c r="Q54" s="1151">
        <f>IF(AB54=1,(1-0.9572)*'Расчет после реализации'!C108,0)</f>
        <v>0</v>
      </c>
      <c r="R54" s="1151"/>
      <c r="S54" s="1151"/>
      <c r="T54" s="1151"/>
      <c r="U54" s="1151"/>
      <c r="V54" s="1151"/>
      <c r="W54" s="1151"/>
      <c r="X54" s="1171" t="e">
        <f>Q54/'Расчет базового уровня'!$D$100</f>
        <v>#DIV/0!</v>
      </c>
      <c r="Y54" s="1171" t="e">
        <f>(1-Y50-Y51-Y52)*X54</f>
        <v>#DIV/0!</v>
      </c>
      <c r="Z54" s="50">
        <f>IF(AB54-AA54=1,1,0)</f>
        <v>0</v>
      </c>
      <c r="AA54" s="1165">
        <f>IF(AND('Ввод исходных данных'!D165+'Ввод исходных данных'!D169+'Ввод исходных данных'!D173&gt;0),1,0)</f>
        <v>0</v>
      </c>
      <c r="AB54" s="1137">
        <f>IF(AND(AA54=1,AC54=TRUE),1,0)</f>
        <v>0</v>
      </c>
      <c r="AC54" s="1138" t="b">
        <v>0</v>
      </c>
      <c r="AD54" s="1165">
        <f>IF(AND(AA54=1,A54="ОШИБКА"),1,0)</f>
        <v>0</v>
      </c>
      <c r="AE54" s="51" t="str">
        <f>IF(AB54=1,CONCATENATE(D54,CHAR(10)),"")</f>
        <v/>
      </c>
      <c r="AF54" s="50"/>
      <c r="AG54" s="50"/>
      <c r="AH54" s="50"/>
      <c r="AI54" s="50"/>
      <c r="AJ54" s="50"/>
      <c r="AK54" s="50"/>
      <c r="AL54" s="50"/>
      <c r="AM54" s="50"/>
      <c r="AN54" s="50"/>
      <c r="AO54" s="50"/>
      <c r="AP54" s="50"/>
      <c r="AQ54" s="50"/>
      <c r="AR54" s="50"/>
      <c r="AS54" s="50"/>
    </row>
    <row r="55" spans="1:45" x14ac:dyDescent="0.25">
      <c r="A55" s="50"/>
      <c r="B55" s="50"/>
      <c r="C55" s="50"/>
      <c r="D55" s="50"/>
      <c r="E55" s="50"/>
      <c r="F55" s="1175"/>
      <c r="G55" s="1175"/>
      <c r="H55" s="1175"/>
      <c r="I55" s="1175"/>
      <c r="J55" s="1175"/>
      <c r="K55" s="1175"/>
      <c r="L55" s="50"/>
      <c r="M55" s="50"/>
      <c r="N55" s="50"/>
      <c r="O55" s="1169"/>
      <c r="P55" s="1169"/>
      <c r="Q55" s="1169"/>
      <c r="R55" s="1151"/>
      <c r="S55" s="1151"/>
      <c r="T55" s="1151"/>
      <c r="U55" s="1151"/>
      <c r="V55" s="1151"/>
      <c r="W55" s="1151"/>
      <c r="X55" s="1151"/>
      <c r="Y55" s="1151"/>
      <c r="Z55" s="50"/>
      <c r="AA55" s="50"/>
      <c r="AB55" s="1133"/>
      <c r="AC55" s="1134"/>
      <c r="AD55" s="50"/>
      <c r="AF55" s="50"/>
      <c r="AG55" s="50"/>
      <c r="AH55" s="50"/>
      <c r="AI55" s="50"/>
      <c r="AJ55" s="50"/>
      <c r="AK55" s="50"/>
      <c r="AL55" s="50"/>
      <c r="AM55" s="50"/>
      <c r="AN55" s="50"/>
      <c r="AO55" s="50"/>
      <c r="AP55" s="50"/>
      <c r="AQ55" s="50"/>
      <c r="AR55" s="50"/>
      <c r="AS55" s="50"/>
    </row>
    <row r="56" spans="1:45" ht="15.75" x14ac:dyDescent="0.25">
      <c r="A56" s="1210" t="str">
        <f>IF(SUM(AD57:AD60)&gt;0,"Ошибка","")</f>
        <v/>
      </c>
      <c r="B56" s="50"/>
      <c r="C56" s="1211"/>
      <c r="D56" s="1283" t="s">
        <v>1389</v>
      </c>
      <c r="E56" s="1211"/>
      <c r="F56" s="1212"/>
      <c r="G56" s="1212"/>
      <c r="H56" s="1212"/>
      <c r="I56" s="1212"/>
      <c r="J56" s="1212"/>
      <c r="K56" s="1212"/>
      <c r="L56" s="1211"/>
      <c r="M56" s="50"/>
      <c r="N56" s="50"/>
      <c r="O56" s="1213"/>
      <c r="P56" s="1213"/>
      <c r="Q56" s="1214">
        <f>Q57+Q58+Q60</f>
        <v>0</v>
      </c>
      <c r="R56" s="1215"/>
      <c r="S56" s="1215"/>
      <c r="T56" s="1215"/>
      <c r="U56" s="1215"/>
      <c r="V56" s="1215"/>
      <c r="W56" s="1215"/>
      <c r="X56" s="1215"/>
      <c r="Y56" s="1216" t="e">
        <f>Y57+Y58+Y60</f>
        <v>#DIV/0!</v>
      </c>
      <c r="Z56" s="50"/>
      <c r="AA56" s="1211"/>
      <c r="AB56" s="1141"/>
      <c r="AC56" s="1142"/>
      <c r="AD56" s="1211"/>
      <c r="AF56" s="50"/>
      <c r="AG56" s="50"/>
      <c r="AH56" s="50"/>
      <c r="AI56" s="50"/>
      <c r="AJ56" s="50"/>
      <c r="AK56" s="50"/>
      <c r="AL56" s="50"/>
      <c r="AM56" s="50"/>
      <c r="AN56" s="50"/>
      <c r="AO56" s="50"/>
      <c r="AP56" s="50"/>
      <c r="AQ56" s="50"/>
      <c r="AR56" s="50"/>
      <c r="AS56" s="50"/>
    </row>
    <row r="57" spans="1:45" ht="47.45" customHeight="1" x14ac:dyDescent="0.25">
      <c r="A57" s="1204" t="str">
        <f>IF(AND(AA57=0,AC57=TRUE),"Ошибка","")</f>
        <v/>
      </c>
      <c r="B57" s="50"/>
      <c r="C57" s="1211"/>
      <c r="D57" s="1209" t="s">
        <v>1760</v>
      </c>
      <c r="E57" s="2093" t="s">
        <v>1704</v>
      </c>
      <c r="F57" s="1244"/>
      <c r="G57" s="1244"/>
      <c r="H57" s="1309">
        <f>I57+J57+K57</f>
        <v>0</v>
      </c>
      <c r="I57" s="1244"/>
      <c r="J57" s="1244"/>
      <c r="K57" s="1244"/>
      <c r="L57" s="2130" t="s">
        <v>1259</v>
      </c>
      <c r="M57" s="50"/>
      <c r="N57" s="50"/>
      <c r="O57" s="1169"/>
      <c r="P57" s="1169"/>
      <c r="Q57" s="1169">
        <f>IF(AB57=1,'Расчет базового уровня'!D106-'Ввод исходных данных'!D161*IF('Ввод исходных данных'!D159&gt;1,1460,списки!C72)*0.8,0)</f>
        <v>0</v>
      </c>
      <c r="R57" s="1151"/>
      <c r="S57" s="1151"/>
      <c r="T57" s="1151"/>
      <c r="U57" s="1151"/>
      <c r="V57" s="1151"/>
      <c r="W57" s="1151"/>
      <c r="X57" s="1171" t="e">
        <f>Q57/'Расчет базового уровня'!$D$100</f>
        <v>#DIV/0!</v>
      </c>
      <c r="Y57" s="1171" t="e">
        <f>X57</f>
        <v>#DIV/0!</v>
      </c>
      <c r="Z57" s="50">
        <f>IF(AB57-AA57=1,1,0)</f>
        <v>0</v>
      </c>
      <c r="AA57" s="1165">
        <f>IF(AND('Ввод исходных данных'!D159&gt;0,AC58=FALSE),1,0)</f>
        <v>0</v>
      </c>
      <c r="AB57" s="1137">
        <f>IF(AND(AA57=1,AC57=TRUE),1,0)</f>
        <v>0</v>
      </c>
      <c r="AC57" s="1138" t="b">
        <v>0</v>
      </c>
      <c r="AD57" s="1165">
        <f>IF(AND(AA57=1,A57="ОШИБКА"),1,0)</f>
        <v>0</v>
      </c>
      <c r="AE57" s="51" t="str">
        <f>IF(AB57=1,CONCATENATE(D57,CHAR(10)),"")</f>
        <v/>
      </c>
      <c r="AF57" s="50"/>
      <c r="AG57" s="50"/>
      <c r="AH57" s="50"/>
      <c r="AI57" s="50"/>
      <c r="AJ57" s="50"/>
      <c r="AK57" s="50"/>
      <c r="AL57" s="50"/>
      <c r="AM57" s="50"/>
      <c r="AN57" s="50"/>
      <c r="AO57" s="50"/>
      <c r="AP57" s="50"/>
      <c r="AQ57" s="50"/>
      <c r="AR57" s="50"/>
      <c r="AS57" s="50"/>
    </row>
    <row r="58" spans="1:45" ht="33" customHeight="1" x14ac:dyDescent="0.25">
      <c r="A58" s="1204" t="str">
        <f>IF(AND(AA58=0,AC58=TRUE),"Ошибка","")</f>
        <v/>
      </c>
      <c r="B58" s="50"/>
      <c r="C58" s="1211"/>
      <c r="D58" s="1209" t="s">
        <v>1761</v>
      </c>
      <c r="E58" s="2095"/>
      <c r="F58" s="2102"/>
      <c r="G58" s="2102"/>
      <c r="H58" s="2159">
        <f>I58+J58+K58</f>
        <v>0</v>
      </c>
      <c r="I58" s="2102"/>
      <c r="J58" s="2102"/>
      <c r="K58" s="2102"/>
      <c r="L58" s="2131"/>
      <c r="M58" s="50"/>
      <c r="N58" s="50"/>
      <c r="O58" s="1169"/>
      <c r="P58" s="1169"/>
      <c r="Q58" s="1169">
        <f>IF(AB58=1,'Расчет базового уровня'!D106-'Список мероприятий'!D59*IF('Ввод исходных данных'!D159&gt;1,1460,списки!C72)*0.8*IF('Список мероприятий'!AB60=1,0.957,1),0)</f>
        <v>0</v>
      </c>
      <c r="R58" s="1151"/>
      <c r="S58" s="1151"/>
      <c r="T58" s="1151"/>
      <c r="U58" s="1151"/>
      <c r="V58" s="1151"/>
      <c r="W58" s="1151"/>
      <c r="X58" s="1171" t="e">
        <f>Q58/'Расчет базового уровня'!$D$100</f>
        <v>#DIV/0!</v>
      </c>
      <c r="Y58" s="1171" t="e">
        <f>X58</f>
        <v>#DIV/0!</v>
      </c>
      <c r="Z58" s="50">
        <f>IF(AB58-AA58=1,1,0)</f>
        <v>0</v>
      </c>
      <c r="AA58" s="1165">
        <f>IF(AND('Ввод исходных данных'!D159&gt;0,AC57=FALSE),1,0)</f>
        <v>0</v>
      </c>
      <c r="AB58" s="1137">
        <f>IF(AND(AA58=1,AC58=TRUE),1,0)</f>
        <v>0</v>
      </c>
      <c r="AC58" s="1138" t="b">
        <v>0</v>
      </c>
      <c r="AD58" s="1165">
        <f>IF(AND(AA58=1,A58="ОШИБКА"),1,0)</f>
        <v>0</v>
      </c>
      <c r="AE58" s="51" t="str">
        <f>IF(AB58=1,CONCATENATE(D58,CHAR(10)),"")</f>
        <v/>
      </c>
      <c r="AF58" s="50"/>
      <c r="AG58" s="50"/>
      <c r="AH58" s="50"/>
      <c r="AI58" s="50"/>
      <c r="AJ58" s="50"/>
      <c r="AK58" s="50"/>
      <c r="AL58" s="50"/>
      <c r="AM58" s="50"/>
      <c r="AN58" s="50"/>
      <c r="AO58" s="50"/>
      <c r="AP58" s="50"/>
      <c r="AQ58" s="50"/>
      <c r="AR58" s="50"/>
      <c r="AS58" s="50"/>
    </row>
    <row r="59" spans="1:45" ht="56.25" customHeight="1" x14ac:dyDescent="0.25">
      <c r="A59" s="1204"/>
      <c r="B59" s="50"/>
      <c r="C59" s="1281" t="s">
        <v>1709</v>
      </c>
      <c r="D59" s="1282"/>
      <c r="E59" s="1207" t="s">
        <v>1724</v>
      </c>
      <c r="F59" s="2104"/>
      <c r="G59" s="2104"/>
      <c r="H59" s="2160"/>
      <c r="I59" s="2104"/>
      <c r="J59" s="2104"/>
      <c r="K59" s="2104"/>
      <c r="L59" s="1217"/>
      <c r="M59" s="50"/>
      <c r="N59" s="50"/>
      <c r="O59" s="1169"/>
      <c r="P59" s="1169"/>
      <c r="Q59" s="1169"/>
      <c r="R59" s="1151"/>
      <c r="S59" s="1151"/>
      <c r="T59" s="1151"/>
      <c r="U59" s="1151"/>
      <c r="V59" s="1151"/>
      <c r="W59" s="1151"/>
      <c r="X59" s="1171"/>
      <c r="Y59" s="1171"/>
      <c r="Z59" s="50"/>
      <c r="AA59" s="50"/>
      <c r="AB59" s="1133"/>
      <c r="AC59" s="1133"/>
      <c r="AD59" s="50"/>
      <c r="AF59" s="50"/>
      <c r="AG59" s="50"/>
      <c r="AH59" s="50"/>
      <c r="AI59" s="50"/>
      <c r="AJ59" s="50"/>
      <c r="AK59" s="50"/>
      <c r="AL59" s="50"/>
      <c r="AM59" s="50"/>
      <c r="AN59" s="50"/>
      <c r="AO59" s="50"/>
      <c r="AP59" s="50"/>
      <c r="AQ59" s="50"/>
      <c r="AR59" s="50"/>
      <c r="AS59" s="50"/>
    </row>
    <row r="60" spans="1:45" ht="30" x14ac:dyDescent="0.25">
      <c r="A60" s="1204" t="str">
        <f>IF(AND(AA60=0,AC60=TRUE),"Ошибка","")</f>
        <v/>
      </c>
      <c r="B60" s="50"/>
      <c r="C60" s="1211"/>
      <c r="D60" s="1209" t="s">
        <v>1762</v>
      </c>
      <c r="E60" s="1192" t="s">
        <v>1275</v>
      </c>
      <c r="F60" s="1236"/>
      <c r="G60" s="1236"/>
      <c r="H60" s="1309">
        <f>I60+J60+K60</f>
        <v>0</v>
      </c>
      <c r="I60" s="1236"/>
      <c r="J60" s="1236"/>
      <c r="K60" s="1236"/>
      <c r="L60" s="1193" t="s">
        <v>1433</v>
      </c>
      <c r="M60" s="50"/>
      <c r="N60" s="50"/>
      <c r="O60" s="1169"/>
      <c r="P60" s="1169"/>
      <c r="Q60" s="1169">
        <f>IF(AB60=1,0.042*'Расчет базового уровня'!D106,0)</f>
        <v>0</v>
      </c>
      <c r="R60" s="1151"/>
      <c r="S60" s="1151"/>
      <c r="T60" s="1151"/>
      <c r="U60" s="1151"/>
      <c r="V60" s="1151"/>
      <c r="W60" s="1151"/>
      <c r="X60" s="1171" t="e">
        <f>Q60/'Расчет базового уровня'!$D$100</f>
        <v>#DIV/0!</v>
      </c>
      <c r="Y60" s="1171" t="e">
        <f>(1-Y57-Y58)*X60</f>
        <v>#DIV/0!</v>
      </c>
      <c r="Z60" s="50">
        <f>IF(AB60-AA60=1,1,0)</f>
        <v>0</v>
      </c>
      <c r="AA60" s="1165">
        <f>IF('Ввод исходных данных'!D159&gt;0,1,0)</f>
        <v>0</v>
      </c>
      <c r="AB60" s="1137">
        <f>IF(AND(AA60=1,AC60=TRUE),1,0)</f>
        <v>0</v>
      </c>
      <c r="AC60" s="1138" t="b">
        <v>0</v>
      </c>
      <c r="AD60" s="1165">
        <f>IF(AND(AA60=1,A60="ОШИБКА"),1,0)</f>
        <v>0</v>
      </c>
      <c r="AE60" s="51" t="str">
        <f>IF(AB60=1,CONCATENATE(D60,CHAR(10)),"")</f>
        <v/>
      </c>
      <c r="AF60" s="50"/>
      <c r="AG60" s="50"/>
      <c r="AH60" s="50"/>
      <c r="AI60" s="50"/>
      <c r="AJ60" s="50"/>
      <c r="AK60" s="50"/>
      <c r="AL60" s="50"/>
      <c r="AM60" s="50"/>
      <c r="AN60" s="50"/>
      <c r="AO60" s="50"/>
      <c r="AP60" s="50"/>
      <c r="AQ60" s="50"/>
      <c r="AR60" s="50"/>
      <c r="AS60" s="50"/>
    </row>
    <row r="61" spans="1:45" x14ac:dyDescent="0.25">
      <c r="A61" s="50"/>
      <c r="B61" s="50"/>
      <c r="C61" s="50"/>
      <c r="D61" s="50"/>
      <c r="E61" s="50"/>
      <c r="F61" s="1175"/>
      <c r="G61" s="1175"/>
      <c r="H61" s="1175"/>
      <c r="I61" s="1175"/>
      <c r="J61" s="1175"/>
      <c r="K61" s="1175"/>
      <c r="L61" s="50"/>
      <c r="M61" s="50"/>
      <c r="N61" s="50"/>
      <c r="O61" s="1169"/>
      <c r="P61" s="1169"/>
      <c r="Q61" s="1169"/>
      <c r="R61" s="1151"/>
      <c r="S61" s="1151"/>
      <c r="T61" s="1151"/>
      <c r="U61" s="1151"/>
      <c r="V61" s="1151"/>
      <c r="W61" s="1151"/>
      <c r="X61" s="1151"/>
      <c r="Y61" s="1151"/>
      <c r="Z61" s="50"/>
      <c r="AA61" s="50"/>
      <c r="AB61" s="1133"/>
      <c r="AC61" s="1134"/>
      <c r="AD61" s="50"/>
      <c r="AF61" s="50"/>
      <c r="AG61" s="50"/>
      <c r="AH61" s="50"/>
      <c r="AI61" s="50"/>
      <c r="AJ61" s="50"/>
      <c r="AK61" s="50"/>
      <c r="AL61" s="50"/>
      <c r="AM61" s="50"/>
      <c r="AN61" s="50"/>
      <c r="AO61" s="50"/>
      <c r="AP61" s="50"/>
      <c r="AQ61" s="50"/>
      <c r="AR61" s="50"/>
      <c r="AS61" s="50"/>
    </row>
    <row r="62" spans="1:45" ht="15.75" x14ac:dyDescent="0.25">
      <c r="A62" s="1152" t="str">
        <f>IF(SUM(AD64:AD72)&gt;0,"Ошибка","")</f>
        <v/>
      </c>
      <c r="B62" s="50"/>
      <c r="C62" s="1153"/>
      <c r="D62" s="1154" t="s">
        <v>1387</v>
      </c>
      <c r="E62" s="1144"/>
      <c r="F62" s="1155"/>
      <c r="G62" s="1155"/>
      <c r="H62" s="1155"/>
      <c r="I62" s="1155"/>
      <c r="J62" s="1155"/>
      <c r="K62" s="1155"/>
      <c r="L62" s="1144"/>
      <c r="M62" s="50"/>
      <c r="N62" s="50"/>
      <c r="O62" s="1160">
        <f>O64+O69</f>
        <v>0</v>
      </c>
      <c r="P62" s="1160"/>
      <c r="Q62" s="1160"/>
      <c r="R62" s="1161" t="e">
        <f ca="1">O62/'Расчет базового уровня'!$D$35/0.86*1000</f>
        <v>#DIV/0!</v>
      </c>
      <c r="S62" s="1162" t="e">
        <f ca="1">R62</f>
        <v>#DIV/0!</v>
      </c>
      <c r="T62" s="1163"/>
      <c r="U62" s="1163"/>
      <c r="V62" s="1161" t="e">
        <f ca="1">(O62+P62)/'Расчет базового уровня'!$D$9/0.86*1000</f>
        <v>#DIV/0!</v>
      </c>
      <c r="W62" s="1164" t="e">
        <f ca="1">(S62*'Расчет базового уровня'!$D$35+'Список мероприятий'!U62*'Расчет базового уровня'!$D$15)/'Расчет базового уровня'!$D$9</f>
        <v>#DIV/0!</v>
      </c>
      <c r="X62" s="1163"/>
      <c r="Y62" s="1163"/>
      <c r="Z62" s="50"/>
      <c r="AA62" s="50"/>
      <c r="AB62" s="1133"/>
      <c r="AC62" s="1134"/>
      <c r="AF62" s="50"/>
      <c r="AG62" s="50"/>
      <c r="AH62" s="50"/>
      <c r="AI62" s="50"/>
      <c r="AJ62" s="50"/>
      <c r="AK62" s="50"/>
      <c r="AL62" s="50"/>
      <c r="AM62" s="50"/>
      <c r="AN62" s="50"/>
      <c r="AO62" s="50"/>
      <c r="AP62" s="50"/>
      <c r="AQ62" s="50"/>
      <c r="AR62" s="50"/>
      <c r="AS62" s="50"/>
    </row>
    <row r="63" spans="1:45" ht="17.25" customHeight="1" x14ac:dyDescent="0.25">
      <c r="A63" s="1166" t="str">
        <f>IF(AND(AA63=0,AB63=1),"Ошибка","")</f>
        <v/>
      </c>
      <c r="B63" s="50"/>
      <c r="C63" s="1167"/>
      <c r="D63" s="1176" t="s">
        <v>1270</v>
      </c>
      <c r="E63" s="2093" t="s">
        <v>1705</v>
      </c>
      <c r="F63" s="1277" t="s">
        <v>1693</v>
      </c>
      <c r="G63" s="1277" t="s">
        <v>1285</v>
      </c>
      <c r="H63" s="1277" t="s">
        <v>1284</v>
      </c>
      <c r="I63" s="1277" t="s">
        <v>1284</v>
      </c>
      <c r="J63" s="1277" t="s">
        <v>1284</v>
      </c>
      <c r="K63" s="1277" t="s">
        <v>1284</v>
      </c>
      <c r="L63" s="2130" t="s">
        <v>1373</v>
      </c>
      <c r="M63" s="50"/>
      <c r="N63" s="50"/>
      <c r="O63" s="1169"/>
      <c r="P63" s="1169"/>
      <c r="Q63" s="1169"/>
      <c r="R63" s="1151"/>
      <c r="S63" s="1151"/>
      <c r="T63" s="1151"/>
      <c r="U63" s="1151"/>
      <c r="V63" s="1151"/>
      <c r="W63" s="1151"/>
      <c r="X63" s="1151"/>
      <c r="Y63" s="1151"/>
      <c r="Z63" s="50"/>
      <c r="AA63" s="50"/>
      <c r="AB63" s="1133"/>
      <c r="AC63" s="1133"/>
      <c r="AD63" s="50"/>
      <c r="AF63" s="50"/>
      <c r="AG63" s="50"/>
      <c r="AH63" s="50"/>
      <c r="AI63" s="50"/>
      <c r="AJ63" s="50"/>
      <c r="AK63" s="50"/>
      <c r="AL63" s="50"/>
      <c r="AM63" s="50"/>
      <c r="AN63" s="50"/>
      <c r="AO63" s="50"/>
      <c r="AP63" s="50"/>
      <c r="AQ63" s="50"/>
      <c r="AR63" s="50"/>
      <c r="AS63" s="50"/>
    </row>
    <row r="64" spans="1:45" x14ac:dyDescent="0.25">
      <c r="A64" s="1166" t="str">
        <f>IF(AND(AA64=0,AC64=TRUE),"Ошибка","")</f>
        <v/>
      </c>
      <c r="B64" s="50"/>
      <c r="C64" s="1167"/>
      <c r="D64" s="1170" t="s">
        <v>1763</v>
      </c>
      <c r="E64" s="2094"/>
      <c r="F64" s="2120">
        <f>'Расчет базового уровня'!B143</f>
        <v>0</v>
      </c>
      <c r="G64" s="2120"/>
      <c r="H64" s="2105">
        <f>I64+J64+K64</f>
        <v>0</v>
      </c>
      <c r="I64" s="2106"/>
      <c r="J64" s="2106">
        <f>IF(AB64=1,G64*F64,0)</f>
        <v>0</v>
      </c>
      <c r="K64" s="2106"/>
      <c r="L64" s="2132"/>
      <c r="M64" s="50"/>
      <c r="N64" s="50"/>
      <c r="O64" s="1169">
        <f>IF(AB64=1,0.024*'Расчет после реализации'!$D$149*'Расчет после реализации'!B143*(1/'Расчет базового уровня'!C143-1/'Расчет после реализации'!C143),0)/1163</f>
        <v>0</v>
      </c>
      <c r="P64" s="1169"/>
      <c r="Q64" s="1169"/>
      <c r="R64" s="1171" t="e">
        <f ca="1">O64/'Расчет базового уровня'!$D$35/0.86*1000</f>
        <v>#DIV/0!</v>
      </c>
      <c r="S64" s="1172" t="e">
        <f ca="1">R64</f>
        <v>#DIV/0!</v>
      </c>
      <c r="T64" s="1151"/>
      <c r="U64" s="1151"/>
      <c r="V64" s="1171" t="e">
        <f ca="1">(O64+P64)/'Расчет базового уровня'!$D$9/0.86*1000</f>
        <v>#DIV/0!</v>
      </c>
      <c r="W64" s="1173" t="e">
        <f ca="1">(S64*'Расчет базового уровня'!$D$35+'Список мероприятий'!U64*'Расчет базового уровня'!$D$15)/'Расчет базового уровня'!$D$9</f>
        <v>#DIV/0!</v>
      </c>
      <c r="X64" s="1173"/>
      <c r="Y64" s="1173"/>
      <c r="Z64" s="50">
        <f>IF(AB64-AA64=1,1,0)</f>
        <v>0</v>
      </c>
      <c r="AA64" s="1165">
        <f>IF(OR(AND('Ввод исходных данных'!$D$12&lt;2000,списки!$D$33=0),AND('Ввод исходных данных'!$D$12&lt;2000,списки!$D$33=1,списки!$D$34=1)),1,0)</f>
        <v>1</v>
      </c>
      <c r="AB64" s="1137">
        <f>IF(AND(AA64=1,AC64=TRUE,AB65=1,AB66=1),1,0)</f>
        <v>0</v>
      </c>
      <c r="AC64" s="1138" t="b">
        <v>0</v>
      </c>
      <c r="AD64" s="1165">
        <f>IF(AND(AA64=1,A64="ОШИБКА"),1,0)</f>
        <v>0</v>
      </c>
      <c r="AE64" s="51" t="str">
        <f>IF(AB64=1,CONCATENATE(D63," - ",D65," - ",D66,"см",CHAR(10)),"")</f>
        <v/>
      </c>
      <c r="AF64" s="50"/>
      <c r="AG64" s="50"/>
      <c r="AH64" s="50"/>
      <c r="AI64" s="50"/>
      <c r="AJ64" s="50"/>
      <c r="AK64" s="50"/>
      <c r="AL64" s="50"/>
      <c r="AM64" s="50"/>
      <c r="AN64" s="50"/>
      <c r="AO64" s="50"/>
      <c r="AP64" s="50"/>
      <c r="AQ64" s="50"/>
      <c r="AR64" s="50"/>
      <c r="AS64" s="50"/>
    </row>
    <row r="65" spans="1:45" x14ac:dyDescent="0.25">
      <c r="A65" s="1166" t="str">
        <f>IF(OR(AND(AA65=0,AB65=1),AND(AA65=1,AB65=0)),"Ошибка","")</f>
        <v/>
      </c>
      <c r="B65" s="50"/>
      <c r="C65" s="1167"/>
      <c r="D65" s="1241" t="s">
        <v>1252</v>
      </c>
      <c r="E65" s="2094"/>
      <c r="F65" s="2106"/>
      <c r="G65" s="2106"/>
      <c r="H65" s="2105"/>
      <c r="I65" s="2106"/>
      <c r="J65" s="2106"/>
      <c r="K65" s="2106"/>
      <c r="L65" s="2132"/>
      <c r="M65" s="50"/>
      <c r="N65" s="50"/>
      <c r="O65" s="1169"/>
      <c r="P65" s="1169"/>
      <c r="Q65" s="1169"/>
      <c r="R65" s="1151"/>
      <c r="S65" s="1151"/>
      <c r="T65" s="1151"/>
      <c r="U65" s="1151"/>
      <c r="V65" s="1151"/>
      <c r="W65" s="1151"/>
      <c r="X65" s="1151"/>
      <c r="Y65" s="1151"/>
      <c r="Z65" s="50"/>
      <c r="AA65" s="1165">
        <f>IF(OR(AND('Ввод исходных данных'!$D$12&lt;2000,списки!$D$33=0,$AC$64=TRUE),AND('Ввод исходных данных'!$D$12&lt;2000,списки!$D$33=1,списки!$D$34=1,$AC$64=TRUE)),1,0)</f>
        <v>0</v>
      </c>
      <c r="AB65" s="1137">
        <f>IF(D65="Пожалуйста, выберите технологию",0,1)</f>
        <v>0</v>
      </c>
      <c r="AC65" s="1138"/>
      <c r="AD65" s="1165">
        <f>IF(AND(AA65=1,A65="ОШИБКА"),1,0)</f>
        <v>0</v>
      </c>
      <c r="AF65" s="50"/>
      <c r="AG65" s="50"/>
      <c r="AH65" s="50"/>
      <c r="AI65" s="50"/>
      <c r="AJ65" s="50"/>
      <c r="AK65" s="50"/>
      <c r="AL65" s="50"/>
      <c r="AM65" s="50"/>
      <c r="AN65" s="50"/>
      <c r="AO65" s="50"/>
      <c r="AP65" s="50"/>
      <c r="AQ65" s="50"/>
      <c r="AR65" s="50"/>
      <c r="AS65" s="50"/>
    </row>
    <row r="66" spans="1:45" x14ac:dyDescent="0.25">
      <c r="A66" s="1166" t="str">
        <f>IF(OR(AND(AA66=0,AB66=1),AND(AA66=1,AB66=0)),"Ошибка","")</f>
        <v/>
      </c>
      <c r="B66" s="50"/>
      <c r="C66" s="1167"/>
      <c r="D66" s="1241" t="s">
        <v>1251</v>
      </c>
      <c r="E66" s="2095"/>
      <c r="F66" s="2106"/>
      <c r="G66" s="2106"/>
      <c r="H66" s="2105"/>
      <c r="I66" s="2106"/>
      <c r="J66" s="2106"/>
      <c r="K66" s="2106"/>
      <c r="L66" s="2111"/>
      <c r="M66" s="50"/>
      <c r="N66" s="50"/>
      <c r="O66" s="1169"/>
      <c r="P66" s="1169"/>
      <c r="Q66" s="1169"/>
      <c r="R66" s="1151"/>
      <c r="S66" s="1151"/>
      <c r="T66" s="1151"/>
      <c r="U66" s="1151"/>
      <c r="V66" s="1151"/>
      <c r="W66" s="1151"/>
      <c r="X66" s="1151"/>
      <c r="Y66" s="1151"/>
      <c r="Z66" s="50"/>
      <c r="AA66" s="1165">
        <f>IF(OR(AND('Ввод исходных данных'!$D$12&lt;2000,списки!$D$33=0,$AC$64=TRUE),AND('Ввод исходных данных'!$D$12&lt;2000,списки!$D$33=1,списки!$D$34=1,$AC$64=TRUE)),1,0)</f>
        <v>0</v>
      </c>
      <c r="AB66" s="1137">
        <f>IF(D66&lt;&gt;списки!$O$16,1,0)</f>
        <v>0</v>
      </c>
      <c r="AC66" s="1138"/>
      <c r="AD66" s="1165">
        <f>IF(AND(AA66=1,A66="ОШИБКА"),1,0)</f>
        <v>0</v>
      </c>
      <c r="AF66" s="50"/>
      <c r="AG66" s="50"/>
      <c r="AH66" s="50"/>
      <c r="AI66" s="50"/>
      <c r="AJ66" s="50"/>
      <c r="AK66" s="50"/>
      <c r="AL66" s="50"/>
      <c r="AM66" s="50"/>
      <c r="AN66" s="50"/>
      <c r="AO66" s="50"/>
      <c r="AP66" s="50"/>
      <c r="AQ66" s="50"/>
      <c r="AR66" s="50"/>
      <c r="AS66" s="50"/>
    </row>
    <row r="67" spans="1:45" x14ac:dyDescent="0.25">
      <c r="A67" s="50"/>
      <c r="B67" s="50"/>
      <c r="C67" s="50"/>
      <c r="D67" s="50"/>
      <c r="E67" s="50"/>
      <c r="F67" s="1175"/>
      <c r="G67" s="1175"/>
      <c r="H67" s="1175"/>
      <c r="I67" s="1175"/>
      <c r="J67" s="1175"/>
      <c r="K67" s="1175"/>
      <c r="L67" s="50"/>
      <c r="M67" s="50"/>
      <c r="N67" s="50"/>
      <c r="O67" s="1169"/>
      <c r="P67" s="1169"/>
      <c r="Q67" s="1169"/>
      <c r="R67" s="1151"/>
      <c r="S67" s="1151"/>
      <c r="T67" s="1151"/>
      <c r="U67" s="1151"/>
      <c r="V67" s="1151"/>
      <c r="W67" s="1151"/>
      <c r="X67" s="1151"/>
      <c r="Y67" s="1151"/>
      <c r="Z67" s="50"/>
      <c r="AA67" s="50"/>
      <c r="AB67" s="1133"/>
      <c r="AC67" s="1134"/>
      <c r="AD67" s="50"/>
      <c r="AF67" s="50"/>
      <c r="AG67" s="50"/>
      <c r="AH67" s="50"/>
      <c r="AI67" s="50"/>
      <c r="AJ67" s="50"/>
      <c r="AK67" s="50"/>
      <c r="AL67" s="50"/>
      <c r="AM67" s="50"/>
      <c r="AN67" s="50"/>
      <c r="AO67" s="50"/>
      <c r="AP67" s="50"/>
      <c r="AQ67" s="50"/>
      <c r="AR67" s="50"/>
      <c r="AS67" s="50"/>
    </row>
    <row r="68" spans="1:45" ht="15" customHeight="1" x14ac:dyDescent="0.25">
      <c r="A68" s="1166" t="str">
        <f>IF(AND(AA68=0,AB68=1),"Ошибка","")</f>
        <v/>
      </c>
      <c r="B68" s="50"/>
      <c r="C68" s="1167"/>
      <c r="D68" s="1168" t="s">
        <v>1271</v>
      </c>
      <c r="E68" s="2093" t="s">
        <v>1255</v>
      </c>
      <c r="F68" s="1277" t="s">
        <v>1693</v>
      </c>
      <c r="G68" s="1277" t="s">
        <v>1285</v>
      </c>
      <c r="H68" s="1277" t="s">
        <v>1284</v>
      </c>
      <c r="I68" s="1277" t="s">
        <v>1284</v>
      </c>
      <c r="J68" s="1277" t="s">
        <v>1284</v>
      </c>
      <c r="K68" s="1277" t="s">
        <v>1284</v>
      </c>
      <c r="L68" s="2130" t="s">
        <v>1374</v>
      </c>
      <c r="M68" s="50"/>
      <c r="N68" s="50"/>
      <c r="O68" s="1169"/>
      <c r="P68" s="1169"/>
      <c r="Q68" s="1169"/>
      <c r="R68" s="1151"/>
      <c r="S68" s="1151"/>
      <c r="T68" s="1151"/>
      <c r="U68" s="1151"/>
      <c r="V68" s="1151"/>
      <c r="W68" s="1151"/>
      <c r="X68" s="1151"/>
      <c r="Y68" s="1151"/>
      <c r="Z68" s="50"/>
      <c r="AA68" s="50"/>
      <c r="AB68" s="1133"/>
      <c r="AC68" s="1133"/>
      <c r="AD68" s="50"/>
      <c r="AF68" s="50"/>
      <c r="AG68" s="50"/>
      <c r="AH68" s="50"/>
      <c r="AI68" s="50"/>
      <c r="AJ68" s="50"/>
      <c r="AK68" s="50"/>
      <c r="AL68" s="50"/>
      <c r="AM68" s="50"/>
      <c r="AN68" s="50"/>
      <c r="AO68" s="50"/>
      <c r="AP68" s="50"/>
      <c r="AQ68" s="50"/>
      <c r="AR68" s="50"/>
      <c r="AS68" s="50"/>
    </row>
    <row r="69" spans="1:45" x14ac:dyDescent="0.25">
      <c r="A69" s="1166" t="str">
        <f>IF(AND(AA69=0,AC69=TRUE),"Ошибка","")</f>
        <v/>
      </c>
      <c r="B69" s="50"/>
      <c r="C69" s="1167"/>
      <c r="D69" s="1178" t="str">
        <f>IF(AA69=1,"Повышение теплозащиты перекрытия над подвалом","неприменимо для данного МКД")</f>
        <v>неприменимо для данного МКД</v>
      </c>
      <c r="E69" s="2094"/>
      <c r="F69" s="2120">
        <f>'Расчет базового уровня'!B144</f>
        <v>0</v>
      </c>
      <c r="G69" s="2120"/>
      <c r="H69" s="2105">
        <f>I69+J69+K69</f>
        <v>0</v>
      </c>
      <c r="I69" s="2106"/>
      <c r="J69" s="2106">
        <f>IF(AB69=1,G69*F69,0)</f>
        <v>0</v>
      </c>
      <c r="K69" s="2106"/>
      <c r="L69" s="2132"/>
      <c r="M69" s="50"/>
      <c r="N69" s="50"/>
      <c r="O69" s="1169">
        <f>IF(AB69=1,0.024*'Расчет после реализации'!$D$149*'Расчет после реализации'!B144*'Расчет базового уровня'!D144*(1/'Расчет базового уровня'!C144-1/'Расчет после реализации'!C144),0)/1163</f>
        <v>0</v>
      </c>
      <c r="P69" s="1169"/>
      <c r="Q69" s="1169"/>
      <c r="R69" s="1171" t="e">
        <f ca="1">O69/'Расчет базового уровня'!$D$35/0.86*1000</f>
        <v>#DIV/0!</v>
      </c>
      <c r="S69" s="1172" t="e">
        <f ca="1">R69</f>
        <v>#DIV/0!</v>
      </c>
      <c r="T69" s="1151"/>
      <c r="U69" s="1151"/>
      <c r="V69" s="1171" t="e">
        <f ca="1">(O69+P69)/'Расчет базового уровня'!$D$9/0.86*1000</f>
        <v>#DIV/0!</v>
      </c>
      <c r="W69" s="1173" t="e">
        <f ca="1">(S69*'Расчет базового уровня'!$D$35+'Список мероприятий'!U69*'Расчет базового уровня'!$D$15)/'Расчет базового уровня'!$D$9</f>
        <v>#DIV/0!</v>
      </c>
      <c r="X69" s="1173"/>
      <c r="Y69" s="1173"/>
      <c r="Z69" s="50">
        <f>IF(AB69-AA69=1,1,0)</f>
        <v>0</v>
      </c>
      <c r="AA69" s="1165">
        <f>IF(AND('Ввод исходных данных'!$D$12&lt;2000,списки!$D$33=1,списки!$D$34=0,списки!$D$37=0),1,0)</f>
        <v>0</v>
      </c>
      <c r="AB69" s="1137">
        <f>IF(AND(AB70=1,AB71=1,AA69=1,AC69=TRUE),1,0)</f>
        <v>0</v>
      </c>
      <c r="AC69" s="1143" t="b">
        <v>0</v>
      </c>
      <c r="AD69" s="1165">
        <f>IF(AND(AA69=1,A69="ОШИБКА"),1,0)</f>
        <v>0</v>
      </c>
      <c r="AE69" s="51" t="str">
        <f>IF(AB69=1,CONCATENATE(D68," - ",D70," - ",D71,"см",CHAR(10)),"")</f>
        <v/>
      </c>
      <c r="AF69" s="50"/>
      <c r="AG69" s="50"/>
      <c r="AH69" s="50"/>
      <c r="AI69" s="50"/>
      <c r="AJ69" s="50"/>
      <c r="AK69" s="50"/>
      <c r="AL69" s="50"/>
      <c r="AM69" s="50"/>
      <c r="AN69" s="50"/>
      <c r="AO69" s="50"/>
      <c r="AP69" s="50"/>
      <c r="AQ69" s="50"/>
      <c r="AR69" s="50"/>
      <c r="AS69" s="50"/>
    </row>
    <row r="70" spans="1:45" x14ac:dyDescent="0.25">
      <c r="A70" s="1166" t="str">
        <f>IF(OR(AND(AA70=0,AB70=1),AND(AA70=1,AB70=0)),"Ошибка","")</f>
        <v/>
      </c>
      <c r="B70" s="50"/>
      <c r="C70" s="1167"/>
      <c r="D70" s="1242" t="s">
        <v>1252</v>
      </c>
      <c r="E70" s="2094"/>
      <c r="F70" s="2106"/>
      <c r="G70" s="2106"/>
      <c r="H70" s="2105"/>
      <c r="I70" s="2106"/>
      <c r="J70" s="2106"/>
      <c r="K70" s="2106"/>
      <c r="L70" s="2132"/>
      <c r="M70" s="50"/>
      <c r="N70" s="50"/>
      <c r="O70" s="1169"/>
      <c r="P70" s="1169"/>
      <c r="Q70" s="1169"/>
      <c r="R70" s="1151"/>
      <c r="S70" s="1151"/>
      <c r="T70" s="1151"/>
      <c r="U70" s="1151"/>
      <c r="V70" s="1151"/>
      <c r="W70" s="1151"/>
      <c r="X70" s="1151"/>
      <c r="Y70" s="1151"/>
      <c r="Z70" s="50"/>
      <c r="AA70" s="1165">
        <f>IF(AND('Ввод исходных данных'!$D$12&lt;2000,списки!$D$33=1,списки!$D$34=0,AC69=TRUE),1,0)</f>
        <v>0</v>
      </c>
      <c r="AB70" s="1137">
        <f>IF(D70="Пожалуйста, выберите технологию",0,1)</f>
        <v>0</v>
      </c>
      <c r="AC70" s="1138"/>
      <c r="AD70" s="1165">
        <f>IF(AND(AA70=1,A70="ОШИБКА"),1,0)</f>
        <v>0</v>
      </c>
      <c r="AF70" s="50"/>
      <c r="AG70" s="50"/>
      <c r="AH70" s="50"/>
      <c r="AI70" s="50"/>
      <c r="AJ70" s="50"/>
      <c r="AK70" s="50"/>
      <c r="AL70" s="50"/>
      <c r="AM70" s="50"/>
      <c r="AN70" s="50"/>
      <c r="AO70" s="50"/>
      <c r="AP70" s="50"/>
      <c r="AQ70" s="50"/>
      <c r="AR70" s="50"/>
      <c r="AS70" s="50"/>
    </row>
    <row r="71" spans="1:45" x14ac:dyDescent="0.25">
      <c r="A71" s="1166" t="str">
        <f>IF(OR(AND(AA71=0,AB71=1),AND(AA71=1,AB71=0)),"Ошибка","")</f>
        <v/>
      </c>
      <c r="B71" s="50"/>
      <c r="C71" s="1167"/>
      <c r="D71" s="1241" t="s">
        <v>1251</v>
      </c>
      <c r="E71" s="2095"/>
      <c r="F71" s="2106"/>
      <c r="G71" s="2106"/>
      <c r="H71" s="2105"/>
      <c r="I71" s="2106"/>
      <c r="J71" s="2106"/>
      <c r="K71" s="2106"/>
      <c r="L71" s="2111"/>
      <c r="M71" s="50"/>
      <c r="N71" s="50"/>
      <c r="O71" s="1169"/>
      <c r="P71" s="1169"/>
      <c r="Q71" s="1169"/>
      <c r="R71" s="1151"/>
      <c r="S71" s="1151"/>
      <c r="T71" s="1151"/>
      <c r="U71" s="1151"/>
      <c r="V71" s="1151"/>
      <c r="W71" s="1151"/>
      <c r="X71" s="1151"/>
      <c r="Y71" s="1151"/>
      <c r="Z71" s="50"/>
      <c r="AA71" s="1165">
        <f>IF(AND('Ввод исходных данных'!$D$12&lt;2000,списки!$D$33=1,списки!$D$34=0,AC69=TRUE),1,0)</f>
        <v>0</v>
      </c>
      <c r="AB71" s="1137">
        <f>IF(D71&lt;&gt;списки!$O$16,1,0)</f>
        <v>0</v>
      </c>
      <c r="AC71" s="1138"/>
      <c r="AD71" s="1165">
        <f>IF(AND(AA71=1,A71="ОШИБКА"),1,0)</f>
        <v>0</v>
      </c>
      <c r="AF71" s="50"/>
      <c r="AG71" s="50"/>
      <c r="AH71" s="50"/>
      <c r="AI71" s="50"/>
      <c r="AJ71" s="50"/>
      <c r="AK71" s="50"/>
      <c r="AL71" s="50"/>
      <c r="AM71" s="50"/>
      <c r="AN71" s="50"/>
      <c r="AO71" s="50"/>
      <c r="AP71" s="50"/>
      <c r="AQ71" s="50"/>
      <c r="AR71" s="50"/>
      <c r="AS71" s="50"/>
    </row>
    <row r="72" spans="1:45" x14ac:dyDescent="0.25">
      <c r="A72" s="50"/>
      <c r="B72" s="50"/>
      <c r="C72" s="50"/>
      <c r="D72" s="50"/>
      <c r="E72" s="50"/>
      <c r="F72" s="1175"/>
      <c r="G72" s="1175"/>
      <c r="H72" s="1175"/>
      <c r="I72" s="1175"/>
      <c r="J72" s="1175"/>
      <c r="K72" s="1175"/>
      <c r="L72" s="50"/>
      <c r="M72" s="50"/>
      <c r="N72" s="50"/>
      <c r="O72" s="1169"/>
      <c r="P72" s="1169"/>
      <c r="Q72" s="1169"/>
      <c r="R72" s="1151"/>
      <c r="S72" s="1151"/>
      <c r="T72" s="1151"/>
      <c r="U72" s="1151"/>
      <c r="V72" s="1151"/>
      <c r="W72" s="1151"/>
      <c r="X72" s="1151"/>
      <c r="Y72" s="1151"/>
      <c r="Z72" s="50"/>
      <c r="AA72" s="50"/>
      <c r="AB72" s="1133"/>
      <c r="AC72" s="1134"/>
      <c r="AD72" s="50"/>
      <c r="AF72" s="50"/>
      <c r="AG72" s="50"/>
      <c r="AH72" s="50"/>
      <c r="AI72" s="50"/>
      <c r="AJ72" s="50"/>
      <c r="AK72" s="50"/>
      <c r="AL72" s="50"/>
      <c r="AM72" s="50"/>
      <c r="AN72" s="50"/>
      <c r="AO72" s="50"/>
      <c r="AP72" s="50"/>
      <c r="AQ72" s="50"/>
      <c r="AR72" s="50"/>
      <c r="AS72" s="50"/>
    </row>
    <row r="73" spans="1:45" ht="15.75" x14ac:dyDescent="0.25">
      <c r="A73" s="1210" t="str">
        <f>IF(SUM(AD75:AD75)&gt;0,"Ошибка","")</f>
        <v/>
      </c>
      <c r="B73" s="50"/>
      <c r="C73" s="1211"/>
      <c r="D73" s="1283" t="s">
        <v>1390</v>
      </c>
      <c r="E73" s="1211"/>
      <c r="F73" s="1212"/>
      <c r="G73" s="1212"/>
      <c r="H73" s="1212"/>
      <c r="I73" s="1212"/>
      <c r="J73" s="1212"/>
      <c r="K73" s="1212"/>
      <c r="L73" s="1211"/>
      <c r="M73" s="50"/>
      <c r="N73" s="50"/>
      <c r="O73" s="1213">
        <f>O75</f>
        <v>0</v>
      </c>
      <c r="P73" s="1213"/>
      <c r="Q73" s="1213"/>
      <c r="R73" s="1216" t="e">
        <f ca="1">O73/'Расчет базового уровня'!$D$35/0.86*1000</f>
        <v>#DIV/0!</v>
      </c>
      <c r="S73" s="1218" t="e">
        <f ca="1">R73</f>
        <v>#DIV/0!</v>
      </c>
      <c r="T73" s="1215"/>
      <c r="U73" s="1215"/>
      <c r="V73" s="1216" t="e">
        <f ca="1">(O73+P73)/'Расчет базового уровня'!$D$9/0.86*1000</f>
        <v>#DIV/0!</v>
      </c>
      <c r="W73" s="1216" t="e">
        <f ca="1">(S73*'Расчет базового уровня'!$D$35+'Список мероприятий'!U73*'Расчет базового уровня'!$D$15)/'Расчет базового уровня'!$D$9</f>
        <v>#DIV/0!</v>
      </c>
      <c r="X73" s="1215"/>
      <c r="Y73" s="1218" t="e">
        <f>Y76+Y80</f>
        <v>#DIV/0!</v>
      </c>
      <c r="Z73" s="50"/>
      <c r="AA73" s="1211"/>
      <c r="AB73" s="1141"/>
      <c r="AC73" s="1142"/>
      <c r="AD73" s="1211"/>
      <c r="AF73" s="50"/>
      <c r="AG73" s="50"/>
      <c r="AH73" s="50"/>
      <c r="AI73" s="50"/>
      <c r="AJ73" s="50"/>
      <c r="AK73" s="50"/>
      <c r="AL73" s="50"/>
      <c r="AM73" s="50"/>
      <c r="AN73" s="50"/>
      <c r="AO73" s="50"/>
      <c r="AP73" s="50"/>
      <c r="AQ73" s="50"/>
      <c r="AR73" s="50"/>
      <c r="AS73" s="50"/>
    </row>
    <row r="74" spans="1:45" x14ac:dyDescent="0.25">
      <c r="A74" s="50"/>
      <c r="B74" s="50"/>
      <c r="C74" s="50"/>
      <c r="D74" s="50"/>
      <c r="E74" s="50"/>
      <c r="F74" s="1284" t="s">
        <v>853</v>
      </c>
      <c r="G74" s="1284" t="s">
        <v>1285</v>
      </c>
      <c r="H74" s="1284" t="s">
        <v>1284</v>
      </c>
      <c r="I74" s="1284"/>
      <c r="J74" s="1284"/>
      <c r="K74" s="1284"/>
      <c r="L74" s="50"/>
      <c r="M74" s="50"/>
      <c r="N74" s="50"/>
      <c r="O74" s="1169"/>
      <c r="P74" s="1169"/>
      <c r="Q74" s="1169"/>
      <c r="R74" s="1151"/>
      <c r="S74" s="1151"/>
      <c r="T74" s="1151"/>
      <c r="U74" s="1151"/>
      <c r="V74" s="1151"/>
      <c r="W74" s="1151"/>
      <c r="X74" s="1151"/>
      <c r="Y74" s="1151"/>
      <c r="Z74" s="50"/>
      <c r="AA74" s="50"/>
      <c r="AB74" s="1133"/>
      <c r="AC74" s="1134"/>
      <c r="AD74" s="50"/>
      <c r="AF74" s="50"/>
      <c r="AG74" s="50"/>
      <c r="AH74" s="50"/>
      <c r="AI74" s="50"/>
      <c r="AJ74" s="50"/>
      <c r="AK74" s="50"/>
      <c r="AL74" s="50"/>
      <c r="AM74" s="50"/>
      <c r="AN74" s="50"/>
      <c r="AO74" s="50"/>
      <c r="AP74" s="50"/>
      <c r="AQ74" s="50"/>
      <c r="AR74" s="50"/>
      <c r="AS74" s="50"/>
    </row>
    <row r="75" spans="1:45" ht="79.5" customHeight="1" x14ac:dyDescent="0.25">
      <c r="A75" s="1166" t="str">
        <f>IF(AND(AA75=0,AC75=TRUE),"Ошибка","")</f>
        <v/>
      </c>
      <c r="B75" s="50"/>
      <c r="C75" s="965"/>
      <c r="D75" s="1176" t="s">
        <v>1764</v>
      </c>
      <c r="E75" s="1180" t="s">
        <v>1706</v>
      </c>
      <c r="F75" s="1237"/>
      <c r="G75" s="1237"/>
      <c r="H75" s="1239">
        <f>I75+J75+K75</f>
        <v>0</v>
      </c>
      <c r="I75" s="1237"/>
      <c r="J75" s="1298">
        <f>IF(AB75=1,G75*F75,0)</f>
        <v>0</v>
      </c>
      <c r="K75" s="1237"/>
      <c r="L75" s="908"/>
      <c r="M75" s="50"/>
      <c r="N75" s="50"/>
      <c r="O75" s="1169">
        <f>IF(AB75=1,'Расчет после реализации'!B145*'Расчет после реализации'!D145*(1/'Расчет базового уровня'!C145-1/'Расчет после реализации'!C145)*0.024*'Расчет после реализации'!D149+'Расчет базового уровня'!D193-'Расчет после реализации'!D191,0)*0.86/1000</f>
        <v>0</v>
      </c>
      <c r="P75" s="1169"/>
      <c r="Q75" s="1169"/>
      <c r="R75" s="1171" t="e">
        <f ca="1">O75/'Расчет базового уровня'!$D$35/0.86*1000</f>
        <v>#DIV/0!</v>
      </c>
      <c r="S75" s="1172" t="e">
        <f ca="1">R75</f>
        <v>#DIV/0!</v>
      </c>
      <c r="T75" s="1151"/>
      <c r="U75" s="1151"/>
      <c r="V75" s="1171" t="e">
        <f ca="1">(O75+P75)/'Расчет базового уровня'!$D$9/0.86*1000</f>
        <v>#DIV/0!</v>
      </c>
      <c r="W75" s="1219" t="e">
        <f ca="1">V75</f>
        <v>#DIV/0!</v>
      </c>
      <c r="X75" s="1151"/>
      <c r="Y75" s="1151"/>
      <c r="Z75" s="50">
        <f>IF(AB75-AA75=1,1,0)</f>
        <v>0</v>
      </c>
      <c r="AA75" s="1165">
        <f>IF(AND('Ввод исходных данных'!$D$12&lt;2000,списки!D35=0),1,0)</f>
        <v>1</v>
      </c>
      <c r="AB75" s="1137">
        <f>IF(AND(AA75=1,AC75=TRUE),1,0)</f>
        <v>0</v>
      </c>
      <c r="AC75" s="1138" t="b">
        <v>0</v>
      </c>
      <c r="AD75" s="1165">
        <f>IF(AND(AA75=1,A75="ОШИБКА"),1,0)</f>
        <v>0</v>
      </c>
      <c r="AE75" s="51" t="str">
        <f>IF(AB75=1,CONCATENATE(D75,CHAR(10)),"")</f>
        <v/>
      </c>
      <c r="AF75" s="50"/>
      <c r="AG75" s="50"/>
      <c r="AH75" s="50"/>
      <c r="AI75" s="50"/>
      <c r="AJ75" s="50"/>
      <c r="AK75" s="50"/>
      <c r="AL75" s="50"/>
      <c r="AM75" s="50"/>
      <c r="AN75" s="50"/>
      <c r="AO75" s="50"/>
      <c r="AP75" s="50"/>
      <c r="AQ75" s="50"/>
      <c r="AR75" s="50"/>
      <c r="AS75" s="50"/>
    </row>
    <row r="76" spans="1:45" ht="45" x14ac:dyDescent="0.25">
      <c r="A76" s="1166" t="str">
        <f>IF(AND(AA76=0,AC76=TRUE),"Ошибка","")</f>
        <v/>
      </c>
      <c r="B76" s="50"/>
      <c r="C76" s="965"/>
      <c r="D76" s="1168" t="s">
        <v>1765</v>
      </c>
      <c r="E76" s="2093" t="s">
        <v>1273</v>
      </c>
      <c r="F76" s="2106"/>
      <c r="G76" s="2106"/>
      <c r="H76" s="2105">
        <f>I76+J76+K76</f>
        <v>0</v>
      </c>
      <c r="I76" s="2106"/>
      <c r="J76" s="2106">
        <f>IF(AB76=1,G76*F76,0)</f>
        <v>0</v>
      </c>
      <c r="K76" s="2106"/>
      <c r="L76" s="2157"/>
      <c r="M76" s="50"/>
      <c r="N76" s="50"/>
      <c r="O76" s="1169"/>
      <c r="P76" s="1169"/>
      <c r="Q76" s="1169">
        <f>IF(AB76=1,SUM('Система электроснабжения'!B18:B22)*(1-VLOOKUP('Список мероприятий'!D77,'Система электроснабжения'!B6:F10,5,0)),0)</f>
        <v>0</v>
      </c>
      <c r="R76" s="1171"/>
      <c r="S76" s="1151"/>
      <c r="T76" s="1151"/>
      <c r="U76" s="1151"/>
      <c r="V76" s="1171"/>
      <c r="W76" s="1151"/>
      <c r="X76" s="1171" t="e">
        <f>Q76/'Расчет базового уровня'!$D$100</f>
        <v>#DIV/0!</v>
      </c>
      <c r="Y76" s="1172" t="e">
        <f>X76</f>
        <v>#DIV/0!</v>
      </c>
      <c r="Z76" s="50">
        <f>IF(AB76-AA76=1,1,0)</f>
        <v>0</v>
      </c>
      <c r="AA76" s="1165">
        <v>1</v>
      </c>
      <c r="AB76" s="1137">
        <f>IF(AC76=TRUE,1,0)</f>
        <v>0</v>
      </c>
      <c r="AC76" s="1138" t="b">
        <v>0</v>
      </c>
      <c r="AD76" s="1165">
        <f>IF(AND(AA76=1,A76="ОШИБКА"),1,0)</f>
        <v>0</v>
      </c>
      <c r="AE76" s="51" t="str">
        <f>IF(AB76=1,CONCATENATE(D76,CHAR(10)),"")</f>
        <v/>
      </c>
      <c r="AF76" s="50"/>
      <c r="AG76" s="50"/>
      <c r="AH76" s="50"/>
      <c r="AI76" s="50"/>
      <c r="AJ76" s="50"/>
      <c r="AK76" s="50"/>
      <c r="AL76" s="50"/>
      <c r="AM76" s="50"/>
      <c r="AN76" s="50"/>
      <c r="AO76" s="50"/>
      <c r="AP76" s="50"/>
      <c r="AQ76" s="50"/>
      <c r="AR76" s="50"/>
      <c r="AS76" s="50"/>
    </row>
    <row r="77" spans="1:45" x14ac:dyDescent="0.25">
      <c r="A77" s="1204"/>
      <c r="B77" s="50"/>
      <c r="C77" s="965"/>
      <c r="D77" s="1245" t="s">
        <v>973</v>
      </c>
      <c r="E77" s="2095"/>
      <c r="F77" s="2106"/>
      <c r="G77" s="2106"/>
      <c r="H77" s="2105"/>
      <c r="I77" s="2106"/>
      <c r="J77" s="2106"/>
      <c r="K77" s="2106"/>
      <c r="L77" s="2158"/>
      <c r="M77" s="50"/>
      <c r="N77" s="50"/>
      <c r="O77" s="1169"/>
      <c r="P77" s="1169"/>
      <c r="Q77" s="1169"/>
      <c r="R77" s="1151"/>
      <c r="S77" s="1151"/>
      <c r="T77" s="1151"/>
      <c r="U77" s="1151"/>
      <c r="V77" s="1151"/>
      <c r="W77" s="1151"/>
      <c r="X77" s="1151"/>
      <c r="Y77" s="1151"/>
      <c r="Z77" s="50"/>
      <c r="AA77" s="50"/>
      <c r="AB77" s="1133"/>
      <c r="AC77" s="1133"/>
      <c r="AD77" s="50"/>
      <c r="AF77" s="50"/>
      <c r="AG77" s="50"/>
      <c r="AH77" s="50"/>
      <c r="AI77" s="50"/>
      <c r="AJ77" s="50"/>
      <c r="AK77" s="50"/>
      <c r="AL77" s="50"/>
      <c r="AM77" s="50"/>
      <c r="AN77" s="50"/>
      <c r="AO77" s="50"/>
      <c r="AP77" s="50"/>
      <c r="AQ77" s="50"/>
      <c r="AR77" s="50"/>
      <c r="AS77" s="50"/>
    </row>
    <row r="78" spans="1:45" ht="36" customHeight="1" x14ac:dyDescent="0.25">
      <c r="A78" s="1166" t="str">
        <f>IF(AND(AA78=0,AC78=TRUE),"Ошибка","")</f>
        <v/>
      </c>
      <c r="B78" s="50"/>
      <c r="C78" s="965"/>
      <c r="D78" s="1176" t="s">
        <v>1832</v>
      </c>
      <c r="E78" s="2093" t="s">
        <v>1273</v>
      </c>
      <c r="F78" s="2106"/>
      <c r="G78" s="2106"/>
      <c r="H78" s="2105">
        <f>I78+J78+K78</f>
        <v>0</v>
      </c>
      <c r="I78" s="2106"/>
      <c r="J78" s="2106">
        <f>IF(AB78=1,G78*F78,0)</f>
        <v>0</v>
      </c>
      <c r="K78" s="2106"/>
      <c r="L78" s="2157"/>
      <c r="M78" s="50"/>
      <c r="N78" s="50"/>
      <c r="O78" s="1169"/>
      <c r="P78" s="1169"/>
      <c r="Q78" s="1169">
        <f>IF(AB78=1,'Система электроснабжения'!B23*(1-VLOOKUP('Список мероприятий'!D79,'Система электроснабжения'!I12:K13,3,0)),0)</f>
        <v>0</v>
      </c>
      <c r="R78" s="1171"/>
      <c r="S78" s="1151"/>
      <c r="T78" s="1151"/>
      <c r="U78" s="1151"/>
      <c r="V78" s="1171"/>
      <c r="W78" s="1151"/>
      <c r="X78" s="1171" t="e">
        <f>Q78/'Расчет базового уровня'!$D$100</f>
        <v>#DIV/0!</v>
      </c>
      <c r="Y78" s="1172" t="e">
        <f>X78</f>
        <v>#DIV/0!</v>
      </c>
      <c r="Z78" s="50">
        <f>IF(AB78-AA78=1,1,0)</f>
        <v>0</v>
      </c>
      <c r="AA78" s="1165">
        <v>1</v>
      </c>
      <c r="AB78" s="1137">
        <f>IF(AC78=TRUE,1,0)</f>
        <v>0</v>
      </c>
      <c r="AC78" s="1138" t="b">
        <v>0</v>
      </c>
      <c r="AD78" s="1165">
        <f>IF(AND(AA78=1,A78="ОШИБКА"),1,0)</f>
        <v>0</v>
      </c>
      <c r="AE78" s="51" t="str">
        <f>IF(AB78=1,CONCATENATE(D78,CHAR(10)),"")</f>
        <v/>
      </c>
      <c r="AF78" s="50"/>
      <c r="AG78" s="50"/>
      <c r="AH78" s="50"/>
      <c r="AI78" s="50"/>
      <c r="AJ78" s="50"/>
      <c r="AK78" s="50"/>
      <c r="AL78" s="50"/>
      <c r="AM78" s="50"/>
      <c r="AN78" s="50"/>
      <c r="AO78" s="50"/>
      <c r="AP78" s="50"/>
      <c r="AQ78" s="50"/>
      <c r="AR78" s="50"/>
      <c r="AS78" s="50"/>
    </row>
    <row r="79" spans="1:45" x14ac:dyDescent="0.25">
      <c r="A79" s="1204"/>
      <c r="B79" s="50"/>
      <c r="C79" s="965"/>
      <c r="D79" s="1245" t="s">
        <v>2456</v>
      </c>
      <c r="E79" s="2095"/>
      <c r="F79" s="2106"/>
      <c r="G79" s="2106"/>
      <c r="H79" s="2105"/>
      <c r="I79" s="2106"/>
      <c r="J79" s="2106"/>
      <c r="K79" s="2106"/>
      <c r="L79" s="2158"/>
      <c r="M79" s="50"/>
      <c r="N79" s="50"/>
      <c r="O79" s="1169"/>
      <c r="P79" s="1169"/>
      <c r="Q79" s="1169"/>
      <c r="R79" s="1151"/>
      <c r="S79" s="1151"/>
      <c r="T79" s="1151"/>
      <c r="U79" s="1151"/>
      <c r="V79" s="1151"/>
      <c r="W79" s="1151"/>
      <c r="X79" s="1151"/>
      <c r="Y79" s="1151"/>
      <c r="Z79" s="50"/>
      <c r="AA79" s="50"/>
      <c r="AB79" s="1133"/>
      <c r="AC79" s="1133"/>
      <c r="AD79" s="50"/>
      <c r="AF79" s="50"/>
      <c r="AG79" s="50"/>
      <c r="AH79" s="50"/>
      <c r="AI79" s="50"/>
      <c r="AJ79" s="50"/>
      <c r="AK79" s="50"/>
      <c r="AL79" s="50"/>
      <c r="AM79" s="50"/>
      <c r="AN79" s="50"/>
      <c r="AO79" s="50"/>
      <c r="AP79" s="50"/>
      <c r="AQ79" s="50"/>
      <c r="AR79" s="50"/>
      <c r="AS79" s="50"/>
    </row>
    <row r="80" spans="1:45" ht="31.5" customHeight="1" x14ac:dyDescent="0.25">
      <c r="A80" s="1166" t="str">
        <f>IF(AND(AA80=0,AC80=TRUE),"Ошибка","")</f>
        <v/>
      </c>
      <c r="B80" s="50"/>
      <c r="C80" s="965"/>
      <c r="D80" s="1168" t="s">
        <v>1766</v>
      </c>
      <c r="E80" s="1192" t="s">
        <v>1274</v>
      </c>
      <c r="F80" s="1237"/>
      <c r="G80" s="1237"/>
      <c r="H80" s="1239">
        <f>I80+J80+K80</f>
        <v>0</v>
      </c>
      <c r="I80" s="1237"/>
      <c r="J80" s="1237">
        <f>IF(AB80=1,G80*F80,0)</f>
        <v>0</v>
      </c>
      <c r="K80" s="1237"/>
      <c r="L80" s="909"/>
      <c r="M80" s="50"/>
      <c r="N80" s="50"/>
      <c r="O80" s="1169"/>
      <c r="P80" s="1169"/>
      <c r="Q80" s="1169">
        <f>IF(AB80=1,
               'Расчет базового уровня'!D102-(
                               'Ввод исходных данных'!D151*'Ввод исходных данных'!F151*400+
                               'Ввод исходных данных'!D152*'Ввод исходных данных'!F152*400+
                               'Ввод исходных данных'!D153*'Ввод исходных данных'!F153*400+
                               'Ввод исходных данных'!D154*'Ввод исходных данных'!F154*300+
                               'Ввод исходных данных'!D155*'Ввод исходных данных'!F155*100+
                               'Ввод исходных данных'!D156*'Ввод исходных данных'!F156*400)/1000,0)</f>
        <v>0</v>
      </c>
      <c r="R80" s="1151"/>
      <c r="S80" s="1151"/>
      <c r="T80" s="1151"/>
      <c r="U80" s="1151"/>
      <c r="V80" s="1151"/>
      <c r="W80" s="1151"/>
      <c r="X80" s="1171" t="e">
        <f>Q80/'Расчет базового уровня'!$D$100</f>
        <v>#DIV/0!</v>
      </c>
      <c r="Y80" s="1171" t="e">
        <f>X80*(1-(X76+X78)/'Расчет базового уровня'!D103)</f>
        <v>#DIV/0!</v>
      </c>
      <c r="Z80" s="50">
        <f>IF(AB80-AA80=1,1,0)</f>
        <v>0</v>
      </c>
      <c r="AA80" s="1165">
        <v>1</v>
      </c>
      <c r="AB80" s="1137">
        <f>IF(AC80=TRUE,1,0)</f>
        <v>0</v>
      </c>
      <c r="AC80" s="1138" t="b">
        <v>0</v>
      </c>
      <c r="AD80" s="1165">
        <f>IF(AND(AA80=1,A80="ОШИБКА"),1,0)</f>
        <v>0</v>
      </c>
      <c r="AE80" s="51" t="str">
        <f>IF(AB80=1,CONCATENATE(D80,CHAR(10)),"")</f>
        <v/>
      </c>
      <c r="AF80" s="50"/>
      <c r="AG80" s="50"/>
      <c r="AH80" s="50"/>
      <c r="AI80" s="50"/>
      <c r="AJ80" s="50"/>
      <c r="AK80" s="50"/>
      <c r="AL80" s="50"/>
      <c r="AM80" s="50"/>
      <c r="AN80" s="50"/>
      <c r="AO80" s="50"/>
      <c r="AP80" s="50"/>
      <c r="AQ80" s="50"/>
      <c r="AR80" s="50"/>
      <c r="AS80" s="50"/>
    </row>
    <row r="81" spans="1:45" x14ac:dyDescent="0.25">
      <c r="A81" s="50"/>
      <c r="B81" s="50"/>
      <c r="C81" s="50"/>
      <c r="D81" s="50"/>
      <c r="E81" s="50"/>
      <c r="F81" s="1175"/>
      <c r="G81" s="1175"/>
      <c r="H81" s="1175"/>
      <c r="I81" s="1175"/>
      <c r="J81" s="1175"/>
      <c r="K81" s="1175"/>
      <c r="L81" s="50"/>
      <c r="M81" s="50"/>
      <c r="N81" s="50"/>
      <c r="O81" s="1169"/>
      <c r="P81" s="1169"/>
      <c r="Q81" s="1169"/>
      <c r="R81" s="1151"/>
      <c r="S81" s="1151"/>
      <c r="T81" s="1151"/>
      <c r="U81" s="1151"/>
      <c r="V81" s="1151"/>
      <c r="W81" s="1151"/>
      <c r="X81" s="1151"/>
      <c r="Y81" s="1151"/>
      <c r="Z81" s="50"/>
      <c r="AA81" s="50"/>
      <c r="AB81" s="1133"/>
      <c r="AC81" s="1134"/>
      <c r="AD81" s="50"/>
      <c r="AF81" s="50"/>
      <c r="AG81" s="50"/>
      <c r="AH81" s="50"/>
      <c r="AI81" s="50"/>
      <c r="AJ81" s="50"/>
      <c r="AK81" s="50"/>
      <c r="AL81" s="50"/>
      <c r="AM81" s="50"/>
      <c r="AN81" s="50"/>
      <c r="AO81" s="50"/>
      <c r="AP81" s="50"/>
      <c r="AQ81" s="50"/>
      <c r="AR81" s="50"/>
      <c r="AS81" s="50"/>
    </row>
    <row r="82" spans="1:45" ht="23.25" x14ac:dyDescent="0.35">
      <c r="A82" s="50"/>
      <c r="B82" s="2092" t="str">
        <f>IF(AND('Список мероприятий'!$AB$34=0,'Система отопления'!F5=0,'Система отопления'!F6=0),"Необходимо выбрать установку АУУ СО или АИТП","")</f>
        <v/>
      </c>
      <c r="C82" s="2092"/>
      <c r="D82" s="2092"/>
      <c r="E82" s="2092"/>
      <c r="F82" s="2092"/>
      <c r="G82" s="2092"/>
      <c r="H82" s="2092"/>
      <c r="I82" s="2092"/>
      <c r="J82" s="2092"/>
      <c r="K82" s="2092"/>
      <c r="L82" s="50"/>
      <c r="M82" s="50"/>
      <c r="N82" s="1149"/>
      <c r="O82" s="50"/>
      <c r="P82" s="50"/>
      <c r="Q82" s="50"/>
      <c r="R82" s="50"/>
      <c r="S82" s="50"/>
      <c r="T82" s="50"/>
      <c r="U82" s="50"/>
      <c r="V82" s="50"/>
      <c r="W82" s="50"/>
      <c r="X82" s="50"/>
      <c r="Y82" s="50"/>
      <c r="Z82" s="50"/>
      <c r="AA82" s="50"/>
      <c r="AB82" s="1133"/>
      <c r="AC82" s="1133"/>
      <c r="AD82" s="50"/>
      <c r="AE82" s="50"/>
      <c r="AF82" s="50"/>
      <c r="AG82" s="50"/>
      <c r="AH82" s="50"/>
      <c r="AI82" s="50"/>
      <c r="AJ82" s="50"/>
      <c r="AK82" s="50"/>
      <c r="AL82" s="50"/>
      <c r="AM82" s="50"/>
      <c r="AN82" s="50"/>
      <c r="AO82" s="50"/>
      <c r="AP82" s="50"/>
      <c r="AQ82" s="50"/>
      <c r="AR82" s="50"/>
      <c r="AS82" s="50"/>
    </row>
    <row r="83" spans="1:45" ht="44.25" customHeight="1" thickBot="1" x14ac:dyDescent="0.4">
      <c r="A83" s="50"/>
      <c r="B83" s="2129" t="str">
        <f ca="1">CONCATENATE(IF(AD6&gt;0,"Проверьте выбор мероприятий и технологий. ",""),IF(SUM(Z6:Z81)&gt;0,"Без ввода стоимостей мероприятий не будут рассчитаны срок окупаемости и размер поддержки. ",""),IF(списки!C51=0,"ВЫБРАННЫЕ МЕРОПРИЯТИЯ: ",""),IF('Ввод исходных данных'!E323="Исправьте ошибки ввода","Есть ошибки ввода исходных данных",""))</f>
        <v>Есть ошибки ввода исходных данных</v>
      </c>
      <c r="C83" s="2129"/>
      <c r="D83" s="2129"/>
      <c r="E83" s="2129"/>
      <c r="F83" s="2129"/>
      <c r="G83" s="2129"/>
      <c r="H83" s="2129"/>
      <c r="I83" s="2129"/>
      <c r="J83" s="2129"/>
      <c r="K83" s="2129"/>
      <c r="L83" s="50"/>
      <c r="M83" s="50"/>
      <c r="N83" s="1149"/>
      <c r="O83" s="50"/>
      <c r="P83" s="50"/>
      <c r="Q83" s="50"/>
      <c r="R83" s="50"/>
      <c r="S83" s="50"/>
      <c r="T83" s="50"/>
      <c r="U83" s="50"/>
      <c r="V83" s="50"/>
      <c r="W83" s="50"/>
      <c r="X83" s="50"/>
      <c r="Y83" s="50"/>
      <c r="Z83" s="50"/>
      <c r="AA83" s="50"/>
      <c r="AB83" s="1133"/>
      <c r="AC83" s="1133"/>
      <c r="AD83" s="50"/>
      <c r="AE83" s="50"/>
      <c r="AF83" s="50"/>
      <c r="AG83" s="50"/>
      <c r="AH83" s="50"/>
      <c r="AI83" s="50"/>
      <c r="AJ83" s="50"/>
      <c r="AK83" s="50"/>
      <c r="AL83" s="50"/>
      <c r="AM83" s="50"/>
      <c r="AN83" s="50"/>
      <c r="AO83" s="50"/>
      <c r="AP83" s="50"/>
      <c r="AQ83" s="50"/>
      <c r="AR83" s="50"/>
      <c r="AS83" s="50"/>
    </row>
    <row r="84" spans="1:45" ht="171" customHeight="1" thickBot="1" x14ac:dyDescent="0.3">
      <c r="A84" s="50"/>
      <c r="B84" s="2161" t="str">
        <f ca="1">IF(списки!C53=1,CONCATENATE(AE9,AE12,AE13,AE14,AE16,AE22,AE26,AE29,AE39,AE40,AE41,AE44,AE49,AE54,AE34,AE36,AE37,AE57,AE58,AE60,AE64,AE69,AE75,AE76,AE78,AE80),"")</f>
        <v/>
      </c>
      <c r="C84" s="2162"/>
      <c r="D84" s="2162"/>
      <c r="E84" s="2162"/>
      <c r="F84" s="2162"/>
      <c r="G84" s="2162"/>
      <c r="H84" s="2162"/>
      <c r="I84" s="2162"/>
      <c r="J84" s="2162"/>
      <c r="K84" s="2163"/>
      <c r="L84" s="1220" t="str">
        <f ca="1">IFERROR(IF(AND(AB34=0,'Система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4" s="50"/>
      <c r="N84" s="1149"/>
      <c r="O84" s="50"/>
      <c r="P84" s="50"/>
      <c r="Q84" s="50"/>
      <c r="R84" s="50"/>
      <c r="S84" s="50"/>
      <c r="T84" s="50"/>
      <c r="U84" s="50"/>
      <c r="V84" s="50"/>
      <c r="W84" s="50"/>
      <c r="X84" s="50"/>
      <c r="Y84" s="50"/>
      <c r="Z84" s="50"/>
      <c r="AA84" s="50"/>
      <c r="AB84" s="1133"/>
      <c r="AC84" s="1133"/>
      <c r="AD84" s="50"/>
      <c r="AE84" s="50"/>
      <c r="AF84" s="50"/>
      <c r="AG84" s="50"/>
      <c r="AH84" s="50"/>
      <c r="AI84" s="50"/>
      <c r="AJ84" s="50"/>
      <c r="AK84" s="50"/>
      <c r="AL84" s="50"/>
      <c r="AM84" s="50"/>
      <c r="AN84" s="50"/>
      <c r="AO84" s="50"/>
      <c r="AP84" s="50"/>
      <c r="AQ84" s="50"/>
      <c r="AR84" s="50"/>
      <c r="AS84" s="50"/>
    </row>
    <row r="85" spans="1:45" x14ac:dyDescent="0.25">
      <c r="A85" s="50"/>
      <c r="B85" s="50"/>
      <c r="C85" s="50"/>
      <c r="D85" s="50"/>
      <c r="E85" s="50"/>
      <c r="F85" s="50"/>
      <c r="G85" s="50"/>
      <c r="H85" s="50"/>
      <c r="I85" s="1175"/>
      <c r="J85" s="1175"/>
      <c r="K85" s="1175"/>
      <c r="L85" s="50"/>
      <c r="M85" s="50"/>
      <c r="N85" s="1149"/>
      <c r="O85" s="50"/>
      <c r="P85" s="50"/>
      <c r="Q85" s="50"/>
      <c r="R85" s="50"/>
      <c r="S85" s="50"/>
      <c r="T85" s="50"/>
      <c r="U85" s="50"/>
      <c r="V85" s="50"/>
      <c r="W85" s="50"/>
      <c r="X85" s="50"/>
      <c r="Y85" s="50"/>
      <c r="Z85" s="50"/>
      <c r="AA85" s="50"/>
      <c r="AB85" s="1133"/>
      <c r="AC85" s="1133"/>
      <c r="AD85" s="50"/>
      <c r="AE85" s="50"/>
      <c r="AF85" s="50"/>
      <c r="AG85" s="50"/>
      <c r="AH85" s="50"/>
      <c r="AI85" s="50"/>
      <c r="AJ85" s="50"/>
      <c r="AK85" s="50"/>
      <c r="AL85" s="50"/>
      <c r="AM85" s="50"/>
      <c r="AN85" s="50"/>
      <c r="AO85" s="50"/>
      <c r="AP85" s="50"/>
      <c r="AQ85" s="50"/>
      <c r="AR85" s="50"/>
      <c r="AS85" s="50"/>
    </row>
    <row r="86" spans="1:45" ht="15" customHeight="1" thickBot="1" x14ac:dyDescent="0.3">
      <c r="A86" s="50"/>
      <c r="B86" s="50"/>
      <c r="C86" s="50"/>
      <c r="D86" s="1221" t="s">
        <v>1314</v>
      </c>
      <c r="E86" s="1222"/>
      <c r="F86" s="1222"/>
      <c r="G86" s="1222"/>
      <c r="H86" s="1222"/>
      <c r="I86" s="1222"/>
      <c r="J86" s="1222"/>
      <c r="K86" s="1175"/>
      <c r="L86" s="50"/>
      <c r="M86" s="50"/>
      <c r="N86" s="1149"/>
      <c r="O86" s="50"/>
      <c r="P86" s="50"/>
      <c r="Q86" s="50"/>
      <c r="R86" s="50"/>
      <c r="S86" s="50"/>
      <c r="T86" s="50"/>
      <c r="U86" s="50"/>
      <c r="V86" s="50"/>
      <c r="W86" s="50"/>
      <c r="X86" s="50"/>
      <c r="Y86" s="50"/>
      <c r="Z86" s="50"/>
      <c r="AA86" s="50"/>
      <c r="AB86" s="1133"/>
      <c r="AC86" s="1133"/>
      <c r="AD86" s="50"/>
      <c r="AE86" s="50"/>
      <c r="AF86" s="50"/>
      <c r="AG86" s="50"/>
      <c r="AH86" s="50"/>
      <c r="AI86" s="50"/>
      <c r="AJ86" s="50"/>
      <c r="AK86" s="50"/>
      <c r="AL86" s="50"/>
      <c r="AM86" s="50"/>
      <c r="AN86" s="50"/>
      <c r="AO86" s="50"/>
      <c r="AP86" s="50"/>
      <c r="AQ86" s="50"/>
      <c r="AR86" s="50"/>
      <c r="AS86" s="50"/>
    </row>
    <row r="87" spans="1:45" x14ac:dyDescent="0.25">
      <c r="A87" s="50"/>
      <c r="B87" s="50"/>
      <c r="C87" s="50"/>
      <c r="D87" s="1223" t="s">
        <v>829</v>
      </c>
      <c r="E87" s="1231" t="s">
        <v>1315</v>
      </c>
      <c r="F87" s="1224" t="s">
        <v>862</v>
      </c>
      <c r="G87" s="2127" t="s">
        <v>863</v>
      </c>
      <c r="H87" s="2127"/>
      <c r="I87" s="2127"/>
      <c r="J87" s="2128"/>
      <c r="K87" s="1175"/>
      <c r="L87" s="50"/>
      <c r="M87" s="50"/>
      <c r="N87" s="1149"/>
      <c r="O87" s="50"/>
      <c r="P87" s="50"/>
      <c r="Q87" s="50"/>
      <c r="R87" s="50"/>
      <c r="S87" s="50"/>
      <c r="T87" s="50"/>
      <c r="U87" s="50"/>
      <c r="V87" s="50"/>
      <c r="W87" s="50"/>
      <c r="X87" s="50"/>
      <c r="Y87" s="50"/>
      <c r="Z87" s="50"/>
      <c r="AA87" s="50"/>
      <c r="AB87" s="1133"/>
      <c r="AC87" s="1133"/>
      <c r="AD87" s="50"/>
      <c r="AE87" s="50"/>
      <c r="AF87" s="50"/>
      <c r="AG87" s="50"/>
      <c r="AH87" s="50"/>
      <c r="AI87" s="50"/>
      <c r="AJ87" s="50"/>
      <c r="AK87" s="50"/>
      <c r="AL87" s="50"/>
      <c r="AM87" s="50"/>
      <c r="AN87" s="50"/>
      <c r="AO87" s="50"/>
      <c r="AP87" s="50"/>
      <c r="AQ87" s="50"/>
      <c r="AR87" s="50"/>
      <c r="AS87" s="50"/>
    </row>
    <row r="88" spans="1:45" x14ac:dyDescent="0.25">
      <c r="A88" s="50"/>
      <c r="B88" s="50"/>
      <c r="C88" s="50"/>
      <c r="D88" s="2117" t="s">
        <v>1316</v>
      </c>
      <c r="E88" s="2118"/>
      <c r="F88" s="2118"/>
      <c r="G88" s="2118"/>
      <c r="H88" s="2118"/>
      <c r="I88" s="2118"/>
      <c r="J88" s="2119"/>
      <c r="K88" s="1175"/>
      <c r="L88" s="50"/>
      <c r="M88" s="50"/>
      <c r="N88" s="1149"/>
      <c r="O88" s="50"/>
      <c r="P88" s="50"/>
      <c r="Q88" s="50"/>
      <c r="R88" s="50"/>
      <c r="S88" s="50"/>
      <c r="T88" s="50"/>
      <c r="U88" s="50"/>
      <c r="V88" s="50"/>
      <c r="W88" s="50"/>
      <c r="X88" s="50"/>
      <c r="Y88" s="50"/>
      <c r="Z88" s="50"/>
      <c r="AA88" s="50"/>
      <c r="AB88" s="1133"/>
      <c r="AC88" s="1133"/>
      <c r="AD88" s="50"/>
      <c r="AE88" s="50"/>
      <c r="AF88" s="50"/>
      <c r="AG88" s="50"/>
      <c r="AH88" s="50"/>
      <c r="AI88" s="50"/>
      <c r="AJ88" s="50"/>
      <c r="AK88" s="50"/>
      <c r="AL88" s="50"/>
      <c r="AM88" s="50"/>
      <c r="AN88" s="50"/>
      <c r="AO88" s="50"/>
      <c r="AP88" s="50"/>
      <c r="AQ88" s="50"/>
      <c r="AR88" s="50"/>
      <c r="AS88" s="50"/>
    </row>
    <row r="89" spans="1:45" x14ac:dyDescent="0.25">
      <c r="A89" s="50"/>
      <c r="B89" s="50"/>
      <c r="C89" s="50"/>
      <c r="D89" s="1285" t="s">
        <v>1317</v>
      </c>
      <c r="E89" s="1296" t="s">
        <v>1773</v>
      </c>
      <c r="F89" s="1304" t="str">
        <f ca="1">IF(списки!C51=1,"",SUM('Список мероприятий'!H9,'Список мероприятий'!H12,'Список мероприятий'!H22,'Список мероприятий'!H26,'Список мероприятий'!H29,'Список мероприятий'!H64,'Список мероприятий'!H69,'Список мероприятий'!H15,H17,'Список мероприятий'!H75,'Список мероприятий'!H34,'Список мероприятий'!H36,'Список мероприятий'!H37,'Список мероприятий'!H39,'Список мероприятий'!H40,'Список мероприятий'!H41,'Список мероприятий'!H76,'Список мероприятий'!H80,'Список мероприятий'!H44,H60,'Список мероприятий'!H49,'Список мероприятий'!H57,'Список мероприятий'!H58,'Список мероприятий'!H54,H78))</f>
        <v/>
      </c>
      <c r="G89" s="2147" t="str">
        <f ca="1">CONCATENATE(IF(AD6&gt;0,"Проверьте выбор мероприятий и технологий. ",""),IF(SUM(Z6:Z81)&gt;0,"Без ввода стоимостей мероприятий не будут рассчитаны срок окупаемости и размер поддержки. ",""),IF('Ввод исходных данных'!E323="Исправьте ошибки ввода","Есть ошибки ввода исходных данных",""))</f>
        <v>Есть ошибки ввода исходных данных</v>
      </c>
      <c r="H89" s="2148"/>
      <c r="I89" s="2148"/>
      <c r="J89" s="2149"/>
      <c r="K89" s="1175"/>
      <c r="L89" s="50"/>
      <c r="M89" s="50"/>
      <c r="N89" s="1149"/>
      <c r="O89" s="50"/>
      <c r="P89" s="50"/>
      <c r="Q89" s="50"/>
      <c r="R89" s="50"/>
      <c r="S89" s="50"/>
      <c r="T89" s="50"/>
      <c r="U89" s="50"/>
      <c r="V89" s="50"/>
      <c r="W89" s="50"/>
      <c r="X89" s="50"/>
      <c r="Y89" s="50"/>
      <c r="Z89" s="50"/>
      <c r="AA89" s="50"/>
      <c r="AB89" s="1133"/>
      <c r="AC89" s="1133"/>
      <c r="AD89" s="50"/>
      <c r="AE89" s="50"/>
      <c r="AF89" s="50"/>
      <c r="AG89" s="50"/>
      <c r="AH89" s="50"/>
      <c r="AI89" s="50"/>
      <c r="AJ89" s="50"/>
      <c r="AK89" s="50"/>
      <c r="AL89" s="50"/>
      <c r="AM89" s="50"/>
      <c r="AN89" s="50"/>
      <c r="AO89" s="50"/>
      <c r="AP89" s="50"/>
      <c r="AQ89" s="50"/>
      <c r="AR89" s="50"/>
      <c r="AS89" s="50"/>
    </row>
    <row r="90" spans="1:45" ht="30" x14ac:dyDescent="0.25">
      <c r="A90" s="50"/>
      <c r="B90" s="50"/>
      <c r="C90" s="50"/>
      <c r="D90" s="1295" t="s">
        <v>1551</v>
      </c>
      <c r="E90" s="1296" t="s">
        <v>2158</v>
      </c>
      <c r="F90" s="1305" t="str">
        <f ca="1">IF(списки!C51=1,"",F89/'Ввод исходных данных'!G55)</f>
        <v/>
      </c>
      <c r="G90" s="2150"/>
      <c r="H90" s="2151"/>
      <c r="I90" s="2151"/>
      <c r="J90" s="2152"/>
      <c r="K90" s="1175"/>
      <c r="L90" s="50"/>
      <c r="M90" s="50"/>
      <c r="N90" s="1149"/>
      <c r="O90" s="50"/>
      <c r="P90" s="50"/>
      <c r="Q90" s="50"/>
      <c r="R90" s="50"/>
      <c r="S90" s="50"/>
      <c r="T90" s="50"/>
      <c r="U90" s="50"/>
      <c r="V90" s="50"/>
      <c r="W90" s="50"/>
      <c r="X90" s="50"/>
      <c r="Y90" s="50"/>
      <c r="Z90" s="50"/>
      <c r="AA90" s="50"/>
      <c r="AB90" s="1133"/>
      <c r="AC90" s="1133"/>
      <c r="AD90" s="50"/>
      <c r="AE90" s="50"/>
      <c r="AF90" s="50"/>
      <c r="AG90" s="50"/>
      <c r="AH90" s="50"/>
      <c r="AI90" s="50"/>
      <c r="AJ90" s="50"/>
      <c r="AK90" s="50"/>
      <c r="AL90" s="50"/>
      <c r="AM90" s="50"/>
      <c r="AN90" s="50"/>
      <c r="AO90" s="50"/>
      <c r="AP90" s="50"/>
      <c r="AQ90" s="50"/>
      <c r="AR90" s="50"/>
      <c r="AS90" s="50"/>
    </row>
    <row r="91" spans="1:45" ht="32.25" x14ac:dyDescent="0.25">
      <c r="A91" s="50"/>
      <c r="B91" s="50"/>
      <c r="C91" s="50"/>
      <c r="D91" s="1295" t="s">
        <v>1707</v>
      </c>
      <c r="E91" s="1296" t="s">
        <v>2158</v>
      </c>
      <c r="F91" s="1305" t="str">
        <f ca="1">IF(списки!C51=1,"",F89/('Ввод исходных данных'!G56+'Ввод исходных данных'!D23))</f>
        <v/>
      </c>
      <c r="G91" s="1289"/>
      <c r="H91" s="1290"/>
      <c r="I91" s="1227"/>
      <c r="J91" s="1228"/>
      <c r="K91" s="1175"/>
      <c r="L91" s="50"/>
      <c r="M91" s="50"/>
      <c r="N91" s="1149"/>
      <c r="O91" s="50"/>
      <c r="P91" s="50"/>
      <c r="Q91" s="50"/>
      <c r="R91" s="50"/>
      <c r="S91" s="50"/>
      <c r="T91" s="50"/>
      <c r="U91" s="50"/>
      <c r="V91" s="50"/>
      <c r="W91" s="50"/>
      <c r="X91" s="50"/>
      <c r="Y91" s="50"/>
      <c r="Z91" s="50"/>
      <c r="AA91" s="50"/>
      <c r="AB91" s="1133"/>
      <c r="AC91" s="1133"/>
      <c r="AD91" s="50"/>
      <c r="AE91" s="50"/>
      <c r="AF91" s="50"/>
      <c r="AG91" s="50"/>
      <c r="AH91" s="50"/>
      <c r="AI91" s="50"/>
      <c r="AJ91" s="50"/>
      <c r="AK91" s="50"/>
      <c r="AL91" s="50"/>
      <c r="AM91" s="50"/>
      <c r="AN91" s="50"/>
      <c r="AO91" s="50"/>
      <c r="AP91" s="50"/>
      <c r="AQ91" s="50"/>
      <c r="AR91" s="50"/>
      <c r="AS91" s="50"/>
    </row>
    <row r="92" spans="1:45" ht="30" x14ac:dyDescent="0.25">
      <c r="A92" s="50"/>
      <c r="B92" s="50"/>
      <c r="C92" s="50"/>
      <c r="D92" s="1295" t="s">
        <v>1725</v>
      </c>
      <c r="E92" s="1296" t="s">
        <v>1773</v>
      </c>
      <c r="F92" s="1305" t="str">
        <f ca="1">IF(списки!C53=0,"",'Экономический расчет'!H22-'Экономический расчет'!J22)</f>
        <v/>
      </c>
      <c r="G92" s="1289"/>
      <c r="H92" s="1290"/>
      <c r="I92" s="1227"/>
      <c r="J92" s="1228"/>
      <c r="K92" s="1175"/>
      <c r="L92" s="50"/>
      <c r="M92" s="50"/>
      <c r="N92" s="1149"/>
      <c r="O92" s="50"/>
      <c r="P92" s="50"/>
      <c r="Q92" s="50"/>
      <c r="R92" s="50"/>
      <c r="S92" s="50"/>
      <c r="T92" s="50"/>
      <c r="U92" s="50"/>
      <c r="V92" s="50"/>
      <c r="W92" s="50"/>
      <c r="X92" s="50"/>
      <c r="Y92" s="50"/>
      <c r="Z92" s="50"/>
      <c r="AA92" s="50"/>
      <c r="AB92" s="1133"/>
      <c r="AC92" s="1133"/>
      <c r="AD92" s="50"/>
      <c r="AE92" s="50"/>
      <c r="AF92" s="50"/>
      <c r="AG92" s="50"/>
      <c r="AH92" s="50"/>
      <c r="AI92" s="50"/>
      <c r="AJ92" s="50"/>
      <c r="AK92" s="50"/>
      <c r="AL92" s="50"/>
      <c r="AM92" s="50"/>
      <c r="AN92" s="50"/>
      <c r="AO92" s="50"/>
      <c r="AP92" s="50"/>
      <c r="AQ92" s="50"/>
      <c r="AR92" s="50"/>
      <c r="AS92" s="50"/>
    </row>
    <row r="93" spans="1:45" x14ac:dyDescent="0.25">
      <c r="A93" s="50"/>
      <c r="B93" s="50"/>
      <c r="C93" s="50"/>
      <c r="D93" s="1285" t="s">
        <v>1708</v>
      </c>
      <c r="E93" s="1296" t="s">
        <v>1165</v>
      </c>
      <c r="F93" s="1306" t="str">
        <f ca="1">'Экономический расчет'!H33</f>
        <v/>
      </c>
      <c r="G93" s="1289"/>
      <c r="H93" s="1290"/>
      <c r="I93" s="1227"/>
      <c r="J93" s="1228"/>
      <c r="K93" s="1175"/>
      <c r="L93" s="50"/>
      <c r="M93" s="50"/>
      <c r="N93" s="1149"/>
      <c r="O93" s="50"/>
      <c r="P93" s="50"/>
      <c r="Q93" s="50"/>
      <c r="R93" s="50"/>
      <c r="S93" s="50"/>
      <c r="T93" s="50"/>
      <c r="U93" s="50"/>
      <c r="V93" s="50"/>
      <c r="W93" s="50"/>
      <c r="X93" s="50"/>
      <c r="Y93" s="50"/>
      <c r="Z93" s="50"/>
      <c r="AA93" s="50"/>
      <c r="AB93" s="1133"/>
      <c r="AC93" s="1133"/>
      <c r="AD93" s="50"/>
      <c r="AE93" s="50"/>
      <c r="AF93" s="50"/>
      <c r="AG93" s="50"/>
      <c r="AH93" s="50"/>
      <c r="AI93" s="50"/>
      <c r="AJ93" s="50"/>
      <c r="AK93" s="50"/>
      <c r="AL93" s="50"/>
      <c r="AM93" s="50"/>
      <c r="AN93" s="50"/>
      <c r="AO93" s="50"/>
      <c r="AP93" s="50"/>
      <c r="AQ93" s="50"/>
      <c r="AR93" s="50"/>
      <c r="AS93" s="50"/>
    </row>
    <row r="94" spans="1:45" x14ac:dyDescent="0.25">
      <c r="A94" s="50"/>
      <c r="B94" s="50"/>
      <c r="C94" s="50"/>
      <c r="D94" s="1285" t="s">
        <v>1318</v>
      </c>
      <c r="E94" s="1296" t="s">
        <v>1319</v>
      </c>
      <c r="F94" s="1307" t="str">
        <f ca="1">IF(списки!C51=1,"",'Экономический расчет'!H34)</f>
        <v/>
      </c>
      <c r="G94" s="1289"/>
      <c r="H94" s="1290"/>
      <c r="I94" s="1227"/>
      <c r="J94" s="1228"/>
      <c r="K94" s="1175"/>
      <c r="L94" s="50"/>
      <c r="M94" s="50"/>
      <c r="N94" s="1149"/>
      <c r="O94" s="50"/>
      <c r="P94" s="50"/>
      <c r="Q94" s="50"/>
      <c r="R94" s="50"/>
      <c r="S94" s="50"/>
      <c r="T94" s="50"/>
      <c r="U94" s="50"/>
      <c r="V94" s="50"/>
      <c r="W94" s="50"/>
      <c r="X94" s="50"/>
      <c r="Y94" s="50"/>
      <c r="Z94" s="50"/>
      <c r="AA94" s="50"/>
      <c r="AB94" s="1133"/>
      <c r="AC94" s="1133"/>
      <c r="AD94" s="50"/>
      <c r="AE94" s="50"/>
      <c r="AF94" s="50"/>
      <c r="AG94" s="50"/>
      <c r="AH94" s="50"/>
      <c r="AI94" s="50"/>
      <c r="AJ94" s="50"/>
      <c r="AK94" s="50"/>
      <c r="AL94" s="50"/>
      <c r="AM94" s="50"/>
      <c r="AN94" s="50"/>
      <c r="AO94" s="50"/>
      <c r="AP94" s="50"/>
      <c r="AQ94" s="50"/>
      <c r="AR94" s="50"/>
      <c r="AS94" s="50"/>
    </row>
    <row r="95" spans="1:45" x14ac:dyDescent="0.25">
      <c r="A95" s="50"/>
      <c r="B95" s="50"/>
      <c r="C95" s="50"/>
      <c r="D95" s="2117" t="s">
        <v>1320</v>
      </c>
      <c r="E95" s="2118"/>
      <c r="F95" s="2118"/>
      <c r="G95" s="2118"/>
      <c r="H95" s="2118"/>
      <c r="I95" s="2118"/>
      <c r="J95" s="2119"/>
      <c r="K95" s="1175"/>
      <c r="L95" s="50"/>
      <c r="M95" s="50"/>
      <c r="N95" s="1149"/>
      <c r="O95" s="50"/>
      <c r="P95" s="50"/>
      <c r="Q95" s="50"/>
      <c r="R95" s="50"/>
      <c r="S95" s="50"/>
      <c r="T95" s="50"/>
      <c r="U95" s="50"/>
      <c r="V95" s="50"/>
      <c r="W95" s="50"/>
      <c r="X95" s="50"/>
      <c r="Y95" s="50"/>
      <c r="Z95" s="50"/>
      <c r="AA95" s="50"/>
      <c r="AB95" s="1133"/>
      <c r="AC95" s="1133"/>
      <c r="AD95" s="50"/>
      <c r="AE95" s="50"/>
      <c r="AF95" s="50"/>
      <c r="AG95" s="50"/>
      <c r="AH95" s="50"/>
      <c r="AI95" s="50"/>
      <c r="AJ95" s="50"/>
      <c r="AK95" s="50"/>
      <c r="AL95" s="50"/>
      <c r="AM95" s="50"/>
      <c r="AN95" s="50"/>
      <c r="AO95" s="50"/>
      <c r="AP95" s="50"/>
      <c r="AQ95" s="50"/>
      <c r="AR95" s="50"/>
      <c r="AS95" s="50"/>
    </row>
    <row r="96" spans="1:45" x14ac:dyDescent="0.25">
      <c r="A96" s="50"/>
      <c r="B96" s="50"/>
      <c r="C96" s="50"/>
      <c r="D96" s="1291" t="s">
        <v>1321</v>
      </c>
      <c r="E96" s="1286" t="s">
        <v>1168</v>
      </c>
      <c r="F96" s="1300" t="str">
        <f ca="1">IF(списки!C53=0,"",('Экономический расчет'!H23-'Экономический расчет'!J23)/'Ввод исходных данных'!D302)</f>
        <v/>
      </c>
      <c r="G96" s="1287"/>
      <c r="H96" s="1288"/>
      <c r="I96" s="1225"/>
      <c r="J96" s="1226"/>
      <c r="K96" s="1175"/>
      <c r="L96" s="50"/>
      <c r="M96" s="50"/>
      <c r="N96" s="1149"/>
      <c r="O96" s="50"/>
      <c r="P96" s="50"/>
      <c r="Q96" s="50"/>
      <c r="R96" s="50"/>
      <c r="S96" s="50"/>
      <c r="T96" s="50"/>
      <c r="U96" s="50"/>
      <c r="V96" s="50"/>
      <c r="W96" s="50"/>
      <c r="X96" s="50"/>
      <c r="Y96" s="50"/>
      <c r="Z96" s="50"/>
      <c r="AA96" s="50"/>
      <c r="AB96" s="1133"/>
      <c r="AC96" s="1133"/>
      <c r="AD96" s="50"/>
      <c r="AE96" s="50"/>
      <c r="AF96" s="50"/>
      <c r="AG96" s="50"/>
      <c r="AH96" s="50"/>
      <c r="AI96" s="50"/>
      <c r="AJ96" s="50"/>
      <c r="AK96" s="50"/>
      <c r="AL96" s="50"/>
      <c r="AM96" s="50"/>
      <c r="AN96" s="50"/>
      <c r="AO96" s="50"/>
      <c r="AP96" s="50"/>
      <c r="AQ96" s="50"/>
      <c r="AR96" s="50"/>
      <c r="AS96" s="50"/>
    </row>
    <row r="97" spans="1:57" x14ac:dyDescent="0.25">
      <c r="A97" s="50"/>
      <c r="B97" s="50"/>
      <c r="C97" s="50"/>
      <c r="D97" s="1292" t="s">
        <v>1322</v>
      </c>
      <c r="E97" s="1293" t="s">
        <v>2140</v>
      </c>
      <c r="F97" s="1301" t="str">
        <f ca="1">IF(списки!C53=0,"",('Экономический расчет'!H26-'Экономический расчет'!J26)/'Ввод исходных данных'!E302)</f>
        <v/>
      </c>
      <c r="G97" s="1289"/>
      <c r="H97" s="1290"/>
      <c r="I97" s="1227"/>
      <c r="J97" s="1228"/>
      <c r="K97" s="1175"/>
      <c r="L97" s="50"/>
      <c r="M97" s="50"/>
      <c r="N97" s="1149"/>
      <c r="O97" s="50"/>
      <c r="P97" s="50"/>
      <c r="Q97" s="50"/>
      <c r="R97" s="50"/>
      <c r="S97" s="50"/>
      <c r="T97" s="50"/>
      <c r="U97" s="50"/>
      <c r="V97" s="50"/>
      <c r="W97" s="50"/>
      <c r="X97" s="50"/>
      <c r="Y97" s="50"/>
      <c r="Z97" s="50"/>
      <c r="AA97" s="50"/>
      <c r="AB97" s="1133"/>
      <c r="AC97" s="1133"/>
      <c r="AD97" s="50"/>
      <c r="AE97" s="50"/>
      <c r="AF97" s="50"/>
      <c r="AG97" s="50"/>
      <c r="AH97" s="50"/>
      <c r="AI97" s="50"/>
      <c r="AJ97" s="50"/>
      <c r="AK97" s="50"/>
      <c r="AL97" s="50"/>
      <c r="AM97" s="50"/>
      <c r="AN97" s="50"/>
      <c r="AO97" s="50"/>
      <c r="AP97" s="50"/>
      <c r="AQ97" s="50"/>
      <c r="AR97" s="50"/>
      <c r="AS97" s="50"/>
    </row>
    <row r="98" spans="1:57" ht="58.5" customHeight="1" x14ac:dyDescent="0.25">
      <c r="A98" s="50"/>
      <c r="B98" s="50"/>
      <c r="C98" s="50"/>
      <c r="D98" s="1294" t="s">
        <v>1323</v>
      </c>
      <c r="E98" s="1293" t="s">
        <v>2138</v>
      </c>
      <c r="F98" s="1302" t="str">
        <f ca="1">IF(списки!C53=0,"",IF('Расчет после реализации'!D108&gt;'Расчет после реализации'!C108,'Расчет после реализации'!D108-'Расчет после реализации'!C108,0))</f>
        <v/>
      </c>
      <c r="G98" s="2122" t="s">
        <v>1324</v>
      </c>
      <c r="H98" s="2123"/>
      <c r="I98" s="2123"/>
      <c r="J98" s="2124"/>
      <c r="K98" s="1175"/>
      <c r="L98" s="50"/>
      <c r="M98" s="50"/>
      <c r="N98" s="1149"/>
      <c r="O98" s="50"/>
      <c r="P98" s="50"/>
      <c r="Q98" s="50"/>
      <c r="R98" s="50"/>
      <c r="S98" s="50"/>
      <c r="T98" s="50"/>
      <c r="U98" s="50"/>
      <c r="V98" s="50"/>
      <c r="W98" s="50"/>
      <c r="X98" s="50"/>
      <c r="Y98" s="50"/>
      <c r="Z98" s="50"/>
      <c r="AA98" s="50"/>
      <c r="AB98" s="1133"/>
      <c r="AC98" s="1133"/>
      <c r="AD98" s="50"/>
      <c r="AE98" s="50"/>
      <c r="AF98" s="50"/>
      <c r="AG98" s="50"/>
      <c r="AH98" s="50"/>
      <c r="AI98" s="50"/>
      <c r="AJ98" s="50"/>
      <c r="AK98" s="50"/>
      <c r="AL98" s="50"/>
      <c r="AM98" s="50"/>
      <c r="AN98" s="50"/>
      <c r="AO98" s="50"/>
      <c r="AP98" s="50"/>
      <c r="AQ98" s="50"/>
      <c r="AR98" s="50"/>
      <c r="AS98" s="50"/>
    </row>
    <row r="99" spans="1:57" x14ac:dyDescent="0.25">
      <c r="A99" s="50"/>
      <c r="B99" s="50"/>
      <c r="C99" s="50"/>
      <c r="D99" s="1294" t="s">
        <v>1325</v>
      </c>
      <c r="E99" s="1293" t="s">
        <v>2138</v>
      </c>
      <c r="F99" s="1301" t="str">
        <f ca="1">IF(списки!C53=0,"",'Расчет после реализации'!D7)</f>
        <v/>
      </c>
      <c r="G99" s="2114"/>
      <c r="H99" s="2115"/>
      <c r="I99" s="2115"/>
      <c r="J99" s="2116"/>
      <c r="K99" s="1175"/>
      <c r="L99" s="50"/>
      <c r="M99" s="50"/>
      <c r="N99" s="1149"/>
      <c r="O99" s="50"/>
      <c r="P99" s="50"/>
      <c r="Q99" s="50"/>
      <c r="R99" s="50"/>
      <c r="S99" s="50"/>
      <c r="T99" s="50"/>
      <c r="U99" s="50"/>
      <c r="V99" s="50"/>
      <c r="W99" s="50"/>
      <c r="X99" s="50"/>
      <c r="Y99" s="50"/>
      <c r="Z99" s="50"/>
      <c r="AA99" s="50"/>
      <c r="AB99" s="1133"/>
      <c r="AC99" s="1133"/>
      <c r="AD99" s="50"/>
      <c r="AE99" s="50"/>
      <c r="AF99" s="50"/>
      <c r="AG99" s="50"/>
      <c r="AH99" s="50"/>
      <c r="AI99" s="50"/>
      <c r="AJ99" s="50"/>
      <c r="AK99" s="50"/>
      <c r="AL99" s="50"/>
      <c r="AM99" s="50"/>
      <c r="AN99" s="50"/>
      <c r="AO99" s="50"/>
      <c r="AP99" s="50"/>
      <c r="AQ99" s="50"/>
      <c r="AR99" s="50"/>
      <c r="AS99" s="50"/>
    </row>
    <row r="100" spans="1:57" ht="17.25" x14ac:dyDescent="0.25">
      <c r="A100" s="50"/>
      <c r="B100" s="50"/>
      <c r="C100" s="50"/>
      <c r="D100" s="1294" t="s">
        <v>1326</v>
      </c>
      <c r="E100" s="1293" t="s">
        <v>2139</v>
      </c>
      <c r="F100" s="1303" t="str">
        <f ca="1">IF(списки!C53=0,"",F99/('Ввод исходных данных'!G56+'Ввод исходных данных'!$G$23))</f>
        <v/>
      </c>
      <c r="G100" s="2114"/>
      <c r="H100" s="2115"/>
      <c r="I100" s="2115"/>
      <c r="J100" s="2116"/>
      <c r="K100" s="1175"/>
      <c r="L100" s="50"/>
      <c r="M100" s="50"/>
      <c r="N100" s="1149"/>
      <c r="O100" s="50"/>
      <c r="P100" s="50"/>
      <c r="Q100" s="50"/>
      <c r="R100" s="50"/>
      <c r="S100" s="50"/>
      <c r="T100" s="50"/>
      <c r="U100" s="50"/>
      <c r="V100" s="50"/>
      <c r="W100" s="50"/>
      <c r="X100" s="50"/>
      <c r="Y100" s="50"/>
      <c r="Z100" s="50"/>
      <c r="AA100" s="50"/>
      <c r="AB100" s="1133"/>
      <c r="AC100" s="1133"/>
      <c r="AD100" s="50"/>
      <c r="AE100" s="50"/>
      <c r="AF100" s="50"/>
      <c r="AG100" s="50"/>
      <c r="AH100" s="50"/>
      <c r="AI100" s="50"/>
      <c r="AJ100" s="50"/>
      <c r="AK100" s="50"/>
      <c r="AL100" s="50"/>
      <c r="AM100" s="50"/>
      <c r="AN100" s="50"/>
      <c r="AO100" s="50"/>
      <c r="AP100" s="50"/>
      <c r="AQ100" s="50"/>
      <c r="AR100" s="50"/>
      <c r="AS100" s="50"/>
    </row>
    <row r="101" spans="1:57" x14ac:dyDescent="0.25">
      <c r="A101" s="50"/>
      <c r="B101" s="50"/>
      <c r="C101" s="50"/>
      <c r="D101" s="50"/>
      <c r="E101" s="50"/>
      <c r="F101" s="50"/>
      <c r="G101" s="50"/>
      <c r="H101" s="50"/>
      <c r="I101" s="1175"/>
      <c r="J101" s="1175"/>
      <c r="K101" s="1175"/>
      <c r="L101" s="50"/>
      <c r="M101" s="50"/>
      <c r="N101" s="1149"/>
      <c r="O101" s="50"/>
      <c r="P101" s="50"/>
      <c r="Q101" s="50"/>
      <c r="R101" s="50"/>
      <c r="S101" s="50"/>
      <c r="T101" s="50"/>
      <c r="U101" s="50"/>
      <c r="V101" s="50"/>
      <c r="W101" s="50"/>
      <c r="X101" s="50"/>
      <c r="Y101" s="50"/>
      <c r="Z101" s="50"/>
      <c r="AA101" s="50"/>
      <c r="AB101" s="1133"/>
      <c r="AC101" s="1133"/>
      <c r="AD101" s="50"/>
      <c r="AE101" s="50"/>
      <c r="AF101" s="50"/>
      <c r="AG101" s="50"/>
      <c r="AH101" s="50"/>
      <c r="AI101" s="50"/>
      <c r="AJ101" s="50"/>
      <c r="AK101" s="50"/>
      <c r="AL101" s="50"/>
      <c r="AM101" s="50"/>
      <c r="AN101" s="50"/>
      <c r="AO101" s="50"/>
      <c r="AP101" s="50"/>
      <c r="AQ101" s="50"/>
      <c r="AR101" s="50"/>
      <c r="AS101" s="50"/>
    </row>
    <row r="102" spans="1:57" x14ac:dyDescent="0.25">
      <c r="A102" s="50"/>
      <c r="B102" s="50"/>
      <c r="C102" s="50"/>
      <c r="D102" s="50"/>
      <c r="E102" s="50"/>
      <c r="F102" s="50"/>
      <c r="G102" s="50"/>
      <c r="H102" s="50"/>
      <c r="I102" s="1175"/>
      <c r="J102" s="1175"/>
      <c r="K102" s="1175"/>
      <c r="L102" s="50"/>
      <c r="M102" s="50"/>
      <c r="N102" s="1149"/>
      <c r="O102" s="50"/>
      <c r="P102" s="50"/>
      <c r="Q102" s="50"/>
      <c r="R102" s="50"/>
      <c r="S102" s="50"/>
      <c r="T102" s="50"/>
      <c r="U102" s="50"/>
      <c r="V102" s="50"/>
      <c r="W102" s="50"/>
      <c r="X102" s="50"/>
      <c r="Y102" s="50"/>
      <c r="Z102" s="50"/>
      <c r="AA102" s="50"/>
      <c r="AB102" s="1133"/>
      <c r="AC102" s="1133"/>
      <c r="AD102" s="50"/>
      <c r="AE102" s="50"/>
      <c r="AF102" s="50"/>
      <c r="AG102" s="50"/>
      <c r="AH102" s="50"/>
      <c r="AI102" s="50"/>
      <c r="AJ102" s="50"/>
      <c r="AK102" s="50"/>
      <c r="AL102" s="50"/>
      <c r="AM102" s="50"/>
      <c r="AN102" s="50"/>
      <c r="AO102" s="50"/>
      <c r="AP102" s="50"/>
      <c r="AQ102" s="50"/>
      <c r="AR102" s="50"/>
      <c r="AS102" s="50"/>
    </row>
    <row r="103" spans="1:57" x14ac:dyDescent="0.25">
      <c r="A103" s="50"/>
      <c r="B103" s="50"/>
      <c r="C103" s="50"/>
      <c r="D103" s="2146" t="s">
        <v>1817</v>
      </c>
      <c r="E103" s="50"/>
      <c r="F103" s="1363"/>
      <c r="G103" s="50"/>
      <c r="H103" s="50"/>
      <c r="I103" s="1175"/>
      <c r="J103" s="1175"/>
      <c r="K103" s="1175"/>
      <c r="L103" s="50"/>
      <c r="M103" s="50"/>
      <c r="N103" s="1149"/>
      <c r="O103" s="50"/>
      <c r="P103" s="50"/>
      <c r="Q103" s="50"/>
      <c r="R103" s="50"/>
      <c r="S103" s="50"/>
      <c r="T103" s="50"/>
      <c r="U103" s="50"/>
      <c r="V103" s="50"/>
      <c r="W103" s="50"/>
      <c r="X103" s="50"/>
      <c r="Y103" s="50"/>
      <c r="Z103" s="50"/>
      <c r="AA103" s="50"/>
      <c r="AB103" s="1133"/>
      <c r="AC103" s="1133"/>
      <c r="AD103" s="50"/>
      <c r="AE103" s="50"/>
      <c r="AF103" s="50"/>
      <c r="AG103" s="50"/>
      <c r="AH103" s="50"/>
      <c r="AI103" s="50"/>
      <c r="AJ103" s="50"/>
      <c r="AK103" s="50"/>
      <c r="AL103" s="50"/>
      <c r="AM103" s="50"/>
      <c r="AN103" s="50"/>
      <c r="AO103" s="50"/>
      <c r="AP103" s="50"/>
      <c r="AQ103" s="50"/>
      <c r="AR103" s="50"/>
      <c r="AS103" s="50"/>
    </row>
    <row r="104" spans="1:57" s="13" customFormat="1" ht="26.25" customHeight="1" x14ac:dyDescent="0.25">
      <c r="A104" s="50"/>
      <c r="B104" s="1247"/>
      <c r="C104" s="1326"/>
      <c r="D104" s="2146"/>
      <c r="E104" s="50"/>
      <c r="F104" s="50"/>
      <c r="G104" s="50"/>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BD104" s="1698"/>
      <c r="BE104" s="1698"/>
    </row>
    <row r="105" spans="1:57" s="13" customFormat="1" ht="21" customHeight="1" x14ac:dyDescent="0.25">
      <c r="A105" s="50"/>
      <c r="B105" s="1247"/>
      <c r="C105" s="1326"/>
      <c r="D105" s="1401" t="s">
        <v>1799</v>
      </c>
      <c r="E105" s="50"/>
      <c r="F105" s="50"/>
      <c r="G105" s="50"/>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BD105" s="1698"/>
      <c r="BE105" s="1698"/>
    </row>
    <row r="106" spans="1:57" s="13" customFormat="1" ht="21.75" customHeight="1" x14ac:dyDescent="0.25">
      <c r="A106" s="50"/>
      <c r="B106" s="1247"/>
      <c r="C106" s="1326"/>
      <c r="D106" s="1402" t="s">
        <v>1798</v>
      </c>
      <c r="E106" s="50"/>
      <c r="F106" s="50"/>
      <c r="G106" s="50"/>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BD106" s="1698"/>
      <c r="BE106" s="1698"/>
    </row>
    <row r="107" spans="1:57" s="13" customFormat="1" ht="23.25" customHeight="1" x14ac:dyDescent="0.25">
      <c r="A107" s="50"/>
      <c r="B107" s="1247"/>
      <c r="C107" s="1326"/>
      <c r="D107" s="1403" t="s">
        <v>1791</v>
      </c>
      <c r="E107" s="50"/>
      <c r="F107" s="50"/>
      <c r="G107" s="50"/>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BD107" s="1698"/>
      <c r="BE107" s="1698"/>
    </row>
    <row r="108" spans="1:57" s="13" customFormat="1" ht="24" customHeight="1" x14ac:dyDescent="0.25">
      <c r="A108" s="50"/>
      <c r="B108" s="1247"/>
      <c r="C108" s="1326"/>
      <c r="D108" s="1404" t="s">
        <v>1792</v>
      </c>
      <c r="E108" s="50"/>
      <c r="F108" s="50"/>
      <c r="G108" s="50"/>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BD108" s="1698"/>
      <c r="BE108" s="1698"/>
    </row>
    <row r="109" spans="1:57" s="13" customFormat="1" ht="21.75" customHeight="1" x14ac:dyDescent="0.25">
      <c r="A109" s="50"/>
      <c r="B109" s="1247"/>
      <c r="C109" s="1326"/>
      <c r="D109" s="1405" t="s">
        <v>1793</v>
      </c>
      <c r="E109" s="50"/>
      <c r="F109" s="50"/>
      <c r="G109" s="50"/>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BD109" s="1698"/>
      <c r="BE109" s="1698"/>
    </row>
    <row r="110" spans="1:57" s="13" customFormat="1" ht="21.75" customHeight="1" x14ac:dyDescent="0.25">
      <c r="A110" s="50"/>
      <c r="B110" s="1247"/>
      <c r="C110" s="1326"/>
      <c r="D110" s="1406" t="s">
        <v>1794</v>
      </c>
      <c r="E110" s="50"/>
      <c r="F110" s="50"/>
      <c r="G110" s="50"/>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BD110" s="1698"/>
      <c r="BE110" s="1698"/>
    </row>
    <row r="111" spans="1:57" s="13" customFormat="1" ht="24" customHeight="1" x14ac:dyDescent="0.25">
      <c r="A111" s="50"/>
      <c r="B111" s="1247"/>
      <c r="C111" s="1326"/>
      <c r="D111" s="1407" t="s">
        <v>1795</v>
      </c>
      <c r="E111" s="50"/>
      <c r="F111" s="50"/>
      <c r="G111" s="50"/>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BD111" s="1698"/>
      <c r="BE111" s="1698"/>
    </row>
    <row r="112" spans="1:57" s="13" customFormat="1" ht="23.25" customHeight="1" x14ac:dyDescent="0.25">
      <c r="A112" s="50"/>
      <c r="B112" s="1247"/>
      <c r="C112" s="1326"/>
      <c r="D112" s="1407" t="s">
        <v>1796</v>
      </c>
      <c r="E112" s="50"/>
      <c r="F112" s="50"/>
      <c r="G112" s="50"/>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BD112" s="1698"/>
      <c r="BE112" s="1698"/>
    </row>
    <row r="113" spans="1:57" s="13" customFormat="1" ht="21.75" customHeight="1" x14ac:dyDescent="0.25">
      <c r="A113" s="50"/>
      <c r="B113" s="1247"/>
      <c r="C113" s="1326"/>
      <c r="D113" s="1362" t="s">
        <v>1797</v>
      </c>
      <c r="E113" s="50"/>
      <c r="F113" s="50"/>
      <c r="G113" s="50"/>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BD113" s="1698"/>
      <c r="BE113" s="1698"/>
    </row>
    <row r="114" spans="1:57" s="13" customFormat="1" ht="26.25" customHeight="1" x14ac:dyDescent="0.25">
      <c r="A114" s="1247"/>
      <c r="B114" s="13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BD114" s="1698"/>
      <c r="BE114" s="1698"/>
    </row>
    <row r="115" spans="1:57" x14ac:dyDescent="0.25">
      <c r="A115" s="50"/>
      <c r="B115" s="50"/>
      <c r="C115" s="50"/>
      <c r="D115" s="50" t="s">
        <v>1818</v>
      </c>
      <c r="E115" s="50"/>
      <c r="F115" s="50"/>
      <c r="G115" s="50"/>
      <c r="H115" s="50"/>
      <c r="I115" s="50"/>
      <c r="J115" s="50"/>
      <c r="K115" s="50"/>
      <c r="L115" s="50"/>
      <c r="M115" s="50"/>
      <c r="N115" s="1149"/>
      <c r="O115" s="50"/>
      <c r="P115" s="50"/>
      <c r="Q115" s="50"/>
      <c r="R115" s="50"/>
      <c r="S115" s="50"/>
      <c r="T115" s="50"/>
      <c r="U115" s="50"/>
      <c r="V115" s="50"/>
      <c r="W115" s="50"/>
      <c r="X115" s="50"/>
      <c r="Y115" s="50"/>
      <c r="Z115" s="50"/>
      <c r="AA115" s="50"/>
      <c r="AB115" s="1133"/>
      <c r="AC115" s="1133"/>
      <c r="AD115" s="50"/>
      <c r="AE115" s="50"/>
      <c r="AF115" s="50"/>
      <c r="AG115" s="50"/>
      <c r="AH115" s="50"/>
      <c r="AI115" s="50"/>
      <c r="AJ115" s="50"/>
      <c r="AK115" s="50"/>
      <c r="AL115" s="50"/>
      <c r="AM115" s="50"/>
      <c r="AN115" s="50"/>
      <c r="AO115" s="50"/>
      <c r="AP115" s="50"/>
      <c r="AQ115" s="50"/>
      <c r="AR115" s="50"/>
      <c r="AS115" s="50"/>
    </row>
    <row r="116" spans="1:57" x14ac:dyDescent="0.25">
      <c r="A116" s="50"/>
      <c r="B116" s="50"/>
      <c r="C116" s="50"/>
      <c r="D116" s="50"/>
      <c r="E116" s="50"/>
      <c r="F116" s="50"/>
      <c r="G116" s="50"/>
      <c r="H116" s="50"/>
      <c r="I116" s="50"/>
      <c r="J116" s="50"/>
      <c r="K116" s="50"/>
      <c r="L116" s="50"/>
      <c r="M116" s="50"/>
      <c r="N116" s="1149"/>
      <c r="O116" s="50"/>
      <c r="P116" s="50"/>
      <c r="Q116" s="50"/>
      <c r="R116" s="50"/>
      <c r="S116" s="50"/>
      <c r="T116" s="50"/>
      <c r="U116" s="50"/>
      <c r="V116" s="50"/>
      <c r="W116" s="50"/>
      <c r="X116" s="50"/>
      <c r="Y116" s="50"/>
      <c r="Z116" s="50"/>
      <c r="AA116" s="50"/>
      <c r="AB116" s="1133"/>
      <c r="AC116" s="1133"/>
      <c r="AD116" s="50"/>
      <c r="AE116" s="50"/>
      <c r="AF116" s="50"/>
      <c r="AG116" s="50"/>
      <c r="AH116" s="50"/>
      <c r="AI116" s="50"/>
      <c r="AJ116" s="50"/>
      <c r="AK116" s="50"/>
      <c r="AL116" s="50"/>
      <c r="AM116" s="50"/>
      <c r="AN116" s="50"/>
      <c r="AO116" s="50"/>
      <c r="AP116" s="50"/>
      <c r="AQ116" s="50"/>
      <c r="AR116" s="50"/>
      <c r="AS116" s="50"/>
    </row>
    <row r="117" spans="1:57" hidden="1" x14ac:dyDescent="0.25">
      <c r="A117" s="50"/>
      <c r="B117" s="50"/>
      <c r="C117" s="50"/>
      <c r="D117" s="50"/>
      <c r="E117" s="50"/>
      <c r="F117" s="50"/>
      <c r="G117" s="50"/>
      <c r="H117" s="50"/>
      <c r="I117" s="50"/>
      <c r="J117" s="50"/>
      <c r="K117" s="50"/>
      <c r="L117" s="50"/>
      <c r="M117" s="50"/>
      <c r="N117" s="1149"/>
      <c r="O117" s="50"/>
      <c r="P117" s="50"/>
      <c r="Q117" s="50"/>
      <c r="R117" s="50"/>
      <c r="S117" s="50"/>
      <c r="T117" s="50"/>
      <c r="U117" s="50"/>
      <c r="V117" s="50"/>
      <c r="W117" s="50"/>
      <c r="X117" s="50"/>
      <c r="Y117" s="50"/>
      <c r="Z117" s="50"/>
      <c r="AA117" s="50"/>
      <c r="AB117" s="1133"/>
      <c r="AC117" s="1133"/>
      <c r="AD117" s="50"/>
      <c r="AE117" s="50"/>
      <c r="AF117" s="50"/>
      <c r="AG117" s="50"/>
      <c r="AH117" s="50"/>
      <c r="AI117" s="50"/>
      <c r="AJ117" s="50"/>
      <c r="AK117" s="50"/>
      <c r="AL117" s="50"/>
      <c r="AM117" s="50"/>
      <c r="AN117" s="50"/>
      <c r="AO117" s="50"/>
      <c r="AP117" s="50"/>
      <c r="AQ117" s="50"/>
      <c r="AR117" s="50"/>
      <c r="AS117" s="50"/>
    </row>
    <row r="118" spans="1:57" hidden="1" x14ac:dyDescent="0.25">
      <c r="A118" s="50"/>
      <c r="B118" s="50"/>
      <c r="C118" s="50"/>
      <c r="D118" s="50"/>
      <c r="E118" s="50"/>
      <c r="F118" s="50"/>
      <c r="G118" s="50"/>
      <c r="H118" s="50"/>
      <c r="I118" s="50"/>
      <c r="J118" s="50"/>
      <c r="K118" s="50"/>
      <c r="L118" s="50"/>
      <c r="M118" s="50"/>
      <c r="N118" s="1149"/>
      <c r="O118" s="50"/>
      <c r="P118" s="50"/>
      <c r="Q118" s="50"/>
      <c r="R118" s="50"/>
      <c r="S118" s="50"/>
      <c r="T118" s="50"/>
      <c r="U118" s="50"/>
      <c r="V118" s="50"/>
      <c r="W118" s="50"/>
      <c r="X118" s="50"/>
      <c r="Y118" s="50"/>
      <c r="Z118" s="50"/>
      <c r="AA118" s="50"/>
      <c r="AB118" s="1133"/>
      <c r="AC118" s="1133"/>
      <c r="AD118" s="50"/>
      <c r="AE118" s="50"/>
      <c r="AF118" s="50"/>
      <c r="AG118" s="50"/>
      <c r="AH118" s="50"/>
      <c r="AI118" s="50"/>
      <c r="AJ118" s="50"/>
      <c r="AK118" s="50"/>
      <c r="AL118" s="50"/>
      <c r="AM118" s="50"/>
      <c r="AN118" s="50"/>
      <c r="AO118" s="50"/>
      <c r="AP118" s="50"/>
      <c r="AQ118" s="50"/>
      <c r="AR118" s="50"/>
      <c r="AS118" s="50"/>
    </row>
    <row r="119" spans="1:57" hidden="1" x14ac:dyDescent="0.25">
      <c r="A119" s="50"/>
      <c r="B119" s="50"/>
      <c r="C119" s="50"/>
      <c r="D119" s="50"/>
      <c r="E119" s="50"/>
      <c r="F119" s="50"/>
      <c r="G119" s="50"/>
      <c r="H119" s="50"/>
      <c r="I119" s="50"/>
      <c r="J119" s="50"/>
      <c r="K119" s="50"/>
      <c r="L119" s="50"/>
      <c r="M119" s="50"/>
      <c r="N119" s="1149"/>
      <c r="O119" s="50"/>
      <c r="P119" s="50"/>
      <c r="Q119" s="50"/>
      <c r="R119" s="50"/>
      <c r="S119" s="50"/>
      <c r="T119" s="50"/>
      <c r="U119" s="50"/>
      <c r="V119" s="50"/>
      <c r="W119" s="50"/>
      <c r="X119" s="50"/>
      <c r="Y119" s="50"/>
      <c r="Z119" s="50"/>
      <c r="AA119" s="50"/>
      <c r="AB119" s="1133"/>
      <c r="AC119" s="1133"/>
      <c r="AD119" s="50"/>
      <c r="AE119" s="50"/>
      <c r="AF119" s="50"/>
      <c r="AG119" s="50"/>
      <c r="AH119" s="50"/>
      <c r="AI119" s="50"/>
      <c r="AJ119" s="50"/>
      <c r="AK119" s="50"/>
      <c r="AL119" s="50"/>
      <c r="AM119" s="50"/>
      <c r="AN119" s="50"/>
      <c r="AO119" s="50"/>
      <c r="AP119" s="50"/>
      <c r="AQ119" s="50"/>
      <c r="AR119" s="50"/>
      <c r="AS119" s="50"/>
    </row>
    <row r="120" spans="1:57" hidden="1" x14ac:dyDescent="0.25">
      <c r="A120" s="50"/>
      <c r="B120" s="50"/>
      <c r="C120" s="50"/>
      <c r="D120" s="50"/>
      <c r="E120" s="50"/>
      <c r="F120" s="50"/>
      <c r="G120" s="50"/>
      <c r="H120" s="50"/>
      <c r="I120" s="50"/>
      <c r="J120" s="50"/>
      <c r="K120" s="50"/>
      <c r="L120" s="50"/>
      <c r="M120" s="50"/>
      <c r="N120" s="1149"/>
      <c r="O120" s="50"/>
      <c r="P120" s="50"/>
      <c r="Q120" s="50"/>
      <c r="R120" s="50"/>
      <c r="S120" s="50"/>
      <c r="T120" s="50"/>
      <c r="U120" s="50"/>
      <c r="V120" s="50"/>
      <c r="W120" s="50"/>
      <c r="X120" s="50"/>
      <c r="Y120" s="50"/>
      <c r="Z120" s="50"/>
      <c r="AA120" s="50"/>
      <c r="AB120" s="1133"/>
      <c r="AC120" s="1133"/>
      <c r="AD120" s="50"/>
      <c r="AE120" s="50"/>
      <c r="AF120" s="50"/>
      <c r="AG120" s="50"/>
      <c r="AH120" s="50"/>
      <c r="AI120" s="50"/>
      <c r="AJ120" s="50"/>
      <c r="AK120" s="50"/>
      <c r="AL120" s="50"/>
      <c r="AM120" s="50"/>
      <c r="AN120" s="50"/>
      <c r="AO120" s="50"/>
      <c r="AP120" s="50"/>
      <c r="AQ120" s="50"/>
      <c r="AR120" s="50"/>
      <c r="AS120" s="50"/>
    </row>
    <row r="121" spans="1:57" hidden="1" x14ac:dyDescent="0.25">
      <c r="A121" s="50"/>
      <c r="B121" s="50"/>
      <c r="C121" s="50"/>
      <c r="D121" s="50"/>
      <c r="E121" s="50"/>
      <c r="F121" s="50"/>
      <c r="G121" s="50"/>
      <c r="H121" s="50"/>
      <c r="I121" s="50"/>
      <c r="J121" s="50"/>
      <c r="K121" s="50"/>
      <c r="L121" s="50"/>
      <c r="M121" s="50"/>
      <c r="N121" s="1149"/>
      <c r="O121" s="50"/>
      <c r="P121" s="50"/>
      <c r="Q121" s="50"/>
      <c r="R121" s="50"/>
      <c r="S121" s="50"/>
      <c r="T121" s="50"/>
      <c r="U121" s="50"/>
      <c r="V121" s="50"/>
      <c r="W121" s="50"/>
      <c r="X121" s="50"/>
      <c r="Y121" s="50"/>
      <c r="Z121" s="50"/>
      <c r="AA121" s="50"/>
      <c r="AB121" s="1133"/>
      <c r="AC121" s="1133"/>
      <c r="AD121" s="50"/>
      <c r="AE121" s="50"/>
      <c r="AF121" s="50"/>
      <c r="AG121" s="50"/>
      <c r="AH121" s="50"/>
      <c r="AI121" s="50"/>
      <c r="AJ121" s="50"/>
      <c r="AK121" s="50"/>
      <c r="AL121" s="50"/>
      <c r="AM121" s="50"/>
      <c r="AN121" s="50"/>
      <c r="AO121" s="50"/>
      <c r="AP121" s="50"/>
      <c r="AQ121" s="50"/>
      <c r="AR121" s="50"/>
      <c r="AS121" s="50"/>
    </row>
    <row r="122" spans="1:57" hidden="1" x14ac:dyDescent="0.25">
      <c r="A122" s="50"/>
      <c r="B122" s="50"/>
      <c r="C122" s="50"/>
      <c r="D122" s="50"/>
      <c r="E122" s="50"/>
      <c r="F122" s="50"/>
      <c r="G122" s="50"/>
      <c r="H122" s="50"/>
      <c r="I122" s="50"/>
      <c r="J122" s="50"/>
      <c r="K122" s="50"/>
      <c r="L122" s="50"/>
      <c r="M122" s="50"/>
      <c r="N122" s="1149"/>
      <c r="O122" s="50"/>
      <c r="P122" s="50"/>
      <c r="Q122" s="50"/>
      <c r="R122" s="50"/>
      <c r="S122" s="50"/>
      <c r="T122" s="50"/>
      <c r="U122" s="50"/>
      <c r="V122" s="50"/>
      <c r="W122" s="50"/>
      <c r="X122" s="50"/>
      <c r="Y122" s="50"/>
      <c r="Z122" s="50"/>
      <c r="AA122" s="50"/>
      <c r="AB122" s="1133"/>
      <c r="AC122" s="1133"/>
      <c r="AD122" s="50"/>
      <c r="AE122" s="50"/>
      <c r="AF122" s="50"/>
      <c r="AG122" s="50"/>
      <c r="AH122" s="50"/>
      <c r="AI122" s="50"/>
      <c r="AJ122" s="50"/>
      <c r="AK122" s="50"/>
      <c r="AL122" s="50"/>
      <c r="AM122" s="50"/>
      <c r="AN122" s="50"/>
      <c r="AO122" s="50"/>
      <c r="AP122" s="50"/>
      <c r="AQ122" s="50"/>
      <c r="AR122" s="50"/>
      <c r="AS122" s="50"/>
    </row>
    <row r="123" spans="1:57" hidden="1" x14ac:dyDescent="0.25">
      <c r="A123" s="50"/>
      <c r="B123" s="50"/>
      <c r="C123" s="50"/>
      <c r="D123" s="50"/>
      <c r="E123" s="50"/>
      <c r="F123" s="50"/>
      <c r="G123" s="50"/>
      <c r="H123" s="50"/>
      <c r="I123" s="50"/>
      <c r="J123" s="50"/>
      <c r="K123" s="50"/>
      <c r="L123" s="50"/>
      <c r="M123" s="50"/>
      <c r="N123" s="1149"/>
      <c r="O123" s="50"/>
      <c r="P123" s="50"/>
      <c r="Q123" s="50"/>
      <c r="R123" s="50"/>
      <c r="S123" s="50"/>
      <c r="T123" s="50"/>
      <c r="U123" s="50"/>
      <c r="V123" s="50"/>
      <c r="W123" s="50"/>
      <c r="X123" s="50"/>
      <c r="Y123" s="50"/>
      <c r="Z123" s="50"/>
      <c r="AA123" s="50"/>
      <c r="AB123" s="1133"/>
      <c r="AC123" s="1133"/>
      <c r="AD123" s="50"/>
      <c r="AE123" s="50"/>
      <c r="AF123" s="50"/>
      <c r="AG123" s="50"/>
      <c r="AH123" s="50"/>
      <c r="AI123" s="50"/>
      <c r="AJ123" s="50"/>
      <c r="AK123" s="50"/>
      <c r="AL123" s="50"/>
      <c r="AM123" s="50"/>
      <c r="AN123" s="50"/>
      <c r="AO123" s="50"/>
      <c r="AP123" s="50"/>
      <c r="AQ123" s="50"/>
      <c r="AR123" s="50"/>
      <c r="AS123" s="50"/>
    </row>
    <row r="124" spans="1:57" hidden="1" x14ac:dyDescent="0.25">
      <c r="A124" s="50"/>
      <c r="B124" s="50"/>
      <c r="C124" s="50"/>
      <c r="D124" s="50"/>
      <c r="E124" s="50"/>
      <c r="F124" s="50"/>
      <c r="G124" s="50"/>
      <c r="H124" s="50"/>
      <c r="I124" s="50"/>
      <c r="J124" s="50"/>
      <c r="K124" s="50"/>
      <c r="L124" s="50"/>
      <c r="M124" s="50"/>
      <c r="N124" s="1149"/>
      <c r="O124" s="50"/>
      <c r="P124" s="50"/>
      <c r="Q124" s="50"/>
      <c r="R124" s="50"/>
      <c r="S124" s="50"/>
      <c r="T124" s="50"/>
      <c r="U124" s="50"/>
      <c r="V124" s="50"/>
      <c r="W124" s="50"/>
      <c r="X124" s="50"/>
      <c r="Y124" s="50"/>
      <c r="Z124" s="50"/>
      <c r="AA124" s="50"/>
      <c r="AB124" s="1133"/>
      <c r="AC124" s="1133"/>
      <c r="AD124" s="50"/>
      <c r="AE124" s="50"/>
      <c r="AF124" s="50"/>
      <c r="AG124" s="50"/>
      <c r="AH124" s="50"/>
      <c r="AI124" s="50"/>
      <c r="AJ124" s="50"/>
      <c r="AK124" s="50"/>
      <c r="AL124" s="50"/>
      <c r="AM124" s="50"/>
      <c r="AN124" s="50"/>
      <c r="AO124" s="50"/>
      <c r="AP124" s="50"/>
      <c r="AQ124" s="50"/>
      <c r="AR124" s="50"/>
      <c r="AS124" s="50"/>
    </row>
    <row r="125" spans="1:57" hidden="1" x14ac:dyDescent="0.25">
      <c r="A125" s="50"/>
      <c r="B125" s="50"/>
      <c r="C125" s="50"/>
      <c r="D125" s="50"/>
      <c r="E125" s="50"/>
      <c r="F125" s="50"/>
      <c r="G125" s="50"/>
      <c r="H125" s="50"/>
      <c r="I125" s="50"/>
      <c r="J125" s="50"/>
      <c r="K125" s="50"/>
      <c r="L125" s="50"/>
      <c r="M125" s="50"/>
      <c r="N125" s="1149"/>
      <c r="O125" s="50"/>
      <c r="P125" s="50"/>
      <c r="Q125" s="50"/>
      <c r="R125" s="50"/>
      <c r="S125" s="50"/>
      <c r="T125" s="50"/>
      <c r="U125" s="50"/>
      <c r="V125" s="50"/>
      <c r="W125" s="50"/>
      <c r="X125" s="50"/>
      <c r="Y125" s="50"/>
      <c r="Z125" s="50"/>
      <c r="AA125" s="50"/>
      <c r="AB125" s="1133"/>
      <c r="AC125" s="1133"/>
      <c r="AD125" s="50"/>
      <c r="AE125" s="50"/>
      <c r="AF125" s="50"/>
      <c r="AG125" s="50"/>
      <c r="AH125" s="50"/>
      <c r="AI125" s="50"/>
      <c r="AJ125" s="50"/>
      <c r="AK125" s="50"/>
      <c r="AL125" s="50"/>
      <c r="AM125" s="50"/>
      <c r="AN125" s="50"/>
      <c r="AO125" s="50"/>
      <c r="AP125" s="50"/>
      <c r="AQ125" s="50"/>
      <c r="AR125" s="50"/>
      <c r="AS125" s="50"/>
    </row>
    <row r="126" spans="1:57" hidden="1" x14ac:dyDescent="0.25">
      <c r="A126" s="50"/>
      <c r="B126" s="50"/>
      <c r="C126" s="50"/>
      <c r="D126" s="50"/>
      <c r="E126" s="50"/>
      <c r="F126" s="50"/>
      <c r="G126" s="50"/>
      <c r="H126" s="50"/>
      <c r="I126" s="50"/>
      <c r="J126" s="50"/>
      <c r="K126" s="50"/>
      <c r="L126" s="50"/>
      <c r="M126" s="50"/>
      <c r="N126" s="1149"/>
      <c r="O126" s="50"/>
      <c r="P126" s="50"/>
      <c r="Q126" s="50"/>
      <c r="R126" s="50"/>
      <c r="S126" s="50"/>
      <c r="T126" s="50"/>
      <c r="U126" s="50"/>
      <c r="V126" s="50"/>
      <c r="W126" s="50"/>
      <c r="X126" s="50"/>
      <c r="Y126" s="50"/>
      <c r="Z126" s="50"/>
      <c r="AA126" s="50"/>
      <c r="AB126" s="1133"/>
      <c r="AC126" s="1133"/>
      <c r="AD126" s="50"/>
      <c r="AE126" s="50"/>
      <c r="AF126" s="50"/>
      <c r="AG126" s="50"/>
      <c r="AH126" s="50"/>
      <c r="AI126" s="50"/>
      <c r="AJ126" s="50"/>
      <c r="AK126" s="50"/>
      <c r="AL126" s="50"/>
      <c r="AM126" s="50"/>
      <c r="AN126" s="50"/>
      <c r="AO126" s="50"/>
      <c r="AP126" s="50"/>
      <c r="AQ126" s="50"/>
      <c r="AR126" s="50"/>
      <c r="AS126" s="50"/>
    </row>
    <row r="127" spans="1:57" hidden="1" x14ac:dyDescent="0.25">
      <c r="A127" s="50"/>
      <c r="B127" s="50"/>
      <c r="C127" s="50"/>
      <c r="D127" s="50"/>
      <c r="E127" s="50"/>
      <c r="F127" s="50"/>
      <c r="G127" s="50"/>
      <c r="H127" s="50"/>
      <c r="I127" s="50"/>
      <c r="J127" s="50"/>
      <c r="K127" s="50"/>
      <c r="L127" s="50"/>
      <c r="M127" s="50"/>
      <c r="N127" s="1149"/>
      <c r="O127" s="50"/>
      <c r="P127" s="50"/>
      <c r="Q127" s="50"/>
      <c r="R127" s="50"/>
      <c r="S127" s="50"/>
      <c r="T127" s="50"/>
      <c r="U127" s="50"/>
      <c r="V127" s="50"/>
      <c r="W127" s="50"/>
      <c r="X127" s="50"/>
      <c r="Y127" s="50"/>
      <c r="Z127" s="50"/>
      <c r="AA127" s="50"/>
      <c r="AB127" s="1133"/>
      <c r="AC127" s="1133"/>
      <c r="AD127" s="50"/>
      <c r="AE127" s="50"/>
      <c r="AF127" s="50"/>
      <c r="AG127" s="50"/>
      <c r="AH127" s="50"/>
      <c r="AI127" s="50"/>
      <c r="AJ127" s="50"/>
      <c r="AK127" s="50"/>
      <c r="AL127" s="50"/>
      <c r="AM127" s="50"/>
      <c r="AN127" s="50"/>
      <c r="AO127" s="50"/>
      <c r="AP127" s="50"/>
      <c r="AQ127" s="50"/>
      <c r="AR127" s="50"/>
      <c r="AS127" s="50"/>
    </row>
    <row r="128" spans="1:57" hidden="1" x14ac:dyDescent="0.25">
      <c r="A128" s="50"/>
      <c r="B128" s="50"/>
      <c r="C128" s="50"/>
      <c r="D128" s="50"/>
      <c r="E128" s="50"/>
      <c r="F128" s="50"/>
      <c r="G128" s="50"/>
      <c r="H128" s="50"/>
      <c r="I128" s="50"/>
      <c r="J128" s="50"/>
      <c r="K128" s="50"/>
      <c r="L128" s="50"/>
      <c r="M128" s="50"/>
      <c r="N128" s="1149"/>
      <c r="O128" s="50"/>
      <c r="P128" s="50"/>
      <c r="Q128" s="50"/>
      <c r="R128" s="50"/>
      <c r="S128" s="50"/>
      <c r="T128" s="50"/>
      <c r="U128" s="50"/>
      <c r="V128" s="50"/>
      <c r="W128" s="50"/>
      <c r="X128" s="50"/>
      <c r="Y128" s="50"/>
      <c r="Z128" s="50"/>
      <c r="AA128" s="50"/>
      <c r="AB128" s="1133"/>
      <c r="AC128" s="1133"/>
      <c r="AD128" s="50"/>
      <c r="AE128" s="50"/>
      <c r="AF128" s="50"/>
      <c r="AG128" s="50"/>
      <c r="AH128" s="50"/>
      <c r="AI128" s="50"/>
      <c r="AJ128" s="50"/>
      <c r="AK128" s="50"/>
      <c r="AL128" s="50"/>
      <c r="AM128" s="50"/>
      <c r="AN128" s="50"/>
      <c r="AO128" s="50"/>
      <c r="AP128" s="50"/>
      <c r="AQ128" s="50"/>
      <c r="AR128" s="50"/>
      <c r="AS128" s="50"/>
    </row>
    <row r="129" spans="1:45" hidden="1" x14ac:dyDescent="0.25">
      <c r="A129" s="50"/>
      <c r="B129" s="50"/>
      <c r="C129" s="50"/>
      <c r="D129" s="50"/>
      <c r="E129" s="50"/>
      <c r="F129" s="50"/>
      <c r="G129" s="50"/>
      <c r="H129" s="50"/>
      <c r="I129" s="50"/>
      <c r="J129" s="50"/>
      <c r="K129" s="50"/>
      <c r="L129" s="50"/>
      <c r="M129" s="50"/>
      <c r="N129" s="1149"/>
      <c r="O129" s="50"/>
      <c r="P129" s="50"/>
      <c r="Q129" s="50"/>
      <c r="R129" s="50"/>
      <c r="S129" s="50"/>
      <c r="T129" s="50"/>
      <c r="U129" s="50"/>
      <c r="V129" s="50"/>
      <c r="W129" s="50"/>
      <c r="X129" s="50"/>
      <c r="Y129" s="50"/>
      <c r="Z129" s="50"/>
      <c r="AA129" s="50"/>
      <c r="AB129" s="1133"/>
      <c r="AC129" s="1133"/>
      <c r="AD129" s="50"/>
      <c r="AE129" s="50"/>
      <c r="AF129" s="50"/>
      <c r="AG129" s="50"/>
      <c r="AH129" s="50"/>
      <c r="AI129" s="50"/>
      <c r="AJ129" s="50"/>
      <c r="AK129" s="50"/>
      <c r="AL129" s="50"/>
      <c r="AM129" s="50"/>
      <c r="AN129" s="50"/>
      <c r="AO129" s="50"/>
      <c r="AP129" s="50"/>
      <c r="AQ129" s="50"/>
      <c r="AR129" s="50"/>
      <c r="AS129" s="50"/>
    </row>
    <row r="130" spans="1:45" hidden="1" x14ac:dyDescent="0.25">
      <c r="A130" s="50"/>
      <c r="B130" s="50"/>
      <c r="C130" s="50"/>
      <c r="D130" s="50"/>
      <c r="E130" s="50"/>
      <c r="F130" s="50"/>
      <c r="G130" s="50"/>
      <c r="H130" s="50"/>
      <c r="I130" s="50"/>
      <c r="J130" s="50"/>
      <c r="K130" s="50"/>
      <c r="L130" s="50"/>
      <c r="M130" s="50"/>
      <c r="N130" s="1149"/>
      <c r="O130" s="50"/>
      <c r="P130" s="50"/>
      <c r="Q130" s="50"/>
      <c r="R130" s="50"/>
      <c r="S130" s="50"/>
      <c r="T130" s="50"/>
      <c r="U130" s="50"/>
      <c r="V130" s="50"/>
      <c r="W130" s="50"/>
      <c r="X130" s="50"/>
      <c r="Y130" s="50"/>
      <c r="Z130" s="50"/>
      <c r="AA130" s="50"/>
      <c r="AB130" s="1133"/>
      <c r="AC130" s="1133"/>
      <c r="AD130" s="50"/>
      <c r="AE130" s="50"/>
      <c r="AF130" s="50"/>
      <c r="AG130" s="50"/>
      <c r="AH130" s="50"/>
      <c r="AI130" s="50"/>
      <c r="AJ130" s="50"/>
      <c r="AK130" s="50"/>
      <c r="AL130" s="50"/>
      <c r="AM130" s="50"/>
      <c r="AN130" s="50"/>
      <c r="AO130" s="50"/>
      <c r="AP130" s="50"/>
      <c r="AQ130" s="50"/>
      <c r="AR130" s="50"/>
      <c r="AS130" s="50"/>
    </row>
    <row r="131" spans="1:45" hidden="1" x14ac:dyDescent="0.25">
      <c r="A131" s="50"/>
      <c r="B131" s="50"/>
      <c r="C131" s="50"/>
      <c r="D131" s="50"/>
      <c r="E131" s="50"/>
      <c r="F131" s="50"/>
      <c r="G131" s="50"/>
      <c r="H131" s="50"/>
      <c r="I131" s="50"/>
      <c r="J131" s="50"/>
      <c r="K131" s="50"/>
      <c r="L131" s="50"/>
      <c r="M131" s="50"/>
      <c r="N131" s="1149"/>
      <c r="O131" s="50"/>
      <c r="P131" s="50"/>
      <c r="Q131" s="50"/>
      <c r="R131" s="50"/>
      <c r="S131" s="50"/>
      <c r="T131" s="50"/>
      <c r="U131" s="50"/>
      <c r="V131" s="50"/>
      <c r="W131" s="50"/>
      <c r="X131" s="50"/>
      <c r="Y131" s="50"/>
      <c r="Z131" s="50"/>
      <c r="AA131" s="50"/>
      <c r="AB131" s="1133"/>
      <c r="AC131" s="1133"/>
      <c r="AD131" s="50"/>
      <c r="AE131" s="50"/>
      <c r="AF131" s="50"/>
      <c r="AG131" s="50"/>
      <c r="AH131" s="50"/>
      <c r="AI131" s="50"/>
      <c r="AJ131" s="50"/>
      <c r="AK131" s="50"/>
      <c r="AL131" s="50"/>
      <c r="AM131" s="50"/>
      <c r="AN131" s="50"/>
      <c r="AO131" s="50"/>
      <c r="AP131" s="50"/>
      <c r="AQ131" s="50"/>
      <c r="AR131" s="50"/>
      <c r="AS131" s="50"/>
    </row>
    <row r="132" spans="1:45" hidden="1" x14ac:dyDescent="0.25">
      <c r="A132" s="50"/>
      <c r="B132" s="50"/>
      <c r="C132" s="50"/>
      <c r="D132" s="50"/>
      <c r="E132" s="50"/>
      <c r="F132" s="50"/>
      <c r="G132" s="50"/>
      <c r="H132" s="50"/>
      <c r="I132" s="50"/>
      <c r="J132" s="50"/>
      <c r="K132" s="50"/>
      <c r="L132" s="50"/>
      <c r="M132" s="50"/>
      <c r="N132" s="1149"/>
      <c r="O132" s="50"/>
      <c r="P132" s="50"/>
      <c r="Q132" s="50"/>
      <c r="R132" s="50"/>
      <c r="S132" s="50"/>
      <c r="T132" s="50"/>
      <c r="U132" s="50"/>
      <c r="V132" s="50"/>
      <c r="W132" s="50"/>
      <c r="X132" s="50"/>
      <c r="Y132" s="50"/>
      <c r="Z132" s="50"/>
      <c r="AA132" s="50"/>
      <c r="AB132" s="1133"/>
      <c r="AC132" s="1133"/>
      <c r="AD132" s="50"/>
      <c r="AE132" s="50"/>
      <c r="AF132" s="50"/>
      <c r="AG132" s="50"/>
      <c r="AH132" s="50"/>
      <c r="AI132" s="50"/>
      <c r="AJ132" s="50"/>
      <c r="AK132" s="50"/>
      <c r="AL132" s="50"/>
      <c r="AM132" s="50"/>
      <c r="AN132" s="50"/>
      <c r="AO132" s="50"/>
      <c r="AP132" s="50"/>
      <c r="AQ132" s="50"/>
      <c r="AR132" s="50"/>
      <c r="AS132" s="50"/>
    </row>
    <row r="133" spans="1:45" hidden="1" x14ac:dyDescent="0.25">
      <c r="A133" s="50"/>
      <c r="B133" s="50"/>
      <c r="C133" s="50"/>
      <c r="D133" s="50"/>
      <c r="E133" s="50"/>
      <c r="F133" s="50"/>
      <c r="G133" s="50"/>
      <c r="H133" s="50"/>
      <c r="I133" s="50"/>
      <c r="J133" s="50"/>
      <c r="K133" s="50"/>
      <c r="L133" s="50"/>
      <c r="M133" s="50"/>
      <c r="N133" s="1149"/>
      <c r="O133" s="50"/>
      <c r="P133" s="50"/>
      <c r="Q133" s="50"/>
      <c r="R133" s="50"/>
      <c r="S133" s="50"/>
      <c r="T133" s="50"/>
      <c r="U133" s="50"/>
      <c r="V133" s="50"/>
      <c r="W133" s="50"/>
      <c r="X133" s="50"/>
      <c r="Y133" s="50"/>
      <c r="Z133" s="50"/>
      <c r="AA133" s="50"/>
      <c r="AB133" s="1133"/>
      <c r="AC133" s="1133"/>
      <c r="AD133" s="50"/>
      <c r="AE133" s="50"/>
      <c r="AF133" s="50"/>
      <c r="AG133" s="50"/>
      <c r="AH133" s="50"/>
      <c r="AI133" s="50"/>
      <c r="AJ133" s="50"/>
      <c r="AK133" s="50"/>
      <c r="AL133" s="50"/>
      <c r="AM133" s="50"/>
      <c r="AN133" s="50"/>
      <c r="AO133" s="50"/>
      <c r="AP133" s="50"/>
      <c r="AQ133" s="50"/>
      <c r="AR133" s="50"/>
      <c r="AS133" s="50"/>
    </row>
    <row r="134" spans="1:45" hidden="1" x14ac:dyDescent="0.25">
      <c r="A134" s="50"/>
      <c r="B134" s="50"/>
      <c r="C134" s="50"/>
      <c r="D134" s="50"/>
      <c r="E134" s="50"/>
      <c r="F134" s="50"/>
      <c r="G134" s="50"/>
      <c r="H134" s="50"/>
      <c r="I134" s="50"/>
      <c r="J134" s="50"/>
      <c r="K134" s="50"/>
      <c r="L134" s="50"/>
      <c r="M134" s="50"/>
      <c r="N134" s="1149"/>
      <c r="O134" s="50"/>
      <c r="P134" s="50"/>
      <c r="Q134" s="50"/>
      <c r="R134" s="50"/>
      <c r="S134" s="50"/>
      <c r="T134" s="50"/>
      <c r="U134" s="50"/>
      <c r="V134" s="50"/>
      <c r="W134" s="50"/>
      <c r="X134" s="50"/>
      <c r="Y134" s="50"/>
      <c r="Z134" s="50"/>
      <c r="AA134" s="50"/>
      <c r="AB134" s="1133"/>
      <c r="AC134" s="1133"/>
      <c r="AD134" s="50"/>
      <c r="AE134" s="50"/>
      <c r="AF134" s="50"/>
      <c r="AG134" s="50"/>
      <c r="AH134" s="50"/>
      <c r="AI134" s="50"/>
      <c r="AJ134" s="50"/>
      <c r="AK134" s="50"/>
      <c r="AL134" s="50"/>
      <c r="AM134" s="50"/>
      <c r="AN134" s="50"/>
      <c r="AO134" s="50"/>
      <c r="AP134" s="50"/>
      <c r="AQ134" s="50"/>
      <c r="AR134" s="50"/>
      <c r="AS134" s="50"/>
    </row>
    <row r="135" spans="1:45" hidden="1" x14ac:dyDescent="0.25">
      <c r="A135" s="50"/>
      <c r="B135" s="50"/>
      <c r="C135" s="50"/>
      <c r="D135" s="50"/>
      <c r="E135" s="50"/>
      <c r="F135" s="50"/>
      <c r="G135" s="50"/>
      <c r="H135" s="50"/>
      <c r="I135" s="50"/>
      <c r="J135" s="50"/>
      <c r="K135" s="50"/>
      <c r="L135" s="50"/>
      <c r="M135" s="50"/>
      <c r="N135" s="1149"/>
      <c r="O135" s="50"/>
      <c r="P135" s="50"/>
      <c r="Q135" s="50"/>
      <c r="R135" s="50"/>
      <c r="S135" s="50"/>
      <c r="T135" s="50"/>
      <c r="U135" s="50"/>
      <c r="V135" s="50"/>
      <c r="W135" s="50"/>
      <c r="X135" s="50"/>
      <c r="Y135" s="50"/>
      <c r="Z135" s="50"/>
      <c r="AA135" s="50"/>
      <c r="AB135" s="1133"/>
      <c r="AC135" s="1133"/>
      <c r="AD135" s="50"/>
      <c r="AE135" s="50"/>
      <c r="AF135" s="50"/>
      <c r="AG135" s="50"/>
      <c r="AH135" s="50"/>
      <c r="AI135" s="50"/>
      <c r="AJ135" s="50"/>
      <c r="AK135" s="50"/>
      <c r="AL135" s="50"/>
      <c r="AM135" s="50"/>
      <c r="AN135" s="50"/>
      <c r="AO135" s="50"/>
      <c r="AP135" s="50"/>
      <c r="AQ135" s="50"/>
      <c r="AR135" s="50"/>
      <c r="AS135" s="50"/>
    </row>
    <row r="136" spans="1:45" hidden="1" x14ac:dyDescent="0.25">
      <c r="A136" s="50"/>
      <c r="B136" s="50"/>
      <c r="C136" s="50"/>
      <c r="D136" s="50"/>
      <c r="E136" s="50"/>
      <c r="F136" s="50"/>
      <c r="G136" s="50"/>
      <c r="H136" s="50"/>
      <c r="I136" s="50"/>
      <c r="J136" s="50"/>
      <c r="K136" s="50"/>
      <c r="L136" s="50"/>
      <c r="M136" s="50"/>
      <c r="N136" s="1149"/>
      <c r="O136" s="50"/>
      <c r="P136" s="50"/>
      <c r="Q136" s="50"/>
      <c r="R136" s="50"/>
      <c r="S136" s="50"/>
      <c r="T136" s="50"/>
      <c r="U136" s="50"/>
      <c r="V136" s="50"/>
      <c r="W136" s="50"/>
      <c r="X136" s="50"/>
      <c r="Y136" s="50"/>
      <c r="Z136" s="50"/>
      <c r="AA136" s="50"/>
      <c r="AB136" s="1133"/>
      <c r="AC136" s="1133"/>
      <c r="AD136" s="50"/>
      <c r="AE136" s="50"/>
      <c r="AF136" s="50"/>
      <c r="AG136" s="50"/>
      <c r="AH136" s="50"/>
      <c r="AI136" s="50"/>
      <c r="AJ136" s="50"/>
      <c r="AK136" s="50"/>
      <c r="AL136" s="50"/>
      <c r="AM136" s="50"/>
      <c r="AN136" s="50"/>
      <c r="AO136" s="50"/>
      <c r="AP136" s="50"/>
      <c r="AQ136" s="50"/>
      <c r="AR136" s="50"/>
      <c r="AS136" s="50"/>
    </row>
    <row r="137" spans="1:45" hidden="1" x14ac:dyDescent="0.25">
      <c r="A137" s="50"/>
      <c r="B137" s="50"/>
      <c r="C137" s="50"/>
      <c r="D137" s="50"/>
      <c r="E137" s="50"/>
      <c r="F137" s="50"/>
      <c r="G137" s="50"/>
      <c r="H137" s="50"/>
      <c r="I137" s="50"/>
      <c r="J137" s="50"/>
      <c r="K137" s="50"/>
      <c r="L137" s="50"/>
      <c r="M137" s="50"/>
      <c r="N137" s="1149"/>
      <c r="O137" s="50"/>
      <c r="P137" s="50"/>
      <c r="Q137" s="50"/>
      <c r="R137" s="50"/>
      <c r="S137" s="50"/>
      <c r="T137" s="50"/>
      <c r="U137" s="50"/>
      <c r="V137" s="50"/>
      <c r="W137" s="50"/>
      <c r="X137" s="50"/>
      <c r="Y137" s="50"/>
      <c r="Z137" s="50"/>
      <c r="AA137" s="50"/>
      <c r="AB137" s="1133"/>
      <c r="AC137" s="1133"/>
      <c r="AD137" s="50"/>
      <c r="AE137" s="50"/>
      <c r="AF137" s="50"/>
      <c r="AG137" s="50"/>
      <c r="AH137" s="50"/>
      <c r="AI137" s="50"/>
      <c r="AJ137" s="50"/>
      <c r="AK137" s="50"/>
      <c r="AL137" s="50"/>
      <c r="AM137" s="50"/>
      <c r="AN137" s="50"/>
      <c r="AO137" s="50"/>
      <c r="AP137" s="50"/>
      <c r="AQ137" s="50"/>
      <c r="AR137" s="50"/>
      <c r="AS137" s="50"/>
    </row>
    <row r="138" spans="1:45" hidden="1" x14ac:dyDescent="0.25">
      <c r="A138" s="50"/>
      <c r="B138" s="50"/>
      <c r="C138" s="50"/>
      <c r="D138" s="50"/>
      <c r="E138" s="50"/>
      <c r="F138" s="50"/>
      <c r="G138" s="50"/>
      <c r="H138" s="50"/>
      <c r="I138" s="50"/>
      <c r="J138" s="50"/>
      <c r="K138" s="50"/>
      <c r="L138" s="50"/>
      <c r="M138" s="50"/>
      <c r="N138" s="1149"/>
      <c r="O138" s="50"/>
      <c r="P138" s="50"/>
      <c r="Q138" s="50"/>
      <c r="R138" s="50"/>
      <c r="S138" s="50"/>
      <c r="T138" s="50"/>
      <c r="U138" s="50"/>
      <c r="V138" s="50"/>
      <c r="W138" s="50"/>
      <c r="X138" s="50"/>
      <c r="Y138" s="50"/>
      <c r="Z138" s="50"/>
      <c r="AA138" s="50"/>
      <c r="AB138" s="1133"/>
      <c r="AC138" s="1133"/>
      <c r="AD138" s="50"/>
      <c r="AE138" s="50"/>
      <c r="AF138" s="50"/>
      <c r="AG138" s="50"/>
      <c r="AH138" s="50"/>
      <c r="AI138" s="50"/>
      <c r="AJ138" s="50"/>
      <c r="AK138" s="50"/>
      <c r="AL138" s="50"/>
      <c r="AM138" s="50"/>
      <c r="AN138" s="50"/>
      <c r="AO138" s="50"/>
      <c r="AP138" s="50"/>
      <c r="AQ138" s="50"/>
      <c r="AR138" s="50"/>
      <c r="AS138" s="50"/>
    </row>
    <row r="139" spans="1:45" hidden="1" x14ac:dyDescent="0.25">
      <c r="A139" s="50"/>
      <c r="B139" s="50"/>
      <c r="C139" s="50"/>
      <c r="D139" s="50"/>
      <c r="E139" s="50"/>
      <c r="F139" s="50"/>
      <c r="G139" s="50"/>
      <c r="H139" s="50"/>
      <c r="I139" s="50"/>
      <c r="J139" s="50"/>
      <c r="K139" s="50"/>
      <c r="L139" s="50"/>
      <c r="M139" s="50"/>
      <c r="N139" s="1149"/>
      <c r="O139" s="50"/>
      <c r="P139" s="50"/>
      <c r="Q139" s="50"/>
      <c r="R139" s="50"/>
      <c r="S139" s="50"/>
      <c r="T139" s="50"/>
      <c r="U139" s="50"/>
      <c r="V139" s="50"/>
      <c r="W139" s="50"/>
      <c r="X139" s="50"/>
      <c r="Y139" s="50"/>
      <c r="Z139" s="50"/>
      <c r="AA139" s="50"/>
      <c r="AB139" s="1133"/>
      <c r="AC139" s="1133"/>
      <c r="AD139" s="50"/>
      <c r="AE139" s="50"/>
      <c r="AF139" s="50"/>
      <c r="AG139" s="50"/>
      <c r="AH139" s="50"/>
      <c r="AI139" s="50"/>
      <c r="AJ139" s="50"/>
      <c r="AK139" s="50"/>
      <c r="AL139" s="50"/>
      <c r="AM139" s="50"/>
      <c r="AN139" s="50"/>
      <c r="AO139" s="50"/>
      <c r="AP139" s="50"/>
      <c r="AQ139" s="50"/>
      <c r="AR139" s="50"/>
      <c r="AS139" s="50"/>
    </row>
    <row r="140" spans="1:45" hidden="1" x14ac:dyDescent="0.25">
      <c r="A140" s="50"/>
      <c r="B140" s="50"/>
      <c r="C140" s="50"/>
      <c r="D140" s="50"/>
      <c r="E140" s="50"/>
      <c r="F140" s="50"/>
      <c r="G140" s="50"/>
      <c r="H140" s="50"/>
      <c r="I140" s="50"/>
      <c r="J140" s="50"/>
      <c r="K140" s="50"/>
      <c r="L140" s="50"/>
      <c r="M140" s="50"/>
      <c r="N140" s="1149"/>
      <c r="O140" s="50"/>
      <c r="P140" s="50"/>
      <c r="Q140" s="50"/>
      <c r="R140" s="50"/>
      <c r="S140" s="50"/>
      <c r="T140" s="50"/>
      <c r="U140" s="50"/>
      <c r="V140" s="50"/>
      <c r="W140" s="50"/>
      <c r="X140" s="50"/>
      <c r="Y140" s="50"/>
      <c r="Z140" s="50"/>
      <c r="AA140" s="50"/>
      <c r="AB140" s="1133"/>
      <c r="AC140" s="1133"/>
      <c r="AD140" s="50"/>
      <c r="AE140" s="50"/>
      <c r="AF140" s="50"/>
      <c r="AG140" s="50"/>
      <c r="AH140" s="50"/>
      <c r="AI140" s="50"/>
      <c r="AJ140" s="50"/>
      <c r="AK140" s="50"/>
      <c r="AL140" s="50"/>
      <c r="AM140" s="50"/>
      <c r="AN140" s="50"/>
      <c r="AO140" s="50"/>
      <c r="AP140" s="50"/>
      <c r="AQ140" s="50"/>
      <c r="AR140" s="50"/>
      <c r="AS140" s="50"/>
    </row>
    <row r="141" spans="1:45" hidden="1" x14ac:dyDescent="0.25">
      <c r="A141" s="50"/>
      <c r="B141" s="50"/>
      <c r="C141" s="50"/>
      <c r="D141" s="50"/>
      <c r="E141" s="50"/>
      <c r="F141" s="50"/>
      <c r="G141" s="50"/>
      <c r="H141" s="50"/>
      <c r="I141" s="50"/>
      <c r="J141" s="50"/>
      <c r="K141" s="50"/>
      <c r="L141" s="50"/>
      <c r="M141" s="50"/>
      <c r="N141" s="1149"/>
      <c r="O141" s="50"/>
      <c r="P141" s="50"/>
      <c r="Q141" s="50"/>
      <c r="R141" s="50"/>
      <c r="S141" s="50"/>
      <c r="T141" s="50"/>
      <c r="U141" s="50"/>
      <c r="V141" s="50"/>
      <c r="W141" s="50"/>
      <c r="X141" s="50"/>
      <c r="Y141" s="50"/>
      <c r="Z141" s="50"/>
      <c r="AA141" s="50"/>
      <c r="AB141" s="1133"/>
      <c r="AC141" s="1133"/>
      <c r="AD141" s="50"/>
      <c r="AE141" s="50"/>
      <c r="AF141" s="50"/>
      <c r="AG141" s="50"/>
      <c r="AH141" s="50"/>
      <c r="AI141" s="50"/>
      <c r="AJ141" s="50"/>
      <c r="AK141" s="50"/>
      <c r="AL141" s="50"/>
      <c r="AM141" s="50"/>
      <c r="AN141" s="50"/>
      <c r="AO141" s="50"/>
      <c r="AP141" s="50"/>
      <c r="AQ141" s="50"/>
      <c r="AR141" s="50"/>
      <c r="AS141" s="50"/>
    </row>
    <row r="142" spans="1:45" hidden="1" x14ac:dyDescent="0.25">
      <c r="A142" s="50"/>
      <c r="B142" s="50"/>
      <c r="C142" s="50"/>
      <c r="D142" s="50"/>
      <c r="E142" s="50"/>
      <c r="F142" s="50"/>
      <c r="G142" s="50"/>
      <c r="H142" s="50"/>
      <c r="I142" s="50"/>
      <c r="J142" s="50"/>
      <c r="K142" s="50"/>
      <c r="L142" s="50"/>
      <c r="M142" s="50"/>
      <c r="N142" s="1149"/>
      <c r="O142" s="50"/>
      <c r="P142" s="50"/>
      <c r="Q142" s="50"/>
      <c r="R142" s="50"/>
      <c r="S142" s="50"/>
      <c r="T142" s="50"/>
      <c r="U142" s="50"/>
      <c r="V142" s="50"/>
      <c r="W142" s="50"/>
      <c r="X142" s="50"/>
      <c r="Y142" s="50"/>
      <c r="Z142" s="50"/>
      <c r="AA142" s="50"/>
      <c r="AB142" s="1133"/>
      <c r="AC142" s="1133"/>
      <c r="AD142" s="50"/>
      <c r="AE142" s="50"/>
      <c r="AF142" s="50"/>
      <c r="AG142" s="50"/>
      <c r="AH142" s="50"/>
      <c r="AI142" s="50"/>
      <c r="AJ142" s="50"/>
      <c r="AK142" s="50"/>
      <c r="AL142" s="50"/>
      <c r="AM142" s="50"/>
      <c r="AN142" s="50"/>
      <c r="AO142" s="50"/>
      <c r="AP142" s="50"/>
      <c r="AQ142" s="50"/>
      <c r="AR142" s="50"/>
      <c r="AS142" s="50"/>
    </row>
    <row r="143" spans="1:45" hidden="1" x14ac:dyDescent="0.25">
      <c r="A143" s="50"/>
      <c r="B143" s="50"/>
      <c r="C143" s="50"/>
      <c r="D143" s="50"/>
      <c r="E143" s="50"/>
      <c r="F143" s="50"/>
      <c r="G143" s="50"/>
      <c r="H143" s="50"/>
      <c r="I143" s="50"/>
      <c r="J143" s="50"/>
      <c r="K143" s="50"/>
      <c r="L143" s="50"/>
      <c r="M143" s="50"/>
      <c r="N143" s="1149"/>
      <c r="O143" s="50"/>
      <c r="P143" s="50"/>
      <c r="Q143" s="50"/>
      <c r="R143" s="50"/>
      <c r="S143" s="50"/>
      <c r="T143" s="50"/>
      <c r="U143" s="50"/>
      <c r="V143" s="50"/>
      <c r="W143" s="50"/>
      <c r="X143" s="50"/>
      <c r="Y143" s="50"/>
      <c r="Z143" s="50"/>
      <c r="AA143" s="50"/>
      <c r="AB143" s="1133"/>
      <c r="AC143" s="1133"/>
      <c r="AD143" s="50"/>
      <c r="AE143" s="50"/>
      <c r="AF143" s="50"/>
      <c r="AG143" s="50"/>
      <c r="AH143" s="50"/>
      <c r="AI143" s="50"/>
      <c r="AJ143" s="50"/>
      <c r="AK143" s="50"/>
      <c r="AL143" s="50"/>
      <c r="AM143" s="50"/>
      <c r="AN143" s="50"/>
      <c r="AO143" s="50"/>
      <c r="AP143" s="50"/>
      <c r="AQ143" s="50"/>
      <c r="AR143" s="50"/>
      <c r="AS143" s="50"/>
    </row>
    <row r="144" spans="1:45" hidden="1" x14ac:dyDescent="0.25">
      <c r="A144" s="50"/>
      <c r="B144" s="50"/>
      <c r="C144" s="50"/>
      <c r="D144" s="50"/>
      <c r="E144" s="50"/>
      <c r="F144" s="50"/>
      <c r="G144" s="50"/>
      <c r="H144" s="50"/>
      <c r="I144" s="50"/>
      <c r="J144" s="50"/>
      <c r="K144" s="50"/>
      <c r="L144" s="50"/>
      <c r="M144" s="50"/>
      <c r="N144" s="1149"/>
      <c r="O144" s="50"/>
      <c r="P144" s="50"/>
      <c r="Q144" s="50"/>
      <c r="R144" s="50"/>
      <c r="S144" s="50"/>
      <c r="T144" s="50"/>
      <c r="U144" s="50"/>
      <c r="V144" s="50"/>
      <c r="W144" s="50"/>
      <c r="X144" s="50"/>
      <c r="Y144" s="50"/>
      <c r="Z144" s="50"/>
      <c r="AA144" s="50"/>
      <c r="AB144" s="1133"/>
      <c r="AC144" s="1133"/>
      <c r="AD144" s="50"/>
      <c r="AE144" s="50"/>
      <c r="AF144" s="50"/>
      <c r="AG144" s="50"/>
      <c r="AH144" s="50"/>
      <c r="AI144" s="50"/>
      <c r="AJ144" s="50"/>
      <c r="AK144" s="50"/>
      <c r="AL144" s="50"/>
      <c r="AM144" s="50"/>
      <c r="AN144" s="50"/>
      <c r="AO144" s="50"/>
      <c r="AP144" s="50"/>
      <c r="AQ144" s="50"/>
      <c r="AR144" s="50"/>
      <c r="AS144" s="50"/>
    </row>
    <row r="145" spans="1:45" hidden="1" x14ac:dyDescent="0.25">
      <c r="A145" s="50"/>
      <c r="B145" s="50"/>
      <c r="C145" s="50"/>
      <c r="D145" s="50"/>
      <c r="E145" s="50"/>
      <c r="F145" s="50"/>
      <c r="G145" s="50"/>
      <c r="H145" s="50"/>
      <c r="I145" s="50"/>
      <c r="J145" s="50"/>
      <c r="K145" s="50"/>
      <c r="L145" s="50"/>
      <c r="M145" s="50"/>
      <c r="N145" s="1149"/>
      <c r="O145" s="50"/>
      <c r="P145" s="50"/>
      <c r="Q145" s="50"/>
      <c r="R145" s="50"/>
      <c r="S145" s="50"/>
      <c r="T145" s="50"/>
      <c r="U145" s="50"/>
      <c r="V145" s="50"/>
      <c r="W145" s="50"/>
      <c r="X145" s="50"/>
      <c r="Y145" s="50"/>
      <c r="Z145" s="50"/>
      <c r="AA145" s="50"/>
      <c r="AB145" s="1133"/>
      <c r="AC145" s="1133"/>
      <c r="AD145" s="50"/>
      <c r="AE145" s="50"/>
      <c r="AF145" s="50"/>
      <c r="AG145" s="50"/>
      <c r="AH145" s="50"/>
      <c r="AI145" s="50"/>
      <c r="AJ145" s="50"/>
      <c r="AK145" s="50"/>
      <c r="AL145" s="50"/>
      <c r="AM145" s="50"/>
      <c r="AN145" s="50"/>
      <c r="AO145" s="50"/>
      <c r="AP145" s="50"/>
      <c r="AQ145" s="50"/>
      <c r="AR145" s="50"/>
      <c r="AS145" s="50"/>
    </row>
    <row r="146" spans="1:45" hidden="1" x14ac:dyDescent="0.25">
      <c r="A146" s="50"/>
      <c r="B146" s="50"/>
      <c r="C146" s="50"/>
      <c r="D146" s="50"/>
      <c r="E146" s="50"/>
      <c r="F146" s="50"/>
      <c r="G146" s="50"/>
      <c r="H146" s="50"/>
      <c r="I146" s="50"/>
      <c r="J146" s="50"/>
      <c r="K146" s="50"/>
      <c r="L146" s="50"/>
      <c r="M146" s="50"/>
      <c r="N146" s="1149"/>
      <c r="O146" s="50"/>
      <c r="P146" s="50"/>
      <c r="Q146" s="50"/>
      <c r="R146" s="50"/>
      <c r="S146" s="50"/>
      <c r="T146" s="50"/>
      <c r="U146" s="50"/>
      <c r="V146" s="50"/>
      <c r="W146" s="50"/>
      <c r="X146" s="50"/>
      <c r="Y146" s="50"/>
      <c r="Z146" s="50"/>
      <c r="AA146" s="50"/>
      <c r="AB146" s="1133"/>
      <c r="AC146" s="1133"/>
      <c r="AD146" s="50"/>
      <c r="AE146" s="50"/>
      <c r="AF146" s="50"/>
      <c r="AG146" s="50"/>
      <c r="AH146" s="50"/>
      <c r="AI146" s="50"/>
      <c r="AJ146" s="50"/>
      <c r="AK146" s="50"/>
      <c r="AL146" s="50"/>
      <c r="AM146" s="50"/>
      <c r="AN146" s="50"/>
      <c r="AO146" s="50"/>
      <c r="AP146" s="50"/>
      <c r="AQ146" s="50"/>
      <c r="AR146" s="50"/>
      <c r="AS146" s="50"/>
    </row>
    <row r="147" spans="1:45" hidden="1" x14ac:dyDescent="0.25">
      <c r="A147" s="50"/>
      <c r="B147" s="50"/>
      <c r="C147" s="50"/>
      <c r="D147" s="50"/>
      <c r="E147" s="50"/>
      <c r="F147" s="50"/>
      <c r="G147" s="50"/>
      <c r="H147" s="50"/>
      <c r="I147" s="50"/>
      <c r="J147" s="50"/>
      <c r="K147" s="50"/>
      <c r="L147" s="50"/>
      <c r="M147" s="50"/>
      <c r="N147" s="1149"/>
      <c r="O147" s="50"/>
      <c r="P147" s="50"/>
      <c r="Q147" s="50"/>
      <c r="R147" s="50"/>
      <c r="S147" s="50"/>
      <c r="T147" s="50"/>
      <c r="U147" s="50"/>
      <c r="V147" s="50"/>
      <c r="W147" s="50"/>
      <c r="X147" s="50"/>
      <c r="Y147" s="50"/>
      <c r="Z147" s="50"/>
      <c r="AA147" s="50"/>
      <c r="AB147" s="1133"/>
      <c r="AC147" s="1133"/>
      <c r="AD147" s="50"/>
      <c r="AE147" s="50"/>
      <c r="AF147" s="50"/>
      <c r="AG147" s="50"/>
      <c r="AH147" s="50"/>
      <c r="AI147" s="50"/>
      <c r="AJ147" s="50"/>
      <c r="AK147" s="50"/>
      <c r="AL147" s="50"/>
      <c r="AM147" s="50"/>
      <c r="AN147" s="50"/>
      <c r="AO147" s="50"/>
      <c r="AP147" s="50"/>
      <c r="AQ147" s="50"/>
      <c r="AR147" s="50"/>
      <c r="AS147" s="50"/>
    </row>
    <row r="148" spans="1:45" hidden="1" x14ac:dyDescent="0.25">
      <c r="A148" s="50"/>
      <c r="B148" s="50"/>
      <c r="C148" s="50"/>
      <c r="D148" s="50"/>
      <c r="E148" s="50"/>
      <c r="F148" s="50"/>
      <c r="G148" s="50"/>
      <c r="H148" s="50"/>
      <c r="I148" s="50"/>
      <c r="J148" s="50"/>
      <c r="K148" s="50"/>
      <c r="L148" s="50"/>
      <c r="M148" s="50"/>
      <c r="N148" s="1149"/>
      <c r="O148" s="50"/>
      <c r="P148" s="50"/>
      <c r="Q148" s="50"/>
      <c r="R148" s="50"/>
      <c r="S148" s="50"/>
      <c r="T148" s="50"/>
      <c r="U148" s="50"/>
      <c r="V148" s="50"/>
      <c r="W148" s="50"/>
      <c r="X148" s="50"/>
      <c r="Y148" s="50"/>
      <c r="Z148" s="50"/>
      <c r="AA148" s="50"/>
      <c r="AB148" s="1133"/>
      <c r="AC148" s="1133"/>
      <c r="AD148" s="50"/>
      <c r="AE148" s="50"/>
      <c r="AF148" s="50"/>
      <c r="AG148" s="50"/>
      <c r="AH148" s="50"/>
      <c r="AI148" s="50"/>
      <c r="AJ148" s="50"/>
      <c r="AK148" s="50"/>
      <c r="AL148" s="50"/>
      <c r="AM148" s="50"/>
      <c r="AN148" s="50"/>
      <c r="AO148" s="50"/>
      <c r="AP148" s="50"/>
      <c r="AQ148" s="50"/>
      <c r="AR148" s="50"/>
      <c r="AS148" s="50"/>
    </row>
    <row r="149" spans="1:45" hidden="1" x14ac:dyDescent="0.25">
      <c r="A149" s="50"/>
      <c r="B149" s="50"/>
      <c r="C149" s="50"/>
      <c r="D149" s="50"/>
      <c r="E149" s="50"/>
      <c r="F149" s="50"/>
      <c r="G149" s="50"/>
      <c r="H149" s="50"/>
      <c r="I149" s="50"/>
      <c r="J149" s="50"/>
      <c r="K149" s="50"/>
      <c r="L149" s="50"/>
      <c r="M149" s="50"/>
      <c r="N149" s="1149"/>
      <c r="O149" s="50"/>
      <c r="P149" s="50"/>
      <c r="Q149" s="50"/>
      <c r="R149" s="50"/>
      <c r="S149" s="50"/>
      <c r="T149" s="50"/>
      <c r="U149" s="50"/>
      <c r="V149" s="50"/>
      <c r="W149" s="50"/>
      <c r="X149" s="50"/>
      <c r="Y149" s="50"/>
      <c r="Z149" s="50"/>
      <c r="AA149" s="50"/>
      <c r="AB149" s="1133"/>
      <c r="AC149" s="1133"/>
      <c r="AD149" s="50"/>
      <c r="AE149" s="50"/>
      <c r="AF149" s="50"/>
      <c r="AG149" s="50"/>
      <c r="AH149" s="50"/>
      <c r="AI149" s="50"/>
      <c r="AJ149" s="50"/>
      <c r="AK149" s="50"/>
      <c r="AL149" s="50"/>
      <c r="AM149" s="50"/>
      <c r="AN149" s="50"/>
      <c r="AO149" s="50"/>
      <c r="AP149" s="50"/>
      <c r="AQ149" s="50"/>
      <c r="AR149" s="50"/>
      <c r="AS149" s="50"/>
    </row>
    <row r="150" spans="1:45" hidden="1" x14ac:dyDescent="0.25">
      <c r="A150" s="50"/>
      <c r="B150" s="50"/>
      <c r="C150" s="50"/>
      <c r="D150" s="50"/>
      <c r="E150" s="50"/>
      <c r="F150" s="50"/>
      <c r="G150" s="50"/>
      <c r="H150" s="50"/>
      <c r="I150" s="50"/>
      <c r="J150" s="50"/>
      <c r="K150" s="50"/>
      <c r="L150" s="50"/>
      <c r="M150" s="50"/>
      <c r="N150" s="1149"/>
      <c r="O150" s="50"/>
      <c r="P150" s="50"/>
      <c r="Q150" s="50"/>
      <c r="R150" s="50"/>
      <c r="S150" s="50"/>
      <c r="T150" s="50"/>
      <c r="U150" s="50"/>
      <c r="V150" s="50"/>
      <c r="W150" s="50"/>
      <c r="X150" s="50"/>
      <c r="Y150" s="50"/>
      <c r="Z150" s="50"/>
      <c r="AA150" s="50"/>
      <c r="AB150" s="1133"/>
      <c r="AC150" s="1133"/>
      <c r="AD150" s="50"/>
      <c r="AE150" s="50"/>
      <c r="AF150" s="50"/>
      <c r="AG150" s="50"/>
      <c r="AH150" s="50"/>
      <c r="AI150" s="50"/>
      <c r="AJ150" s="50"/>
      <c r="AK150" s="50"/>
      <c r="AL150" s="50"/>
      <c r="AM150" s="50"/>
      <c r="AN150" s="50"/>
      <c r="AO150" s="50"/>
      <c r="AP150" s="50"/>
      <c r="AQ150" s="50"/>
      <c r="AR150" s="50"/>
      <c r="AS150" s="50"/>
    </row>
    <row r="151" spans="1:45" hidden="1" x14ac:dyDescent="0.25">
      <c r="A151" s="50"/>
      <c r="B151" s="50"/>
      <c r="C151" s="50"/>
      <c r="D151" s="50"/>
      <c r="E151" s="50"/>
      <c r="F151" s="50"/>
      <c r="G151" s="50"/>
      <c r="H151" s="50"/>
      <c r="I151" s="50"/>
      <c r="J151" s="50"/>
      <c r="K151" s="50"/>
      <c r="L151" s="50"/>
      <c r="M151" s="50"/>
      <c r="N151" s="1149"/>
      <c r="O151" s="50"/>
      <c r="P151" s="50"/>
      <c r="Q151" s="50"/>
      <c r="R151" s="50"/>
      <c r="S151" s="50"/>
      <c r="T151" s="50"/>
      <c r="U151" s="50"/>
      <c r="V151" s="50"/>
      <c r="W151" s="50"/>
      <c r="X151" s="50"/>
      <c r="Y151" s="50"/>
      <c r="Z151" s="50"/>
      <c r="AA151" s="50"/>
      <c r="AB151" s="1133"/>
      <c r="AC151" s="1133"/>
      <c r="AD151" s="50"/>
      <c r="AE151" s="50"/>
      <c r="AF151" s="50"/>
      <c r="AG151" s="50"/>
      <c r="AH151" s="50"/>
      <c r="AI151" s="50"/>
      <c r="AJ151" s="50"/>
      <c r="AK151" s="50"/>
      <c r="AL151" s="50"/>
      <c r="AM151" s="50"/>
      <c r="AN151" s="50"/>
      <c r="AO151" s="50"/>
      <c r="AP151" s="50"/>
      <c r="AQ151" s="50"/>
      <c r="AR151" s="50"/>
      <c r="AS151" s="50"/>
    </row>
    <row r="152" spans="1:45" hidden="1" x14ac:dyDescent="0.25">
      <c r="A152" s="50"/>
      <c r="B152" s="50"/>
      <c r="C152" s="50"/>
      <c r="D152" s="50"/>
      <c r="E152" s="50"/>
      <c r="F152" s="50"/>
      <c r="G152" s="50"/>
      <c r="H152" s="50"/>
      <c r="I152" s="50"/>
      <c r="J152" s="50"/>
      <c r="K152" s="50"/>
      <c r="L152" s="50"/>
      <c r="M152" s="50"/>
      <c r="N152" s="1149"/>
      <c r="O152" s="50"/>
      <c r="P152" s="50"/>
      <c r="Q152" s="50"/>
      <c r="R152" s="50"/>
      <c r="S152" s="50"/>
      <c r="T152" s="50"/>
      <c r="U152" s="50"/>
      <c r="V152" s="50"/>
      <c r="W152" s="50"/>
      <c r="X152" s="50"/>
      <c r="Y152" s="50"/>
      <c r="Z152" s="50"/>
      <c r="AA152" s="50"/>
      <c r="AB152" s="1133"/>
      <c r="AC152" s="1133"/>
      <c r="AD152" s="50"/>
      <c r="AE152" s="50"/>
      <c r="AF152" s="50"/>
      <c r="AG152" s="50"/>
      <c r="AH152" s="50"/>
      <c r="AI152" s="50"/>
      <c r="AJ152" s="50"/>
      <c r="AK152" s="50"/>
      <c r="AL152" s="50"/>
      <c r="AM152" s="50"/>
      <c r="AN152" s="50"/>
      <c r="AO152" s="50"/>
      <c r="AP152" s="50"/>
      <c r="AQ152" s="50"/>
      <c r="AR152" s="50"/>
      <c r="AS152" s="50"/>
    </row>
    <row r="153" spans="1:45" hidden="1" x14ac:dyDescent="0.25">
      <c r="A153" s="50"/>
      <c r="B153" s="50"/>
      <c r="C153" s="50"/>
      <c r="D153" s="50"/>
      <c r="E153" s="50"/>
      <c r="F153" s="50"/>
      <c r="G153" s="50"/>
      <c r="H153" s="50"/>
      <c r="I153" s="50"/>
      <c r="J153" s="50"/>
      <c r="K153" s="50"/>
      <c r="L153" s="50"/>
      <c r="M153" s="50"/>
      <c r="N153" s="1149"/>
      <c r="O153" s="50"/>
      <c r="P153" s="50"/>
      <c r="Q153" s="50"/>
      <c r="R153" s="50"/>
      <c r="S153" s="50"/>
      <c r="T153" s="50"/>
      <c r="U153" s="50"/>
      <c r="V153" s="50"/>
      <c r="W153" s="50"/>
      <c r="X153" s="50"/>
      <c r="Y153" s="50"/>
      <c r="Z153" s="50"/>
      <c r="AA153" s="50"/>
      <c r="AB153" s="1133"/>
      <c r="AC153" s="1133"/>
      <c r="AD153" s="50"/>
      <c r="AE153" s="50"/>
      <c r="AF153" s="50"/>
      <c r="AG153" s="50"/>
      <c r="AH153" s="50"/>
      <c r="AI153" s="50"/>
      <c r="AJ153" s="50"/>
      <c r="AK153" s="50"/>
      <c r="AL153" s="50"/>
      <c r="AM153" s="50"/>
      <c r="AN153" s="50"/>
      <c r="AO153" s="50"/>
      <c r="AP153" s="50"/>
      <c r="AQ153" s="50"/>
      <c r="AR153" s="50"/>
      <c r="AS153" s="50"/>
    </row>
    <row r="154" spans="1:45" hidden="1" x14ac:dyDescent="0.25">
      <c r="A154" s="50"/>
      <c r="B154" s="50"/>
      <c r="C154" s="50"/>
      <c r="D154" s="50"/>
      <c r="E154" s="50"/>
      <c r="F154" s="50"/>
      <c r="G154" s="50"/>
      <c r="H154" s="50"/>
      <c r="I154" s="50"/>
      <c r="J154" s="50"/>
      <c r="K154" s="50"/>
      <c r="L154" s="50"/>
      <c r="M154" s="50"/>
      <c r="N154" s="1149"/>
      <c r="O154" s="50"/>
      <c r="P154" s="50"/>
      <c r="Q154" s="50"/>
      <c r="R154" s="50"/>
      <c r="S154" s="50"/>
      <c r="T154" s="50"/>
      <c r="U154" s="50"/>
      <c r="V154" s="50"/>
      <c r="W154" s="50"/>
      <c r="X154" s="50"/>
      <c r="Y154" s="50"/>
      <c r="Z154" s="50"/>
      <c r="AA154" s="50"/>
      <c r="AB154" s="1133"/>
      <c r="AC154" s="1133"/>
      <c r="AD154" s="50"/>
      <c r="AE154" s="50"/>
      <c r="AF154" s="50"/>
      <c r="AG154" s="50"/>
      <c r="AH154" s="50"/>
      <c r="AI154" s="50"/>
      <c r="AJ154" s="50"/>
      <c r="AK154" s="50"/>
      <c r="AL154" s="50"/>
      <c r="AM154" s="50"/>
      <c r="AN154" s="50"/>
      <c r="AO154" s="50"/>
      <c r="AP154" s="50"/>
      <c r="AQ154" s="50"/>
      <c r="AR154" s="50"/>
      <c r="AS154" s="50"/>
    </row>
    <row r="155" spans="1:45" hidden="1" x14ac:dyDescent="0.25">
      <c r="A155" s="50"/>
      <c r="B155" s="50"/>
      <c r="C155" s="50"/>
      <c r="D155" s="50"/>
      <c r="E155" s="50"/>
      <c r="F155" s="50"/>
      <c r="G155" s="50"/>
      <c r="H155" s="50"/>
      <c r="I155" s="50"/>
      <c r="J155" s="50"/>
      <c r="K155" s="50"/>
      <c r="L155" s="50"/>
      <c r="M155" s="50"/>
      <c r="N155" s="1149"/>
      <c r="O155" s="50"/>
      <c r="P155" s="50"/>
      <c r="Q155" s="50"/>
      <c r="R155" s="50"/>
      <c r="S155" s="50"/>
      <c r="T155" s="50"/>
      <c r="U155" s="50"/>
      <c r="V155" s="50"/>
      <c r="W155" s="50"/>
      <c r="X155" s="50"/>
      <c r="Y155" s="50"/>
      <c r="Z155" s="50"/>
      <c r="AA155" s="50"/>
      <c r="AB155" s="1133"/>
      <c r="AC155" s="1133"/>
      <c r="AD155" s="50"/>
      <c r="AE155" s="50"/>
      <c r="AF155" s="50"/>
      <c r="AG155" s="50"/>
      <c r="AH155" s="50"/>
      <c r="AI155" s="50"/>
      <c r="AJ155" s="50"/>
      <c r="AK155" s="50"/>
      <c r="AL155" s="50"/>
      <c r="AM155" s="50"/>
      <c r="AN155" s="50"/>
      <c r="AO155" s="50"/>
      <c r="AP155" s="50"/>
      <c r="AQ155" s="50"/>
      <c r="AR155" s="50"/>
      <c r="AS155" s="50"/>
    </row>
    <row r="156" spans="1:45" hidden="1" x14ac:dyDescent="0.25">
      <c r="A156" s="50"/>
      <c r="B156" s="50"/>
      <c r="C156" s="50"/>
      <c r="D156" s="50"/>
      <c r="E156" s="50"/>
      <c r="F156" s="50"/>
      <c r="G156" s="50"/>
      <c r="H156" s="50"/>
      <c r="I156" s="50"/>
      <c r="J156" s="50"/>
      <c r="K156" s="50"/>
      <c r="L156" s="50"/>
      <c r="M156" s="50"/>
      <c r="N156" s="1149"/>
      <c r="O156" s="50"/>
      <c r="P156" s="50"/>
      <c r="Q156" s="50"/>
      <c r="R156" s="50"/>
      <c r="S156" s="50"/>
      <c r="T156" s="50"/>
      <c r="U156" s="50"/>
      <c r="V156" s="50"/>
      <c r="W156" s="50"/>
      <c r="X156" s="50"/>
      <c r="Y156" s="50"/>
      <c r="Z156" s="50"/>
      <c r="AA156" s="50"/>
      <c r="AB156" s="1133"/>
      <c r="AC156" s="1133"/>
      <c r="AD156" s="50"/>
      <c r="AE156" s="50"/>
      <c r="AF156" s="50"/>
      <c r="AG156" s="50"/>
      <c r="AH156" s="50"/>
      <c r="AI156" s="50"/>
      <c r="AJ156" s="50"/>
      <c r="AK156" s="50"/>
      <c r="AL156" s="50"/>
      <c r="AM156" s="50"/>
      <c r="AN156" s="50"/>
      <c r="AO156" s="50"/>
      <c r="AP156" s="50"/>
      <c r="AQ156" s="50"/>
      <c r="AR156" s="50"/>
      <c r="AS156" s="50"/>
    </row>
    <row r="157" spans="1:45" hidden="1" x14ac:dyDescent="0.25">
      <c r="A157" s="50"/>
      <c r="B157" s="50"/>
      <c r="C157" s="50"/>
      <c r="D157" s="50"/>
      <c r="E157" s="50"/>
      <c r="F157" s="50"/>
      <c r="G157" s="50"/>
      <c r="H157" s="50"/>
      <c r="I157" s="50"/>
      <c r="J157" s="50"/>
      <c r="K157" s="50"/>
      <c r="L157" s="50"/>
      <c r="M157" s="50"/>
      <c r="N157" s="1149"/>
      <c r="O157" s="50"/>
      <c r="P157" s="50"/>
      <c r="Q157" s="50"/>
      <c r="R157" s="50"/>
      <c r="S157" s="50"/>
      <c r="T157" s="50"/>
      <c r="U157" s="50"/>
      <c r="V157" s="50"/>
      <c r="W157" s="50"/>
      <c r="X157" s="50"/>
      <c r="Y157" s="50"/>
      <c r="Z157" s="50"/>
      <c r="AA157" s="50"/>
      <c r="AB157" s="1133"/>
      <c r="AC157" s="1133"/>
      <c r="AD157" s="50"/>
      <c r="AE157" s="50"/>
      <c r="AF157" s="50"/>
      <c r="AG157" s="50"/>
      <c r="AH157" s="50"/>
      <c r="AI157" s="50"/>
      <c r="AJ157" s="50"/>
      <c r="AK157" s="50"/>
      <c r="AL157" s="50"/>
      <c r="AM157" s="50"/>
      <c r="AN157" s="50"/>
      <c r="AO157" s="50"/>
      <c r="AP157" s="50"/>
      <c r="AQ157" s="50"/>
      <c r="AR157" s="50"/>
      <c r="AS157" s="50"/>
    </row>
    <row r="158" spans="1:45" hidden="1" x14ac:dyDescent="0.25">
      <c r="A158" s="50"/>
      <c r="B158" s="50"/>
      <c r="C158" s="50"/>
      <c r="D158" s="50"/>
      <c r="E158" s="50"/>
      <c r="F158" s="50"/>
      <c r="G158" s="50"/>
      <c r="H158" s="50"/>
      <c r="I158" s="50"/>
      <c r="J158" s="50"/>
      <c r="K158" s="50"/>
      <c r="L158" s="50"/>
      <c r="M158" s="50"/>
      <c r="N158" s="1149"/>
      <c r="O158" s="50"/>
      <c r="P158" s="50"/>
      <c r="Q158" s="50"/>
      <c r="R158" s="50"/>
      <c r="S158" s="50"/>
      <c r="T158" s="50"/>
      <c r="U158" s="50"/>
      <c r="V158" s="50"/>
      <c r="W158" s="50"/>
      <c r="X158" s="50"/>
      <c r="Y158" s="50"/>
      <c r="Z158" s="50"/>
      <c r="AA158" s="50"/>
      <c r="AB158" s="1133"/>
      <c r="AC158" s="1133"/>
      <c r="AD158" s="50"/>
      <c r="AE158" s="50"/>
      <c r="AF158" s="50"/>
      <c r="AG158" s="50"/>
      <c r="AH158" s="50"/>
      <c r="AI158" s="50"/>
      <c r="AJ158" s="50"/>
      <c r="AK158" s="50"/>
      <c r="AL158" s="50"/>
      <c r="AM158" s="50"/>
      <c r="AN158" s="50"/>
      <c r="AO158" s="50"/>
      <c r="AP158" s="50"/>
      <c r="AQ158" s="50"/>
      <c r="AR158" s="50"/>
      <c r="AS158" s="50"/>
    </row>
    <row r="159" spans="1:45" hidden="1" x14ac:dyDescent="0.25">
      <c r="A159" s="50"/>
      <c r="B159" s="50"/>
      <c r="C159" s="50"/>
      <c r="D159" s="50"/>
      <c r="E159" s="50"/>
      <c r="F159" s="50"/>
      <c r="G159" s="50"/>
      <c r="H159" s="50"/>
      <c r="I159" s="50"/>
      <c r="J159" s="50"/>
      <c r="K159" s="50"/>
      <c r="L159" s="50"/>
      <c r="M159" s="50"/>
      <c r="N159" s="1149"/>
      <c r="O159" s="50"/>
      <c r="P159" s="50"/>
      <c r="Q159" s="50"/>
      <c r="R159" s="50"/>
      <c r="S159" s="50"/>
      <c r="T159" s="50"/>
      <c r="U159" s="50"/>
      <c r="V159" s="50"/>
      <c r="W159" s="50"/>
      <c r="X159" s="50"/>
      <c r="Y159" s="50"/>
      <c r="Z159" s="50"/>
      <c r="AA159" s="50"/>
      <c r="AB159" s="1133"/>
      <c r="AC159" s="1133"/>
      <c r="AD159" s="50"/>
      <c r="AE159" s="50"/>
      <c r="AF159" s="50"/>
      <c r="AG159" s="50"/>
      <c r="AH159" s="50"/>
      <c r="AI159" s="50"/>
      <c r="AJ159" s="50"/>
      <c r="AK159" s="50"/>
      <c r="AL159" s="50"/>
      <c r="AM159" s="50"/>
      <c r="AN159" s="50"/>
      <c r="AO159" s="50"/>
      <c r="AP159" s="50"/>
      <c r="AQ159" s="50"/>
      <c r="AR159" s="50"/>
      <c r="AS159" s="50"/>
    </row>
    <row r="160" spans="1:45" hidden="1" x14ac:dyDescent="0.25">
      <c r="A160" s="50"/>
      <c r="B160" s="50"/>
      <c r="C160" s="50"/>
      <c r="D160" s="50"/>
      <c r="E160" s="50"/>
      <c r="F160" s="50"/>
      <c r="G160" s="50"/>
      <c r="H160" s="50"/>
      <c r="I160" s="50"/>
      <c r="J160" s="50"/>
      <c r="K160" s="50"/>
      <c r="L160" s="50"/>
      <c r="M160" s="50"/>
      <c r="N160" s="1149"/>
      <c r="O160" s="50"/>
      <c r="P160" s="50"/>
      <c r="Q160" s="50"/>
      <c r="R160" s="50"/>
      <c r="S160" s="50"/>
      <c r="T160" s="50"/>
      <c r="U160" s="50"/>
      <c r="V160" s="50"/>
      <c r="W160" s="50"/>
      <c r="X160" s="50"/>
      <c r="Y160" s="50"/>
      <c r="Z160" s="50"/>
      <c r="AA160" s="50"/>
      <c r="AB160" s="1133"/>
      <c r="AC160" s="1133"/>
      <c r="AD160" s="50"/>
      <c r="AE160" s="50"/>
      <c r="AF160" s="50"/>
      <c r="AG160" s="50"/>
      <c r="AH160" s="50"/>
      <c r="AI160" s="50"/>
      <c r="AJ160" s="50"/>
      <c r="AK160" s="50"/>
      <c r="AL160" s="50"/>
      <c r="AM160" s="50"/>
      <c r="AN160" s="50"/>
      <c r="AO160" s="50"/>
      <c r="AP160" s="50"/>
      <c r="AQ160" s="50"/>
      <c r="AR160" s="50"/>
      <c r="AS160" s="50"/>
    </row>
    <row r="161" spans="1:45" hidden="1" x14ac:dyDescent="0.25">
      <c r="A161" s="50"/>
      <c r="B161" s="50"/>
      <c r="C161" s="50"/>
      <c r="D161" s="50"/>
      <c r="E161" s="50"/>
      <c r="F161" s="50"/>
      <c r="G161" s="50"/>
      <c r="H161" s="50"/>
      <c r="I161" s="50"/>
      <c r="J161" s="50"/>
      <c r="K161" s="50"/>
      <c r="L161" s="50"/>
      <c r="M161" s="50"/>
      <c r="N161" s="1149"/>
      <c r="O161" s="50"/>
      <c r="P161" s="50"/>
      <c r="Q161" s="50"/>
      <c r="R161" s="50"/>
      <c r="S161" s="50"/>
      <c r="T161" s="50"/>
      <c r="U161" s="50"/>
      <c r="V161" s="50"/>
      <c r="W161" s="50"/>
      <c r="X161" s="50"/>
      <c r="Y161" s="50"/>
      <c r="Z161" s="50"/>
      <c r="AA161" s="50"/>
      <c r="AB161" s="1133"/>
      <c r="AC161" s="1133"/>
      <c r="AD161" s="50"/>
      <c r="AE161" s="50"/>
      <c r="AF161" s="50"/>
      <c r="AG161" s="50"/>
      <c r="AH161" s="50"/>
      <c r="AI161" s="50"/>
      <c r="AJ161" s="50"/>
      <c r="AK161" s="50"/>
      <c r="AL161" s="50"/>
      <c r="AM161" s="50"/>
      <c r="AN161" s="50"/>
      <c r="AO161" s="50"/>
      <c r="AP161" s="50"/>
      <c r="AQ161" s="50"/>
      <c r="AR161" s="50"/>
      <c r="AS161" s="50"/>
    </row>
    <row r="162" spans="1:45" hidden="1" x14ac:dyDescent="0.25">
      <c r="A162" s="50"/>
      <c r="B162" s="50"/>
      <c r="C162" s="50"/>
      <c r="D162" s="50"/>
      <c r="E162" s="50"/>
      <c r="F162" s="50"/>
      <c r="G162" s="50"/>
      <c r="H162" s="50"/>
      <c r="I162" s="50"/>
      <c r="J162" s="50"/>
      <c r="K162" s="50"/>
      <c r="L162" s="50"/>
      <c r="M162" s="50"/>
      <c r="N162" s="1149"/>
      <c r="O162" s="50"/>
      <c r="P162" s="50"/>
      <c r="Q162" s="50"/>
      <c r="R162" s="50"/>
      <c r="S162" s="50"/>
      <c r="T162" s="50"/>
      <c r="U162" s="50"/>
      <c r="V162" s="50"/>
      <c r="W162" s="50"/>
      <c r="X162" s="50"/>
      <c r="Y162" s="50"/>
      <c r="Z162" s="50"/>
      <c r="AA162" s="50"/>
      <c r="AB162" s="1133"/>
      <c r="AC162" s="1133"/>
      <c r="AD162" s="50"/>
      <c r="AE162" s="50"/>
      <c r="AF162" s="50"/>
      <c r="AG162" s="50"/>
      <c r="AH162" s="50"/>
      <c r="AI162" s="50"/>
      <c r="AJ162" s="50"/>
      <c r="AK162" s="50"/>
      <c r="AL162" s="50"/>
      <c r="AM162" s="50"/>
      <c r="AN162" s="50"/>
      <c r="AO162" s="50"/>
      <c r="AP162" s="50"/>
      <c r="AQ162" s="50"/>
      <c r="AR162" s="50"/>
      <c r="AS162" s="50"/>
    </row>
    <row r="163" spans="1:45" hidden="1" x14ac:dyDescent="0.25">
      <c r="A163" s="50"/>
      <c r="B163" s="50"/>
      <c r="C163" s="50"/>
      <c r="D163" s="50"/>
      <c r="E163" s="50"/>
      <c r="F163" s="50"/>
      <c r="G163" s="50"/>
      <c r="H163" s="50"/>
      <c r="I163" s="50"/>
      <c r="J163" s="50"/>
      <c r="K163" s="50"/>
      <c r="L163" s="50"/>
      <c r="M163" s="50"/>
      <c r="N163" s="1149"/>
      <c r="O163" s="50"/>
      <c r="P163" s="50"/>
      <c r="Q163" s="50"/>
      <c r="R163" s="50"/>
      <c r="S163" s="50"/>
      <c r="T163" s="50"/>
      <c r="U163" s="50"/>
      <c r="V163" s="50"/>
      <c r="W163" s="50"/>
      <c r="X163" s="50"/>
      <c r="Y163" s="50"/>
      <c r="Z163" s="50"/>
      <c r="AA163" s="50"/>
      <c r="AB163" s="1133"/>
      <c r="AC163" s="1133"/>
      <c r="AD163" s="50"/>
      <c r="AE163" s="50"/>
      <c r="AF163" s="50"/>
      <c r="AG163" s="50"/>
      <c r="AH163" s="50"/>
      <c r="AI163" s="50"/>
      <c r="AJ163" s="50"/>
      <c r="AK163" s="50"/>
      <c r="AL163" s="50"/>
      <c r="AM163" s="50"/>
      <c r="AN163" s="50"/>
      <c r="AO163" s="50"/>
      <c r="AP163" s="50"/>
      <c r="AQ163" s="50"/>
      <c r="AR163" s="50"/>
      <c r="AS163" s="50"/>
    </row>
    <row r="164" spans="1:45" hidden="1" x14ac:dyDescent="0.25">
      <c r="A164" s="50"/>
      <c r="B164" s="50"/>
      <c r="C164" s="50"/>
      <c r="D164" s="50"/>
      <c r="E164" s="50"/>
      <c r="F164" s="50"/>
      <c r="G164" s="50"/>
      <c r="H164" s="50"/>
      <c r="I164" s="50"/>
      <c r="J164" s="50"/>
      <c r="K164" s="50"/>
      <c r="L164" s="50"/>
      <c r="M164" s="50"/>
      <c r="N164" s="1149"/>
      <c r="O164" s="50"/>
      <c r="P164" s="50"/>
      <c r="Q164" s="50"/>
      <c r="R164" s="50"/>
      <c r="S164" s="50"/>
      <c r="T164" s="50"/>
      <c r="U164" s="50"/>
      <c r="V164" s="50"/>
      <c r="W164" s="50"/>
      <c r="X164" s="50"/>
      <c r="Y164" s="50"/>
      <c r="Z164" s="50"/>
      <c r="AA164" s="50"/>
      <c r="AB164" s="1133"/>
      <c r="AC164" s="1133"/>
      <c r="AD164" s="50"/>
      <c r="AE164" s="50"/>
      <c r="AF164" s="50"/>
      <c r="AG164" s="50"/>
      <c r="AH164" s="50"/>
      <c r="AI164" s="50"/>
      <c r="AJ164" s="50"/>
      <c r="AK164" s="50"/>
      <c r="AL164" s="50"/>
      <c r="AM164" s="50"/>
      <c r="AN164" s="50"/>
      <c r="AO164" s="50"/>
      <c r="AP164" s="50"/>
      <c r="AQ164" s="50"/>
      <c r="AR164" s="50"/>
      <c r="AS164" s="50"/>
    </row>
    <row r="165" spans="1:45" hidden="1" x14ac:dyDescent="0.25">
      <c r="A165" s="50"/>
      <c r="B165" s="50"/>
      <c r="C165" s="50"/>
      <c r="D165" s="50"/>
      <c r="E165" s="50"/>
      <c r="F165" s="50"/>
      <c r="G165" s="50"/>
      <c r="H165" s="50"/>
      <c r="I165" s="50"/>
      <c r="J165" s="50"/>
      <c r="K165" s="50"/>
      <c r="L165" s="50"/>
      <c r="M165" s="50"/>
      <c r="N165" s="1149"/>
      <c r="O165" s="50"/>
      <c r="P165" s="50"/>
      <c r="Q165" s="50"/>
      <c r="R165" s="50"/>
      <c r="S165" s="50"/>
      <c r="T165" s="50"/>
      <c r="U165" s="50"/>
      <c r="V165" s="50"/>
      <c r="W165" s="50"/>
      <c r="X165" s="50"/>
      <c r="Y165" s="50"/>
      <c r="Z165" s="50"/>
      <c r="AA165" s="50"/>
      <c r="AB165" s="1133"/>
      <c r="AC165" s="1133"/>
      <c r="AD165" s="50"/>
      <c r="AE165" s="50"/>
      <c r="AF165" s="50"/>
      <c r="AG165" s="50"/>
      <c r="AH165" s="50"/>
      <c r="AI165" s="50"/>
      <c r="AJ165" s="50"/>
      <c r="AK165" s="50"/>
      <c r="AL165" s="50"/>
      <c r="AM165" s="50"/>
      <c r="AN165" s="50"/>
      <c r="AO165" s="50"/>
      <c r="AP165" s="50"/>
      <c r="AQ165" s="50"/>
      <c r="AR165" s="50"/>
      <c r="AS165" s="50"/>
    </row>
    <row r="166" spans="1:45" hidden="1" x14ac:dyDescent="0.25">
      <c r="A166" s="50"/>
      <c r="B166" s="50"/>
      <c r="C166" s="50"/>
      <c r="D166" s="50"/>
      <c r="E166" s="50"/>
      <c r="F166" s="50"/>
      <c r="G166" s="50"/>
      <c r="H166" s="50"/>
      <c r="I166" s="50"/>
      <c r="J166" s="50"/>
      <c r="K166" s="50"/>
      <c r="L166" s="50"/>
      <c r="M166" s="50"/>
      <c r="N166" s="1149"/>
      <c r="O166" s="50"/>
      <c r="P166" s="50"/>
      <c r="Q166" s="50"/>
      <c r="R166" s="50"/>
      <c r="S166" s="50"/>
      <c r="T166" s="50"/>
      <c r="U166" s="50"/>
      <c r="V166" s="50"/>
      <c r="W166" s="50"/>
      <c r="X166" s="50"/>
      <c r="Y166" s="50"/>
      <c r="Z166" s="50"/>
      <c r="AA166" s="50"/>
      <c r="AB166" s="1133"/>
      <c r="AC166" s="1133"/>
      <c r="AD166" s="50"/>
      <c r="AE166" s="50"/>
      <c r="AF166" s="50"/>
      <c r="AG166" s="50"/>
      <c r="AH166" s="50"/>
      <c r="AI166" s="50"/>
      <c r="AJ166" s="50"/>
      <c r="AK166" s="50"/>
      <c r="AL166" s="50"/>
      <c r="AM166" s="50"/>
      <c r="AN166" s="50"/>
      <c r="AO166" s="50"/>
      <c r="AP166" s="50"/>
      <c r="AQ166" s="50"/>
      <c r="AR166" s="50"/>
      <c r="AS166" s="50"/>
    </row>
    <row r="167" spans="1:45" hidden="1" x14ac:dyDescent="0.25">
      <c r="A167" s="50"/>
      <c r="B167" s="50"/>
      <c r="C167" s="50"/>
      <c r="D167" s="50"/>
      <c r="E167" s="50"/>
      <c r="F167" s="50"/>
      <c r="G167" s="50"/>
      <c r="H167" s="50"/>
      <c r="I167" s="50"/>
      <c r="J167" s="50"/>
      <c r="K167" s="50"/>
      <c r="L167" s="50"/>
      <c r="M167" s="50"/>
      <c r="N167" s="1149"/>
      <c r="O167" s="50"/>
      <c r="P167" s="50"/>
      <c r="Q167" s="50"/>
      <c r="R167" s="50"/>
      <c r="S167" s="50"/>
      <c r="T167" s="50"/>
      <c r="U167" s="50"/>
      <c r="V167" s="50"/>
      <c r="W167" s="50"/>
      <c r="X167" s="50"/>
      <c r="Y167" s="50"/>
      <c r="Z167" s="50"/>
      <c r="AA167" s="50"/>
      <c r="AB167" s="1133"/>
      <c r="AC167" s="1133"/>
      <c r="AD167" s="50"/>
      <c r="AE167" s="50"/>
      <c r="AF167" s="50"/>
      <c r="AG167" s="50"/>
      <c r="AH167" s="50"/>
      <c r="AI167" s="50"/>
      <c r="AJ167" s="50"/>
      <c r="AK167" s="50"/>
      <c r="AL167" s="50"/>
      <c r="AM167" s="50"/>
      <c r="AN167" s="50"/>
      <c r="AO167" s="50"/>
      <c r="AP167" s="50"/>
      <c r="AQ167" s="50"/>
      <c r="AR167" s="50"/>
      <c r="AS167" s="50"/>
    </row>
    <row r="168" spans="1:45" hidden="1" x14ac:dyDescent="0.25">
      <c r="A168" s="50"/>
      <c r="B168" s="50"/>
      <c r="C168" s="50"/>
      <c r="D168" s="50"/>
      <c r="E168" s="50"/>
      <c r="F168" s="50"/>
      <c r="G168" s="50"/>
      <c r="H168" s="50"/>
      <c r="I168" s="50"/>
      <c r="J168" s="50"/>
      <c r="K168" s="50"/>
      <c r="L168" s="50"/>
      <c r="M168" s="50"/>
      <c r="N168" s="1149"/>
      <c r="O168" s="50"/>
      <c r="P168" s="50"/>
      <c r="Q168" s="50"/>
      <c r="R168" s="50"/>
      <c r="S168" s="50"/>
      <c r="T168" s="50"/>
      <c r="U168" s="50"/>
      <c r="V168" s="50"/>
      <c r="W168" s="50"/>
      <c r="X168" s="50"/>
      <c r="Y168" s="50"/>
      <c r="Z168" s="50"/>
      <c r="AA168" s="50"/>
      <c r="AB168" s="1133"/>
      <c r="AC168" s="1133"/>
      <c r="AD168" s="50"/>
      <c r="AE168" s="50"/>
      <c r="AF168" s="50"/>
      <c r="AG168" s="50"/>
      <c r="AH168" s="50"/>
      <c r="AI168" s="50"/>
      <c r="AJ168" s="50"/>
      <c r="AK168" s="50"/>
      <c r="AL168" s="50"/>
      <c r="AM168" s="50"/>
      <c r="AN168" s="50"/>
      <c r="AO168" s="50"/>
      <c r="AP168" s="50"/>
      <c r="AQ168" s="50"/>
      <c r="AR168" s="50"/>
      <c r="AS168" s="50"/>
    </row>
    <row r="169" spans="1:45" hidden="1" x14ac:dyDescent="0.25">
      <c r="A169" s="50"/>
      <c r="B169" s="50"/>
      <c r="C169" s="50"/>
      <c r="D169" s="50"/>
      <c r="E169" s="50"/>
      <c r="F169" s="50"/>
      <c r="G169" s="50"/>
      <c r="H169" s="50"/>
      <c r="I169" s="50"/>
      <c r="J169" s="50"/>
      <c r="K169" s="50"/>
      <c r="L169" s="50"/>
      <c r="M169" s="50"/>
      <c r="N169" s="1149"/>
      <c r="O169" s="50"/>
      <c r="P169" s="50"/>
      <c r="Q169" s="50"/>
      <c r="R169" s="50"/>
      <c r="S169" s="50"/>
      <c r="T169" s="50"/>
      <c r="U169" s="50"/>
      <c r="V169" s="50"/>
      <c r="W169" s="50"/>
      <c r="X169" s="50"/>
      <c r="Y169" s="50"/>
      <c r="Z169" s="50"/>
      <c r="AA169" s="50"/>
      <c r="AB169" s="1133"/>
      <c r="AC169" s="1133"/>
      <c r="AD169" s="50"/>
      <c r="AE169" s="50"/>
      <c r="AF169" s="50"/>
      <c r="AG169" s="50"/>
      <c r="AH169" s="50"/>
      <c r="AI169" s="50"/>
      <c r="AJ169" s="50"/>
      <c r="AK169" s="50"/>
      <c r="AL169" s="50"/>
      <c r="AM169" s="50"/>
      <c r="AN169" s="50"/>
      <c r="AO169" s="50"/>
      <c r="AP169" s="50"/>
      <c r="AQ169" s="50"/>
      <c r="AR169" s="50"/>
      <c r="AS169" s="50"/>
    </row>
    <row r="170" spans="1:45" hidden="1" x14ac:dyDescent="0.25">
      <c r="A170" s="50"/>
      <c r="B170" s="50"/>
      <c r="C170" s="50"/>
      <c r="D170" s="50"/>
      <c r="E170" s="50"/>
      <c r="F170" s="50"/>
      <c r="G170" s="50"/>
      <c r="H170" s="50"/>
      <c r="I170" s="50"/>
      <c r="J170" s="50"/>
      <c r="K170" s="50"/>
      <c r="L170" s="50"/>
      <c r="M170" s="50"/>
      <c r="N170" s="1149"/>
      <c r="O170" s="50"/>
      <c r="P170" s="50"/>
      <c r="Q170" s="50"/>
      <c r="R170" s="50"/>
      <c r="S170" s="50"/>
      <c r="T170" s="50"/>
      <c r="U170" s="50"/>
      <c r="V170" s="50"/>
      <c r="W170" s="50"/>
      <c r="X170" s="50"/>
      <c r="Y170" s="50"/>
      <c r="Z170" s="50"/>
      <c r="AA170" s="50"/>
      <c r="AB170" s="1133"/>
      <c r="AC170" s="1133"/>
      <c r="AD170" s="50"/>
      <c r="AE170" s="50"/>
      <c r="AF170" s="50"/>
      <c r="AG170" s="50"/>
      <c r="AH170" s="50"/>
      <c r="AI170" s="50"/>
      <c r="AJ170" s="50"/>
      <c r="AK170" s="50"/>
      <c r="AL170" s="50"/>
      <c r="AM170" s="50"/>
      <c r="AN170" s="50"/>
      <c r="AO170" s="50"/>
      <c r="AP170" s="50"/>
      <c r="AQ170" s="50"/>
      <c r="AR170" s="50"/>
      <c r="AS170" s="50"/>
    </row>
    <row r="171" spans="1:45" hidden="1" x14ac:dyDescent="0.25">
      <c r="A171" s="50"/>
      <c r="B171" s="50"/>
      <c r="C171" s="50"/>
      <c r="D171" s="50"/>
      <c r="E171" s="50"/>
      <c r="F171" s="50"/>
      <c r="G171" s="50"/>
      <c r="H171" s="50"/>
      <c r="I171" s="50"/>
      <c r="J171" s="50"/>
      <c r="K171" s="50"/>
      <c r="L171" s="50"/>
      <c r="M171" s="50"/>
      <c r="N171" s="1149"/>
      <c r="O171" s="50"/>
      <c r="P171" s="50"/>
      <c r="Q171" s="50"/>
      <c r="R171" s="50"/>
      <c r="S171" s="50"/>
      <c r="T171" s="50"/>
      <c r="U171" s="50"/>
      <c r="V171" s="50"/>
      <c r="W171" s="50"/>
      <c r="X171" s="50"/>
      <c r="Y171" s="50"/>
      <c r="Z171" s="50"/>
      <c r="AA171" s="50"/>
      <c r="AB171" s="1133"/>
      <c r="AC171" s="1133"/>
      <c r="AD171" s="50"/>
      <c r="AE171" s="50"/>
      <c r="AF171" s="50"/>
      <c r="AG171" s="50"/>
      <c r="AH171" s="50"/>
      <c r="AI171" s="50"/>
      <c r="AJ171" s="50"/>
      <c r="AK171" s="50"/>
      <c r="AL171" s="50"/>
      <c r="AM171" s="50"/>
      <c r="AN171" s="50"/>
      <c r="AO171" s="50"/>
      <c r="AP171" s="50"/>
      <c r="AQ171" s="50"/>
      <c r="AR171" s="50"/>
      <c r="AS171" s="50"/>
    </row>
    <row r="172" spans="1:45" hidden="1" x14ac:dyDescent="0.25">
      <c r="A172" s="50"/>
      <c r="B172" s="50"/>
      <c r="C172" s="50"/>
      <c r="D172" s="50"/>
      <c r="E172" s="50"/>
      <c r="F172" s="50"/>
      <c r="G172" s="50"/>
      <c r="H172" s="50"/>
      <c r="I172" s="50"/>
      <c r="J172" s="50"/>
      <c r="K172" s="50"/>
      <c r="L172" s="50"/>
      <c r="M172" s="50"/>
      <c r="N172" s="1149"/>
      <c r="O172" s="50"/>
      <c r="P172" s="50"/>
      <c r="Q172" s="50"/>
      <c r="R172" s="50"/>
      <c r="S172" s="50"/>
      <c r="T172" s="50"/>
      <c r="U172" s="50"/>
      <c r="V172" s="50"/>
      <c r="W172" s="50"/>
      <c r="X172" s="50"/>
      <c r="Y172" s="50"/>
      <c r="Z172" s="50"/>
      <c r="AA172" s="50"/>
      <c r="AB172" s="1133"/>
      <c r="AC172" s="1133"/>
      <c r="AD172" s="50"/>
      <c r="AE172" s="50"/>
      <c r="AF172" s="50"/>
      <c r="AG172" s="50"/>
      <c r="AH172" s="50"/>
      <c r="AI172" s="50"/>
      <c r="AJ172" s="50"/>
      <c r="AK172" s="50"/>
      <c r="AL172" s="50"/>
      <c r="AM172" s="50"/>
      <c r="AN172" s="50"/>
      <c r="AO172" s="50"/>
      <c r="AP172" s="50"/>
      <c r="AQ172" s="50"/>
      <c r="AR172" s="50"/>
      <c r="AS172" s="50"/>
    </row>
    <row r="173" spans="1:45" hidden="1" x14ac:dyDescent="0.25">
      <c r="A173" s="50"/>
      <c r="B173" s="50"/>
      <c r="C173" s="50"/>
      <c r="D173" s="50"/>
      <c r="E173" s="50"/>
      <c r="F173" s="50"/>
      <c r="G173" s="50"/>
      <c r="H173" s="50"/>
      <c r="I173" s="50"/>
      <c r="J173" s="50"/>
      <c r="K173" s="50"/>
      <c r="L173" s="50"/>
      <c r="M173" s="50"/>
      <c r="N173" s="1149"/>
      <c r="O173" s="50"/>
      <c r="P173" s="50"/>
      <c r="Q173" s="50"/>
      <c r="R173" s="50"/>
      <c r="S173" s="50"/>
      <c r="T173" s="50"/>
      <c r="U173" s="50"/>
      <c r="V173" s="50"/>
      <c r="W173" s="50"/>
      <c r="X173" s="50"/>
      <c r="Y173" s="50"/>
      <c r="Z173" s="50"/>
      <c r="AA173" s="50"/>
      <c r="AB173" s="1133"/>
      <c r="AC173" s="1133"/>
      <c r="AD173" s="50"/>
      <c r="AE173" s="50"/>
      <c r="AF173" s="50"/>
      <c r="AG173" s="50"/>
      <c r="AH173" s="50"/>
      <c r="AI173" s="50"/>
      <c r="AJ173" s="50"/>
      <c r="AK173" s="50"/>
      <c r="AL173" s="50"/>
      <c r="AM173" s="50"/>
      <c r="AN173" s="50"/>
      <c r="AO173" s="50"/>
      <c r="AP173" s="50"/>
      <c r="AQ173" s="50"/>
      <c r="AR173" s="50"/>
      <c r="AS173" s="50"/>
    </row>
    <row r="174" spans="1:45" hidden="1" x14ac:dyDescent="0.25">
      <c r="A174" s="50"/>
      <c r="B174" s="50"/>
      <c r="C174" s="50"/>
      <c r="D174" s="50"/>
      <c r="E174" s="50"/>
      <c r="F174" s="50"/>
      <c r="G174" s="50"/>
      <c r="H174" s="50"/>
      <c r="I174" s="50"/>
      <c r="J174" s="50"/>
      <c r="K174" s="50"/>
      <c r="L174" s="50"/>
      <c r="M174" s="50"/>
      <c r="N174" s="1149"/>
      <c r="O174" s="50"/>
      <c r="P174" s="50"/>
      <c r="Q174" s="50"/>
      <c r="R174" s="50"/>
      <c r="S174" s="50"/>
      <c r="T174" s="50"/>
      <c r="U174" s="50"/>
      <c r="V174" s="50"/>
      <c r="W174" s="50"/>
      <c r="X174" s="50"/>
      <c r="Y174" s="50"/>
      <c r="Z174" s="50"/>
      <c r="AA174" s="50"/>
      <c r="AB174" s="1133"/>
      <c r="AC174" s="1133"/>
      <c r="AD174" s="50"/>
      <c r="AE174" s="50"/>
      <c r="AF174" s="50"/>
      <c r="AG174" s="50"/>
      <c r="AH174" s="50"/>
      <c r="AI174" s="50"/>
      <c r="AJ174" s="50"/>
      <c r="AK174" s="50"/>
      <c r="AL174" s="50"/>
      <c r="AM174" s="50"/>
      <c r="AN174" s="50"/>
      <c r="AO174" s="50"/>
      <c r="AP174" s="50"/>
      <c r="AQ174" s="50"/>
      <c r="AR174" s="50"/>
      <c r="AS174" s="50"/>
    </row>
    <row r="175" spans="1:45" hidden="1" x14ac:dyDescent="0.25">
      <c r="A175" s="50"/>
      <c r="B175" s="50"/>
      <c r="C175" s="50"/>
      <c r="D175" s="50"/>
      <c r="E175" s="50"/>
      <c r="F175" s="50"/>
      <c r="G175" s="50"/>
      <c r="H175" s="50"/>
      <c r="I175" s="50"/>
      <c r="J175" s="50"/>
      <c r="K175" s="50"/>
      <c r="L175" s="50"/>
      <c r="M175" s="50"/>
      <c r="N175" s="1149"/>
      <c r="O175" s="50"/>
      <c r="P175" s="50"/>
      <c r="Q175" s="50"/>
      <c r="R175" s="50"/>
      <c r="S175" s="50"/>
      <c r="T175" s="50"/>
      <c r="U175" s="50"/>
      <c r="V175" s="50"/>
      <c r="W175" s="50"/>
      <c r="X175" s="50"/>
      <c r="Y175" s="50"/>
      <c r="Z175" s="50"/>
      <c r="AA175" s="50"/>
      <c r="AB175" s="1133"/>
      <c r="AC175" s="1133"/>
      <c r="AD175" s="50"/>
      <c r="AE175" s="50"/>
      <c r="AF175" s="50"/>
      <c r="AG175" s="50"/>
      <c r="AH175" s="50"/>
      <c r="AI175" s="50"/>
      <c r="AJ175" s="50"/>
      <c r="AK175" s="50"/>
      <c r="AL175" s="50"/>
      <c r="AM175" s="50"/>
      <c r="AN175" s="50"/>
      <c r="AO175" s="50"/>
      <c r="AP175" s="50"/>
      <c r="AQ175" s="50"/>
      <c r="AR175" s="50"/>
      <c r="AS175" s="50"/>
    </row>
    <row r="176" spans="1:45" hidden="1" x14ac:dyDescent="0.25">
      <c r="A176" s="50"/>
      <c r="B176" s="50"/>
      <c r="C176" s="50"/>
      <c r="D176" s="50"/>
      <c r="E176" s="50"/>
      <c r="F176" s="50"/>
      <c r="G176" s="50"/>
      <c r="H176" s="50"/>
      <c r="I176" s="50"/>
      <c r="J176" s="50"/>
      <c r="K176" s="50"/>
      <c r="L176" s="50"/>
      <c r="M176" s="50"/>
      <c r="N176" s="1149"/>
      <c r="O176" s="50"/>
      <c r="P176" s="50"/>
      <c r="Q176" s="50"/>
      <c r="R176" s="50"/>
      <c r="S176" s="50"/>
      <c r="T176" s="50"/>
      <c r="U176" s="50"/>
      <c r="V176" s="50"/>
      <c r="W176" s="50"/>
      <c r="X176" s="50"/>
      <c r="Y176" s="50"/>
      <c r="Z176" s="50"/>
      <c r="AA176" s="50"/>
      <c r="AB176" s="1133"/>
      <c r="AC176" s="1133"/>
      <c r="AD176" s="50"/>
      <c r="AE176" s="50"/>
      <c r="AF176" s="50"/>
      <c r="AG176" s="50"/>
      <c r="AH176" s="50"/>
      <c r="AI176" s="50"/>
      <c r="AJ176" s="50"/>
      <c r="AK176" s="50"/>
      <c r="AL176" s="50"/>
      <c r="AM176" s="50"/>
      <c r="AN176" s="50"/>
      <c r="AO176" s="50"/>
      <c r="AP176" s="50"/>
      <c r="AQ176" s="50"/>
      <c r="AR176" s="50"/>
      <c r="AS176" s="50"/>
    </row>
    <row r="177" spans="1:45" hidden="1" x14ac:dyDescent="0.25">
      <c r="A177" s="50"/>
      <c r="B177" s="50"/>
      <c r="C177" s="50"/>
      <c r="D177" s="50"/>
      <c r="E177" s="50"/>
      <c r="F177" s="50"/>
      <c r="G177" s="50"/>
      <c r="H177" s="50"/>
      <c r="I177" s="50"/>
      <c r="J177" s="50"/>
      <c r="K177" s="50"/>
      <c r="L177" s="50"/>
      <c r="M177" s="50"/>
      <c r="N177" s="1149"/>
      <c r="O177" s="50"/>
      <c r="P177" s="50"/>
      <c r="Q177" s="50"/>
      <c r="R177" s="50"/>
      <c r="S177" s="50"/>
      <c r="T177" s="50"/>
      <c r="U177" s="50"/>
      <c r="V177" s="50"/>
      <c r="W177" s="50"/>
      <c r="X177" s="50"/>
      <c r="Y177" s="50"/>
      <c r="Z177" s="50"/>
      <c r="AA177" s="50"/>
      <c r="AB177" s="1133"/>
      <c r="AC177" s="1133"/>
      <c r="AD177" s="50"/>
      <c r="AE177" s="50"/>
      <c r="AF177" s="50"/>
      <c r="AG177" s="50"/>
      <c r="AH177" s="50"/>
      <c r="AI177" s="50"/>
      <c r="AJ177" s="50"/>
      <c r="AK177" s="50"/>
      <c r="AL177" s="50"/>
      <c r="AM177" s="50"/>
      <c r="AN177" s="50"/>
      <c r="AO177" s="50"/>
      <c r="AP177" s="50"/>
      <c r="AQ177" s="50"/>
      <c r="AR177" s="50"/>
      <c r="AS177" s="50"/>
    </row>
    <row r="178" spans="1:45" hidden="1" x14ac:dyDescent="0.25">
      <c r="A178" s="50"/>
      <c r="B178" s="50"/>
      <c r="C178" s="50"/>
      <c r="D178" s="50"/>
      <c r="E178" s="50"/>
      <c r="F178" s="50"/>
      <c r="G178" s="50"/>
      <c r="H178" s="50"/>
      <c r="I178" s="50"/>
      <c r="J178" s="50"/>
      <c r="K178" s="50"/>
      <c r="L178" s="50"/>
      <c r="M178" s="50"/>
      <c r="N178" s="1149"/>
      <c r="O178" s="50"/>
      <c r="P178" s="50"/>
      <c r="Q178" s="50"/>
      <c r="R178" s="50"/>
      <c r="S178" s="50"/>
      <c r="T178" s="50"/>
      <c r="U178" s="50"/>
      <c r="V178" s="50"/>
      <c r="W178" s="50"/>
      <c r="X178" s="50"/>
      <c r="Y178" s="50"/>
      <c r="Z178" s="50"/>
      <c r="AA178" s="50"/>
      <c r="AB178" s="1133"/>
      <c r="AC178" s="1133"/>
      <c r="AD178" s="50"/>
      <c r="AE178" s="50"/>
      <c r="AF178" s="50"/>
      <c r="AG178" s="50"/>
      <c r="AH178" s="50"/>
      <c r="AI178" s="50"/>
      <c r="AJ178" s="50"/>
      <c r="AK178" s="50"/>
      <c r="AL178" s="50"/>
      <c r="AM178" s="50"/>
      <c r="AN178" s="50"/>
      <c r="AO178" s="50"/>
      <c r="AP178" s="50"/>
      <c r="AQ178" s="50"/>
      <c r="AR178" s="50"/>
      <c r="AS178" s="50"/>
    </row>
    <row r="179" spans="1:45" hidden="1" x14ac:dyDescent="0.25">
      <c r="A179" s="50"/>
      <c r="B179" s="50"/>
      <c r="C179" s="50"/>
      <c r="D179" s="50"/>
      <c r="E179" s="50"/>
      <c r="F179" s="50"/>
      <c r="G179" s="50"/>
      <c r="H179" s="50"/>
      <c r="I179" s="50"/>
      <c r="J179" s="50"/>
      <c r="K179" s="50"/>
      <c r="L179" s="50"/>
      <c r="M179" s="50"/>
      <c r="N179" s="1149"/>
      <c r="O179" s="50"/>
      <c r="P179" s="50"/>
      <c r="Q179" s="50"/>
      <c r="R179" s="50"/>
      <c r="S179" s="50"/>
      <c r="T179" s="50"/>
      <c r="U179" s="50"/>
      <c r="V179" s="50"/>
      <c r="W179" s="50"/>
      <c r="X179" s="50"/>
      <c r="Y179" s="50"/>
      <c r="Z179" s="50"/>
      <c r="AA179" s="50"/>
      <c r="AB179" s="1133"/>
      <c r="AC179" s="1133"/>
      <c r="AD179" s="50"/>
      <c r="AE179" s="50"/>
      <c r="AF179" s="50"/>
      <c r="AG179" s="50"/>
      <c r="AH179" s="50"/>
      <c r="AI179" s="50"/>
      <c r="AJ179" s="50"/>
      <c r="AK179" s="50"/>
      <c r="AL179" s="50"/>
      <c r="AM179" s="50"/>
      <c r="AN179" s="50"/>
      <c r="AO179" s="50"/>
      <c r="AP179" s="50"/>
      <c r="AQ179" s="50"/>
      <c r="AR179" s="50"/>
      <c r="AS179" s="50"/>
    </row>
    <row r="180" spans="1:45" hidden="1" x14ac:dyDescent="0.25">
      <c r="A180" s="50"/>
      <c r="B180" s="50"/>
      <c r="C180" s="50"/>
      <c r="D180" s="50"/>
      <c r="E180" s="50"/>
      <c r="F180" s="50"/>
      <c r="G180" s="50"/>
      <c r="H180" s="50"/>
      <c r="I180" s="50"/>
      <c r="J180" s="50"/>
      <c r="K180" s="50"/>
      <c r="L180" s="50"/>
      <c r="M180" s="50"/>
      <c r="N180" s="1149"/>
      <c r="O180" s="50"/>
      <c r="P180" s="50"/>
      <c r="Q180" s="50"/>
      <c r="R180" s="50"/>
      <c r="S180" s="50"/>
      <c r="T180" s="50"/>
      <c r="U180" s="50"/>
      <c r="V180" s="50"/>
      <c r="W180" s="50"/>
      <c r="X180" s="50"/>
      <c r="Y180" s="50"/>
      <c r="Z180" s="50"/>
      <c r="AA180" s="50"/>
      <c r="AB180" s="1133"/>
      <c r="AC180" s="1133"/>
      <c r="AD180" s="50"/>
      <c r="AE180" s="50"/>
      <c r="AF180" s="50"/>
      <c r="AG180" s="50"/>
      <c r="AH180" s="50"/>
      <c r="AI180" s="50"/>
      <c r="AJ180" s="50"/>
      <c r="AK180" s="50"/>
      <c r="AL180" s="50"/>
      <c r="AM180" s="50"/>
      <c r="AN180" s="50"/>
      <c r="AO180" s="50"/>
      <c r="AP180" s="50"/>
      <c r="AQ180" s="50"/>
      <c r="AR180" s="50"/>
      <c r="AS180" s="50"/>
    </row>
  </sheetData>
  <sheetProtection password="ECB1" sheet="1" objects="1" scenarios="1"/>
  <mergeCells count="106">
    <mergeCell ref="D103:D104"/>
    <mergeCell ref="E16:E17"/>
    <mergeCell ref="G89:J90"/>
    <mergeCell ref="L44:L47"/>
    <mergeCell ref="F1:H1"/>
    <mergeCell ref="E76:E77"/>
    <mergeCell ref="L76:L77"/>
    <mergeCell ref="K58:K59"/>
    <mergeCell ref="F76:F77"/>
    <mergeCell ref="G76:G77"/>
    <mergeCell ref="H76:H77"/>
    <mergeCell ref="I76:I77"/>
    <mergeCell ref="J76:J77"/>
    <mergeCell ref="K76:K77"/>
    <mergeCell ref="F58:F59"/>
    <mergeCell ref="G58:G59"/>
    <mergeCell ref="G22:G24"/>
    <mergeCell ref="J78:J79"/>
    <mergeCell ref="K78:K79"/>
    <mergeCell ref="L78:L79"/>
    <mergeCell ref="H58:H59"/>
    <mergeCell ref="I58:I59"/>
    <mergeCell ref="D88:J88"/>
    <mergeCell ref="B84:K84"/>
    <mergeCell ref="AB2:AC2"/>
    <mergeCell ref="F69:F71"/>
    <mergeCell ref="G69:G71"/>
    <mergeCell ref="H69:H71"/>
    <mergeCell ref="I69:I71"/>
    <mergeCell ref="J69:J71"/>
    <mergeCell ref="K69:K71"/>
    <mergeCell ref="F64:F66"/>
    <mergeCell ref="G64:G66"/>
    <mergeCell ref="H64:H66"/>
    <mergeCell ref="I64:I66"/>
    <mergeCell ref="J64:J66"/>
    <mergeCell ref="K64:K66"/>
    <mergeCell ref="F22:F24"/>
    <mergeCell ref="L28:L31"/>
    <mergeCell ref="B83:K83"/>
    <mergeCell ref="E57:E58"/>
    <mergeCell ref="L57:L58"/>
    <mergeCell ref="E63:E66"/>
    <mergeCell ref="L68:L71"/>
    <mergeCell ref="L63:L66"/>
    <mergeCell ref="X3:Y3"/>
    <mergeCell ref="C2:D2"/>
    <mergeCell ref="R3:S3"/>
    <mergeCell ref="O3:Q3"/>
    <mergeCell ref="T3:U3"/>
    <mergeCell ref="V3:W3"/>
    <mergeCell ref="V2:W2"/>
    <mergeCell ref="R2:S2"/>
    <mergeCell ref="T2:U2"/>
    <mergeCell ref="O2:Q2"/>
    <mergeCell ref="X2:Y2"/>
    <mergeCell ref="D3:L3"/>
    <mergeCell ref="L21:L24"/>
    <mergeCell ref="G99:J99"/>
    <mergeCell ref="G100:J100"/>
    <mergeCell ref="D95:J95"/>
    <mergeCell ref="G29:G31"/>
    <mergeCell ref="H29:H31"/>
    <mergeCell ref="I29:I31"/>
    <mergeCell ref="E68:E71"/>
    <mergeCell ref="F34:F35"/>
    <mergeCell ref="F29:F31"/>
    <mergeCell ref="H34:H35"/>
    <mergeCell ref="I34:I35"/>
    <mergeCell ref="J34:J35"/>
    <mergeCell ref="G34:G35"/>
    <mergeCell ref="J29:J31"/>
    <mergeCell ref="G98:J98"/>
    <mergeCell ref="E34:E35"/>
    <mergeCell ref="E28:E31"/>
    <mergeCell ref="G87:J87"/>
    <mergeCell ref="J58:J59"/>
    <mergeCell ref="E78:E79"/>
    <mergeCell ref="F78:F79"/>
    <mergeCell ref="G78:G79"/>
    <mergeCell ref="H78:H79"/>
    <mergeCell ref="I78:I79"/>
    <mergeCell ref="AV3:BB3"/>
    <mergeCell ref="B1:D1"/>
    <mergeCell ref="B82:K82"/>
    <mergeCell ref="E21:E24"/>
    <mergeCell ref="L8:L11"/>
    <mergeCell ref="E8:E12"/>
    <mergeCell ref="F9:F11"/>
    <mergeCell ref="G9:G11"/>
    <mergeCell ref="H9:H11"/>
    <mergeCell ref="I9:I11"/>
    <mergeCell ref="J9:J11"/>
    <mergeCell ref="K9:K11"/>
    <mergeCell ref="J22:J24"/>
    <mergeCell ref="K29:K31"/>
    <mergeCell ref="K22:K24"/>
    <mergeCell ref="I22:I24"/>
    <mergeCell ref="E14:E15"/>
    <mergeCell ref="L49:L52"/>
    <mergeCell ref="H22:H24"/>
    <mergeCell ref="L34:L35"/>
    <mergeCell ref="K34:K35"/>
    <mergeCell ref="C4:D4"/>
    <mergeCell ref="D5:L5"/>
    <mergeCell ref="F4:K4"/>
  </mergeCells>
  <conditionalFormatting sqref="D26">
    <cfRule type="expression" dxfId="146" priority="143">
      <formula>$AA$26=0</formula>
    </cfRule>
  </conditionalFormatting>
  <conditionalFormatting sqref="D14:D15">
    <cfRule type="expression" dxfId="145" priority="144">
      <formula>$AA$14=0</formula>
    </cfRule>
  </conditionalFormatting>
  <conditionalFormatting sqref="D12">
    <cfRule type="expression" dxfId="144" priority="145">
      <formula>$AA$12=0</formula>
    </cfRule>
  </conditionalFormatting>
  <conditionalFormatting sqref="D9:D11 D22:D24 D29:D31 D64:D66 D69:D71 D37 D75">
    <cfRule type="expression" dxfId="143" priority="146">
      <formula>$AA9=0</formula>
    </cfRule>
  </conditionalFormatting>
  <conditionalFormatting sqref="D41 D43">
    <cfRule type="expression" dxfId="142" priority="149">
      <formula>$AA$41=0</formula>
    </cfRule>
  </conditionalFormatting>
  <conditionalFormatting sqref="D76:D77">
    <cfRule type="expression" dxfId="141" priority="150">
      <formula>$AA$76=0</formula>
    </cfRule>
  </conditionalFormatting>
  <conditionalFormatting sqref="D80">
    <cfRule type="expression" dxfId="140" priority="151">
      <formula>$AA$80=0</formula>
    </cfRule>
  </conditionalFormatting>
  <conditionalFormatting sqref="D38">
    <cfRule type="expression" dxfId="139" priority="167">
      <formula>$AA$39=0</formula>
    </cfRule>
  </conditionalFormatting>
  <conditionalFormatting sqref="D44">
    <cfRule type="expression" dxfId="138" priority="168">
      <formula>$AA$44=0</formula>
    </cfRule>
  </conditionalFormatting>
  <conditionalFormatting sqref="D57">
    <cfRule type="expression" dxfId="137" priority="169">
      <formula>$AA$57=0</formula>
    </cfRule>
  </conditionalFormatting>
  <conditionalFormatting sqref="A2">
    <cfRule type="expression" dxfId="136" priority="170">
      <formula>$AD$6&gt;=1</formula>
    </cfRule>
  </conditionalFormatting>
  <conditionalFormatting sqref="D58">
    <cfRule type="expression" dxfId="135" priority="171">
      <formula>$AA$58=0</formula>
    </cfRule>
  </conditionalFormatting>
  <conditionalFormatting sqref="D45">
    <cfRule type="expression" dxfId="134" priority="172">
      <formula>$AA$45=0</formula>
    </cfRule>
  </conditionalFormatting>
  <conditionalFormatting sqref="D46">
    <cfRule type="expression" dxfId="133" priority="173">
      <formula>$AA$46=0</formula>
    </cfRule>
  </conditionalFormatting>
  <conditionalFormatting sqref="D47">
    <cfRule type="expression" dxfId="132" priority="174">
      <formula>$AA$47=0</formula>
    </cfRule>
  </conditionalFormatting>
  <conditionalFormatting sqref="D50">
    <cfRule type="expression" dxfId="131" priority="175">
      <formula>$AA$50=0</formula>
    </cfRule>
  </conditionalFormatting>
  <conditionalFormatting sqref="D51">
    <cfRule type="expression" dxfId="130" priority="176">
      <formula>$AA$51=0</formula>
    </cfRule>
  </conditionalFormatting>
  <conditionalFormatting sqref="D52">
    <cfRule type="expression" dxfId="129" priority="177">
      <formula>$AA$52=0</formula>
    </cfRule>
  </conditionalFormatting>
  <conditionalFormatting sqref="D36">
    <cfRule type="expression" dxfId="128" priority="178">
      <formula>$AA$36=0</formula>
    </cfRule>
  </conditionalFormatting>
  <conditionalFormatting sqref="I9 K9 G9 F9">
    <cfRule type="expression" dxfId="127" priority="179">
      <formula>$AB$9=1</formula>
    </cfRule>
  </conditionalFormatting>
  <conditionalFormatting sqref="G12 I12 K12 F12">
    <cfRule type="expression" dxfId="126" priority="182">
      <formula>$AB$12=1</formula>
    </cfRule>
  </conditionalFormatting>
  <conditionalFormatting sqref="I15 K15 F15:G15">
    <cfRule type="expression" dxfId="125" priority="185">
      <formula>$AB$15=1</formula>
    </cfRule>
  </conditionalFormatting>
  <conditionalFormatting sqref="I22 K22 F22:G22">
    <cfRule type="expression" dxfId="124" priority="188">
      <formula>$AB$22=1</formula>
    </cfRule>
  </conditionalFormatting>
  <conditionalFormatting sqref="I26:K26">
    <cfRule type="expression" dxfId="123" priority="191">
      <formula>$AB$26=1</formula>
    </cfRule>
  </conditionalFormatting>
  <conditionalFormatting sqref="I29 K29 F29:G29">
    <cfRule type="expression" dxfId="122" priority="192">
      <formula>$AB$29=1</formula>
    </cfRule>
  </conditionalFormatting>
  <conditionalFormatting sqref="K64 I64 F64:G64">
    <cfRule type="expression" dxfId="121" priority="195">
      <formula>$AB$64=1</formula>
    </cfRule>
  </conditionalFormatting>
  <conditionalFormatting sqref="I69 F69:G69 K69">
    <cfRule type="expression" dxfId="120" priority="198">
      <formula>$AB$69=1</formula>
    </cfRule>
  </conditionalFormatting>
  <conditionalFormatting sqref="I34 K34 F34:G34">
    <cfRule type="expression" dxfId="119" priority="201">
      <formula>$AB$34=1</formula>
    </cfRule>
  </conditionalFormatting>
  <conditionalFormatting sqref="I36:K36 F36:G36">
    <cfRule type="expression" dxfId="118" priority="207">
      <formula>$AB$36=1</formula>
    </cfRule>
  </conditionalFormatting>
  <conditionalFormatting sqref="I37:K37 F37:G37">
    <cfRule type="expression" dxfId="117" priority="208">
      <formula>$AB$37=1</formula>
    </cfRule>
  </conditionalFormatting>
  <conditionalFormatting sqref="F39:G39 I39 K39">
    <cfRule type="expression" dxfId="116" priority="209">
      <formula>$AB$39=1</formula>
    </cfRule>
  </conditionalFormatting>
  <conditionalFormatting sqref="F40:G40">
    <cfRule type="expression" dxfId="115" priority="212">
      <formula>$AB$40=1</formula>
    </cfRule>
  </conditionalFormatting>
  <conditionalFormatting sqref="I41:K41 F41:G41">
    <cfRule type="expression" dxfId="114" priority="215">
      <formula>$AB$41=1</formula>
    </cfRule>
  </conditionalFormatting>
  <conditionalFormatting sqref="F57:G57 I57:K57">
    <cfRule type="expression" dxfId="113" priority="216">
      <formula>$AB$57=1</formula>
    </cfRule>
  </conditionalFormatting>
  <conditionalFormatting sqref="F58:G59 I58:K58">
    <cfRule type="expression" dxfId="112" priority="217">
      <formula>$AB$58=1</formula>
    </cfRule>
  </conditionalFormatting>
  <conditionalFormatting sqref="I60:K60">
    <cfRule type="expression" dxfId="111" priority="218">
      <formula>$AB$60=1</formula>
    </cfRule>
  </conditionalFormatting>
  <conditionalFormatting sqref="I75 K75 F75:G75">
    <cfRule type="expression" dxfId="110" priority="219">
      <formula>$AB$75=1</formula>
    </cfRule>
  </conditionalFormatting>
  <conditionalFormatting sqref="I76:I77 K76:K77">
    <cfRule type="expression" dxfId="109" priority="222">
      <formula>$AB$76=1</formula>
    </cfRule>
  </conditionalFormatting>
  <conditionalFormatting sqref="F76:G77">
    <cfRule type="expression" dxfId="108" priority="225">
      <formula>$AB$76=1</formula>
    </cfRule>
  </conditionalFormatting>
  <conditionalFormatting sqref="I80 K80">
    <cfRule type="expression" dxfId="107" priority="228">
      <formula>$AB$80=1</formula>
    </cfRule>
  </conditionalFormatting>
  <conditionalFormatting sqref="F54:G54 I54:K54">
    <cfRule type="expression" dxfId="106" priority="229">
      <formula>$AB$54=1</formula>
    </cfRule>
  </conditionalFormatting>
  <conditionalFormatting sqref="I50:K50 F50:G50">
    <cfRule type="expression" dxfId="105" priority="230">
      <formula>$AB$50=1</formula>
    </cfRule>
  </conditionalFormatting>
  <conditionalFormatting sqref="F52:G52 I52:K52">
    <cfRule type="expression" dxfId="104" priority="231">
      <formula>$AB52=1</formula>
    </cfRule>
  </conditionalFormatting>
  <conditionalFormatting sqref="G80">
    <cfRule type="expression" dxfId="103" priority="36">
      <formula>$AB$80=1</formula>
    </cfRule>
  </conditionalFormatting>
  <conditionalFormatting sqref="F69">
    <cfRule type="expression" dxfId="102" priority="35">
      <formula>$AB$69=1</formula>
    </cfRule>
  </conditionalFormatting>
  <conditionalFormatting sqref="K40">
    <cfRule type="expression" dxfId="101" priority="34">
      <formula>$AB$40=1</formula>
    </cfRule>
  </conditionalFormatting>
  <conditionalFormatting sqref="I40">
    <cfRule type="expression" dxfId="100" priority="33">
      <formula>$AB$40=1</formula>
    </cfRule>
  </conditionalFormatting>
  <conditionalFormatting sqref="D43">
    <cfRule type="expression" dxfId="99" priority="27">
      <formula>$AB$41=0</formula>
    </cfRule>
    <cfRule type="expression" dxfId="98" priority="32">
      <formula>$AB$41=1</formula>
    </cfRule>
  </conditionalFormatting>
  <conditionalFormatting sqref="D42">
    <cfRule type="expression" dxfId="97" priority="28">
      <formula>$AB$41=0</formula>
    </cfRule>
    <cfRule type="expression" dxfId="96" priority="30">
      <formula>$AA$41=0</formula>
    </cfRule>
  </conditionalFormatting>
  <conditionalFormatting sqref="D35">
    <cfRule type="expression" dxfId="95" priority="26">
      <formula>$AB$34=0</formula>
    </cfRule>
  </conditionalFormatting>
  <conditionalFormatting sqref="D40">
    <cfRule type="expression" dxfId="94" priority="25">
      <formula>$AA$39=0</formula>
    </cfRule>
  </conditionalFormatting>
  <conditionalFormatting sqref="D54">
    <cfRule type="expression" dxfId="93" priority="24">
      <formula>$AA$54=0</formula>
    </cfRule>
  </conditionalFormatting>
  <conditionalFormatting sqref="F80">
    <cfRule type="expression" dxfId="92" priority="23">
      <formula>$AB$80=1</formula>
    </cfRule>
  </conditionalFormatting>
  <conditionalFormatting sqref="F51:G51 I51:K51">
    <cfRule type="expression" dxfId="91" priority="22">
      <formula>$AB$51=1</formula>
    </cfRule>
  </conditionalFormatting>
  <conditionalFormatting sqref="F47:G47 I47:K47">
    <cfRule type="expression" dxfId="90" priority="21">
      <formula>$AB$47=1</formula>
    </cfRule>
  </conditionalFormatting>
  <conditionalFormatting sqref="F46:G46 I46:K46">
    <cfRule type="expression" dxfId="89" priority="20">
      <formula>$AB$46=1</formula>
    </cfRule>
  </conditionalFormatting>
  <conditionalFormatting sqref="F45:G45 I45:K45">
    <cfRule type="expression" dxfId="88" priority="19">
      <formula>$AB$45=1</formula>
    </cfRule>
  </conditionalFormatting>
  <conditionalFormatting sqref="D16:D17">
    <cfRule type="expression" dxfId="87" priority="8">
      <formula>$AA$14=0</formula>
    </cfRule>
  </conditionalFormatting>
  <conditionalFormatting sqref="I17 K17 F17:G17">
    <cfRule type="expression" dxfId="86" priority="9">
      <formula>$AB$15=1</formula>
    </cfRule>
  </conditionalFormatting>
  <conditionalFormatting sqref="D78:D79">
    <cfRule type="expression" dxfId="85" priority="5">
      <formula>$AA$76=0</formula>
    </cfRule>
  </conditionalFormatting>
  <conditionalFormatting sqref="I78:I79 K78:K79">
    <cfRule type="expression" dxfId="84" priority="6">
      <formula>$AB$76=1</formula>
    </cfRule>
  </conditionalFormatting>
  <conditionalFormatting sqref="F78:G79">
    <cfRule type="expression" dxfId="83" priority="7">
      <formula>$AB$76=1</formula>
    </cfRule>
  </conditionalFormatting>
  <conditionalFormatting sqref="F13">
    <cfRule type="expression" dxfId="82" priority="3">
      <formula>$AB$15=1</formula>
    </cfRule>
  </conditionalFormatting>
  <conditionalFormatting sqref="G13">
    <cfRule type="expression" dxfId="81" priority="2">
      <formula>$AB$12=1</formula>
    </cfRule>
  </conditionalFormatting>
  <conditionalFormatting sqref="I13 K13">
    <cfRule type="expression" dxfId="80" priority="1">
      <formula>$AB$12=1</formula>
    </cfRule>
  </conditionalFormatting>
  <dataValidations count="10">
    <dataValidation type="list" allowBlank="1" showInputMessage="1" showErrorMessage="1" sqref="D10">
      <formula1>materials</formula1>
    </dataValidation>
    <dataValidation type="list" allowBlank="1" showInputMessage="1" showErrorMessage="1" sqref="D71 D24 D31 D66">
      <formula1>layer</formula1>
    </dataValidation>
    <dataValidation type="list" allowBlank="1" showInputMessage="1" showErrorMessage="1" sqref="D23 D30 D65">
      <formula1>AtticMat</formula1>
    </dataValidation>
    <dataValidation type="list" allowBlank="1" showInputMessage="1" showErrorMessage="1" sqref="D15">
      <formula1>Windows</formula1>
    </dataValidation>
    <dataValidation type="list" allowBlank="1" showInputMessage="1" showErrorMessage="1" sqref="D77">
      <formula1>LampsNew</formula1>
    </dataValidation>
    <dataValidation type="list" allowBlank="1" showInputMessage="1" showErrorMessage="1" sqref="D35">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70">
      <formula1>CellarMat</formula1>
    </dataValidation>
    <dataValidation type="list" allowBlank="1" showInputMessage="1" showErrorMessage="1" sqref="D79">
      <formula1>ОсвНар</formula1>
    </dataValidation>
    <dataValidation type="list" allowBlank="1" showInputMessage="1" showErrorMessage="1" sqref="D17">
      <formula1>AptWindow</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25</xdr:row>
                    <xdr:rowOff>161925</xdr:rowOff>
                  </from>
                  <to>
                    <xdr:col>2</xdr:col>
                    <xdr:colOff>314325</xdr:colOff>
                    <xdr:row>25</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342900</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74</xdr:row>
                    <xdr:rowOff>304800</xdr:rowOff>
                  </from>
                  <to>
                    <xdr:col>2</xdr:col>
                    <xdr:colOff>342900</xdr:colOff>
                    <xdr:row>74</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33</xdr:row>
                    <xdr:rowOff>180975</xdr:rowOff>
                  </from>
                  <to>
                    <xdr:col>2</xdr:col>
                    <xdr:colOff>314325</xdr:colOff>
                    <xdr:row>33</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35</xdr:row>
                    <xdr:rowOff>200025</xdr:rowOff>
                  </from>
                  <to>
                    <xdr:col>2</xdr:col>
                    <xdr:colOff>342900</xdr:colOff>
                    <xdr:row>35</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38</xdr:row>
                    <xdr:rowOff>104775</xdr:rowOff>
                  </from>
                  <to>
                    <xdr:col>2</xdr:col>
                    <xdr:colOff>371475</xdr:colOff>
                    <xdr:row>38</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75</xdr:row>
                    <xdr:rowOff>219075</xdr:rowOff>
                  </from>
                  <to>
                    <xdr:col>2</xdr:col>
                    <xdr:colOff>342900</xdr:colOff>
                    <xdr:row>75</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79</xdr:row>
                    <xdr:rowOff>28575</xdr:rowOff>
                  </from>
                  <to>
                    <xdr:col>2</xdr:col>
                    <xdr:colOff>342900</xdr:colOff>
                    <xdr:row>80</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43</xdr:row>
                    <xdr:rowOff>581025</xdr:rowOff>
                  </from>
                  <to>
                    <xdr:col>2</xdr:col>
                    <xdr:colOff>371475</xdr:colOff>
                    <xdr:row>45</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36</xdr:row>
                    <xdr:rowOff>161925</xdr:rowOff>
                  </from>
                  <to>
                    <xdr:col>2</xdr:col>
                    <xdr:colOff>342900</xdr:colOff>
                    <xdr:row>36</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39</xdr:row>
                    <xdr:rowOff>552450</xdr:rowOff>
                  </from>
                  <to>
                    <xdr:col>2</xdr:col>
                    <xdr:colOff>342900</xdr:colOff>
                    <xdr:row>39</xdr:row>
                    <xdr:rowOff>1009650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40</xdr:row>
                    <xdr:rowOff>209550</xdr:rowOff>
                  </from>
                  <to>
                    <xdr:col>2</xdr:col>
                    <xdr:colOff>314325</xdr:colOff>
                    <xdr:row>40</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56</xdr:row>
                    <xdr:rowOff>209550</xdr:rowOff>
                  </from>
                  <to>
                    <xdr:col>2</xdr:col>
                    <xdr:colOff>342900</xdr:colOff>
                    <xdr:row>57</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57</xdr:row>
                    <xdr:rowOff>66675</xdr:rowOff>
                  </from>
                  <to>
                    <xdr:col>3</xdr:col>
                    <xdr:colOff>0</xdr:colOff>
                    <xdr:row>57</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47625</xdr:colOff>
                    <xdr:row>48</xdr:row>
                    <xdr:rowOff>742950</xdr:rowOff>
                  </from>
                  <to>
                    <xdr:col>2</xdr:col>
                    <xdr:colOff>323850</xdr:colOff>
                    <xdr:row>50</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53</xdr:row>
                    <xdr:rowOff>123825</xdr:rowOff>
                  </from>
                  <to>
                    <xdr:col>2</xdr:col>
                    <xdr:colOff>381000</xdr:colOff>
                    <xdr:row>54</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47625</xdr:colOff>
                    <xdr:row>50</xdr:row>
                    <xdr:rowOff>0</xdr:rowOff>
                  </from>
                  <to>
                    <xdr:col>3</xdr:col>
                    <xdr:colOff>9525</xdr:colOff>
                    <xdr:row>50</xdr:row>
                    <xdr:rowOff>228600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47625</xdr:colOff>
                    <xdr:row>51</xdr:row>
                    <xdr:rowOff>19050</xdr:rowOff>
                  </from>
                  <to>
                    <xdr:col>2</xdr:col>
                    <xdr:colOff>381000</xdr:colOff>
                    <xdr:row>52</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45</xdr:row>
                    <xdr:rowOff>28575</xdr:rowOff>
                  </from>
                  <to>
                    <xdr:col>2</xdr:col>
                    <xdr:colOff>390525</xdr:colOff>
                    <xdr:row>46</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46</xdr:row>
                    <xdr:rowOff>0</xdr:rowOff>
                  </from>
                  <to>
                    <xdr:col>3</xdr:col>
                    <xdr:colOff>0</xdr:colOff>
                    <xdr:row>47</xdr:row>
                    <xdr:rowOff>38100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8</xdr:row>
                    <xdr:rowOff>9525</xdr:rowOff>
                  </from>
                  <to>
                    <xdr:col>3</xdr:col>
                    <xdr:colOff>9525</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20</xdr:row>
                    <xdr:rowOff>295275</xdr:rowOff>
                  </from>
                  <to>
                    <xdr:col>2</xdr:col>
                    <xdr:colOff>381000</xdr:colOff>
                    <xdr:row>22</xdr:row>
                    <xdr:rowOff>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27</xdr:row>
                    <xdr:rowOff>285750</xdr:rowOff>
                  </from>
                  <to>
                    <xdr:col>2</xdr:col>
                    <xdr:colOff>361950</xdr:colOff>
                    <xdr:row>29</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62</xdr:row>
                    <xdr:rowOff>200025</xdr:rowOff>
                  </from>
                  <to>
                    <xdr:col>2</xdr:col>
                    <xdr:colOff>342900</xdr:colOff>
                    <xdr:row>64</xdr:row>
                    <xdr:rowOff>9525</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68</xdr:row>
                    <xdr:rowOff>9525</xdr:rowOff>
                  </from>
                  <to>
                    <xdr:col>3</xdr:col>
                    <xdr:colOff>0</xdr:colOff>
                    <xdr:row>69</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59</xdr:row>
                    <xdr:rowOff>85725</xdr:rowOff>
                  </from>
                  <to>
                    <xdr:col>2</xdr:col>
                    <xdr:colOff>381000</xdr:colOff>
                    <xdr:row>59</xdr:row>
                    <xdr:rowOff>342900</xdr:rowOff>
                  </to>
                </anchor>
              </controlPr>
            </control>
          </mc:Choice>
        </mc:AlternateContent>
        <mc:AlternateContent xmlns:mc="http://schemas.openxmlformats.org/markup-compatibility/2006">
          <mc:Choice Requires="x14">
            <control shapeId="11349" r:id="rId33" name="Check Box 85">
              <controlPr defaultSize="0" autoFill="0" autoLine="0" autoPict="0">
                <anchor moveWithCells="1">
                  <from>
                    <xdr:col>2</xdr:col>
                    <xdr:colOff>95250</xdr:colOff>
                    <xdr:row>15</xdr:row>
                    <xdr:rowOff>76200</xdr:rowOff>
                  </from>
                  <to>
                    <xdr:col>3</xdr:col>
                    <xdr:colOff>9525</xdr:colOff>
                    <xdr:row>15</xdr:row>
                    <xdr:rowOff>323850</xdr:rowOff>
                  </to>
                </anchor>
              </controlPr>
            </control>
          </mc:Choice>
        </mc:AlternateContent>
        <mc:AlternateContent xmlns:mc="http://schemas.openxmlformats.org/markup-compatibility/2006">
          <mc:Choice Requires="x14">
            <control shapeId="11350" r:id="rId34" name="Check Box 86">
              <controlPr defaultSize="0" autoFill="0" autoLine="0" autoPict="0">
                <anchor moveWithCells="1">
                  <from>
                    <xdr:col>2</xdr:col>
                    <xdr:colOff>47625</xdr:colOff>
                    <xdr:row>77</xdr:row>
                    <xdr:rowOff>104775</xdr:rowOff>
                  </from>
                  <to>
                    <xdr:col>2</xdr:col>
                    <xdr:colOff>342900</xdr:colOff>
                    <xdr:row>77</xdr:row>
                    <xdr:rowOff>381000</xdr:rowOff>
                  </to>
                </anchor>
              </controlPr>
            </control>
          </mc:Choice>
        </mc:AlternateContent>
        <mc:AlternateContent xmlns:mc="http://schemas.openxmlformats.org/markup-compatibility/2006">
          <mc:Choice Requires="x14">
            <control shapeId="11352" r:id="rId35" name="Check Box 88">
              <controlPr defaultSize="0" autoFill="0" autoLine="0" autoPict="0">
                <anchor moveWithCells="1">
                  <from>
                    <xdr:col>2</xdr:col>
                    <xdr:colOff>66675</xdr:colOff>
                    <xdr:row>12</xdr:row>
                    <xdr:rowOff>0</xdr:rowOff>
                  </from>
                  <to>
                    <xdr:col>2</xdr:col>
                    <xdr:colOff>381000</xdr:colOff>
                    <xdr:row>12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21E9119C-50D4-49F7-BB9A-3C5A296BD85A}">
            <xm:f>'классы ЭЭ и выбросы ПГ'!$E$34=1</xm:f>
            <x14:dxf>
              <fill>
                <patternFill>
                  <bgColor theme="1"/>
                </patternFill>
              </fill>
            </x14:dxf>
          </x14:cfRule>
          <xm:sqref>D113</xm:sqref>
        </x14:conditionalFormatting>
        <x14:conditionalFormatting xmlns:xm="http://schemas.microsoft.com/office/excel/2006/main">
          <x14:cfRule type="expression" priority="18" id="{45D87F57-FBB2-4D06-BCCE-1682F017814B}">
            <xm:f>'классы ЭЭ и выбросы ПГ'!$E$26=1</xm:f>
            <x14:dxf>
              <fill>
                <patternFill>
                  <bgColor theme="1"/>
                </patternFill>
              </fill>
            </x14:dxf>
          </x14:cfRule>
          <xm:sqref>D105</xm:sqref>
        </x14:conditionalFormatting>
        <x14:conditionalFormatting xmlns:xm="http://schemas.microsoft.com/office/excel/2006/main">
          <x14:cfRule type="expression" priority="17" id="{EBB0DB20-82B8-4630-AD5A-B2F9B32ABB4C}">
            <xm:f>'классы ЭЭ и выбросы ПГ'!$E$27=1</xm:f>
            <x14:dxf>
              <fill>
                <patternFill>
                  <bgColor theme="1"/>
                </patternFill>
              </fill>
            </x14:dxf>
          </x14:cfRule>
          <xm:sqref>D106</xm:sqref>
        </x14:conditionalFormatting>
        <x14:conditionalFormatting xmlns:xm="http://schemas.microsoft.com/office/excel/2006/main">
          <x14:cfRule type="expression" priority="16" id="{F90D870B-CDE7-4C8A-9882-5C28906CB3FB}">
            <xm:f>'классы ЭЭ и выбросы ПГ'!$E$28=1</xm:f>
            <x14:dxf>
              <fill>
                <patternFill>
                  <bgColor theme="1"/>
                </patternFill>
              </fill>
            </x14:dxf>
          </x14:cfRule>
          <xm:sqref>D107</xm:sqref>
        </x14:conditionalFormatting>
        <x14:conditionalFormatting xmlns:xm="http://schemas.microsoft.com/office/excel/2006/main">
          <x14:cfRule type="expression" priority="15" id="{1B6FA087-F69C-4D79-BD18-C535927F24CC}">
            <xm:f>'классы ЭЭ и выбросы ПГ'!$E$29=1</xm:f>
            <x14:dxf>
              <fill>
                <patternFill>
                  <bgColor theme="1"/>
                </patternFill>
              </fill>
            </x14:dxf>
          </x14:cfRule>
          <xm:sqref>D108</xm:sqref>
        </x14:conditionalFormatting>
        <x14:conditionalFormatting xmlns:xm="http://schemas.microsoft.com/office/excel/2006/main">
          <x14:cfRule type="expression" priority="14" id="{5E3BABD3-6134-49D6-BA64-C020AB783B92}">
            <xm:f>'классы ЭЭ и выбросы ПГ'!$E$30=1</xm:f>
            <x14:dxf>
              <fill>
                <patternFill>
                  <bgColor theme="1"/>
                </patternFill>
              </fill>
            </x14:dxf>
          </x14:cfRule>
          <xm:sqref>D109</xm:sqref>
        </x14:conditionalFormatting>
        <x14:conditionalFormatting xmlns:xm="http://schemas.microsoft.com/office/excel/2006/main">
          <x14:cfRule type="expression" priority="13" id="{3465B050-C3D2-4632-B628-BE1342CA1E09}">
            <xm:f>'классы ЭЭ и выбросы ПГ'!$E$31=1</xm:f>
            <x14:dxf>
              <fill>
                <patternFill>
                  <bgColor theme="1"/>
                </patternFill>
              </fill>
            </x14:dxf>
          </x14:cfRule>
          <xm:sqref>D110</xm:sqref>
        </x14:conditionalFormatting>
        <x14:conditionalFormatting xmlns:xm="http://schemas.microsoft.com/office/excel/2006/main">
          <x14:cfRule type="expression" priority="12" id="{91E75960-4828-46AF-88CD-9A58B43320C2}">
            <xm:f>'классы ЭЭ и выбросы ПГ'!$E$32=1</xm:f>
            <x14:dxf>
              <fill>
                <patternFill>
                  <bgColor theme="1"/>
                </patternFill>
              </fill>
            </x14:dxf>
          </x14:cfRule>
          <xm:sqref>D111</xm:sqref>
        </x14:conditionalFormatting>
        <x14:conditionalFormatting xmlns:xm="http://schemas.microsoft.com/office/excel/2006/main">
          <x14:cfRule type="expression" priority="11" id="{F5D97D1D-4E93-4C8F-B2F7-760ADE5591AB}">
            <xm:f>'классы ЭЭ и выбросы ПГ'!$E$33=1</xm:f>
            <x14:dxf>
              <fill>
                <patternFill>
                  <bgColor theme="1"/>
                </patternFill>
              </fill>
            </x14:dxf>
          </x14:cfRule>
          <xm:sqref>D112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FFFF00"/>
    <pageSetUpPr fitToPage="1"/>
  </sheetPr>
  <dimension ref="A1:V235"/>
  <sheetViews>
    <sheetView zoomScaleNormal="100" workbookViewId="0">
      <pane ySplit="1" topLeftCell="A2" activePane="bottomLeft" state="frozen"/>
      <selection pane="bottomLeft" activeCell="H17" sqref="H17:I17"/>
    </sheetView>
  </sheetViews>
  <sheetFormatPr defaultColWidth="0" defaultRowHeight="12.75" zeroHeight="1" x14ac:dyDescent="0.2"/>
  <cols>
    <col min="1" max="1" width="6.5703125" style="1716" customWidth="1"/>
    <col min="2" max="2" width="3.5703125" style="1716" bestFit="1" customWidth="1"/>
    <col min="3" max="3" width="9.7109375" style="1716" customWidth="1"/>
    <col min="4" max="14" width="12.85546875" style="1716" customWidth="1"/>
    <col min="15" max="19" width="9.140625" style="1716" customWidth="1"/>
    <col min="20" max="16384" width="9.140625" style="1716" hidden="1"/>
  </cols>
  <sheetData>
    <row r="1" spans="1:22" s="1713" customFormat="1" ht="15" customHeight="1" x14ac:dyDescent="0.2">
      <c r="A1" s="22"/>
      <c r="B1" s="2170" t="s">
        <v>1573</v>
      </c>
      <c r="C1" s="2170"/>
      <c r="D1" s="2170"/>
      <c r="E1" s="2170"/>
      <c r="F1" s="1712"/>
      <c r="G1" s="1712"/>
      <c r="H1" s="2178" t="s">
        <v>2404</v>
      </c>
      <c r="I1" s="2178"/>
      <c r="J1" s="2178"/>
      <c r="K1" s="2178"/>
      <c r="L1" s="1712"/>
      <c r="M1" s="1712"/>
      <c r="N1" s="2170" t="s">
        <v>1571</v>
      </c>
      <c r="O1" s="2170"/>
      <c r="P1" s="2170"/>
      <c r="Q1" s="2170"/>
      <c r="R1" s="2170"/>
      <c r="S1" s="1714"/>
      <c r="T1" s="1712"/>
      <c r="U1" s="1712"/>
      <c r="V1" s="1712"/>
    </row>
    <row r="2" spans="1:22" s="27" customFormat="1" x14ac:dyDescent="0.2">
      <c r="A2" s="263"/>
      <c r="B2" s="263"/>
      <c r="C2" s="263"/>
      <c r="D2" s="263"/>
      <c r="E2" s="263"/>
      <c r="F2" s="263"/>
      <c r="G2" s="2167" t="s">
        <v>1367</v>
      </c>
      <c r="H2" s="2168"/>
      <c r="I2" s="2168"/>
      <c r="J2" s="2168"/>
      <c r="K2" s="2168"/>
      <c r="L2" s="2169"/>
      <c r="M2" s="263"/>
      <c r="N2" s="263"/>
      <c r="O2" s="263"/>
      <c r="P2" s="263"/>
      <c r="Q2" s="263"/>
      <c r="R2" s="263"/>
      <c r="S2" s="263"/>
      <c r="T2" s="264"/>
      <c r="U2" s="264"/>
      <c r="V2" s="264"/>
    </row>
    <row r="3" spans="1:22" x14ac:dyDescent="0.2">
      <c r="A3" s="264"/>
      <c r="B3" s="264"/>
      <c r="C3" s="264"/>
      <c r="D3" s="264"/>
      <c r="E3" s="264"/>
      <c r="F3" s="264"/>
      <c r="G3" s="264"/>
      <c r="H3" s="264"/>
      <c r="I3" s="264"/>
      <c r="J3" s="264"/>
      <c r="K3" s="264"/>
      <c r="L3" s="264"/>
      <c r="M3" s="264"/>
      <c r="N3" s="264"/>
      <c r="O3" s="264"/>
      <c r="P3" s="264"/>
      <c r="Q3" s="264"/>
      <c r="R3" s="264"/>
      <c r="S3" s="264"/>
      <c r="T3" s="264"/>
      <c r="U3" s="264"/>
      <c r="V3" s="264"/>
    </row>
    <row r="4" spans="1:22" ht="15" customHeight="1" x14ac:dyDescent="0.2">
      <c r="A4" s="264"/>
      <c r="B4" s="2194" t="s">
        <v>2335</v>
      </c>
      <c r="C4" s="2195"/>
      <c r="D4" s="2195"/>
      <c r="E4" s="2195"/>
      <c r="F4" s="2195"/>
      <c r="G4" s="2195"/>
      <c r="H4" s="2196"/>
      <c r="I4" s="264"/>
      <c r="J4" s="264"/>
      <c r="K4" s="264"/>
      <c r="L4" s="264"/>
      <c r="M4" s="1232"/>
      <c r="N4" s="1232"/>
      <c r="O4" s="1232"/>
      <c r="P4" s="1232" t="s">
        <v>1663</v>
      </c>
      <c r="Q4" s="1232"/>
      <c r="R4" s="264"/>
      <c r="S4" s="264"/>
      <c r="T4" s="264"/>
      <c r="U4" s="264"/>
      <c r="V4" s="264"/>
    </row>
    <row r="5" spans="1:22" ht="30" customHeight="1" x14ac:dyDescent="0.2">
      <c r="A5" s="264"/>
      <c r="B5" s="2188" t="s">
        <v>2334</v>
      </c>
      <c r="C5" s="2189"/>
      <c r="D5" s="2189"/>
      <c r="E5" s="2189"/>
      <c r="F5" s="2189"/>
      <c r="G5" s="2190"/>
      <c r="H5" s="1717">
        <f>'Ввод исходных данных'!G56+'Ввод исходных данных'!D23</f>
        <v>0</v>
      </c>
      <c r="I5" s="264"/>
      <c r="J5" s="2279" t="s">
        <v>1664</v>
      </c>
      <c r="K5" s="2279"/>
      <c r="L5" s="264"/>
      <c r="M5" s="1232">
        <v>1</v>
      </c>
      <c r="N5" s="1233" t="e">
        <f ca="1">'Список мероприятий'!$W$9&amp;"/"&amp;'Список мероприятий'!$Y$9</f>
        <v>#DIV/0!</v>
      </c>
      <c r="O5" s="1232" t="str">
        <f ca="1">IFERROR(IF(P5=0,"","Повыш-е теплозащ. наружных стен"),"")</f>
        <v/>
      </c>
      <c r="P5" s="1234" t="e">
        <f ca="1">Q5/SUM($Q$5:$Q$29)</f>
        <v>#DIV/0!</v>
      </c>
      <c r="Q5" s="1232">
        <f ca="1">IFERROR(MID($N5,1,SEARCH("/",$N5)-1)*$H$23,0)+IFERROR(MID($N5,SEARCH("/",$N5)+1,LEN($N5))*$H$26,0)</f>
        <v>0</v>
      </c>
      <c r="R5" s="264"/>
      <c r="S5" s="264"/>
      <c r="T5" s="264"/>
      <c r="U5" s="264"/>
      <c r="V5" s="264"/>
    </row>
    <row r="6" spans="1:22" ht="15" customHeight="1" x14ac:dyDescent="0.2">
      <c r="A6" s="264"/>
      <c r="B6" s="2171" t="s">
        <v>2332</v>
      </c>
      <c r="C6" s="2172"/>
      <c r="D6" s="2172"/>
      <c r="E6" s="2172"/>
      <c r="F6" s="2172"/>
      <c r="G6" s="2173"/>
      <c r="H6" s="1758"/>
      <c r="I6" s="264"/>
      <c r="J6" s="2282" t="s">
        <v>1680</v>
      </c>
      <c r="K6" s="2283"/>
      <c r="L6" s="264"/>
      <c r="M6" s="1232">
        <v>2</v>
      </c>
      <c r="N6" s="1233" t="e">
        <f ca="1">'Список мероприятий'!$W$12&amp;"/"&amp;'Список мероприятий'!$Y$12</f>
        <v>#DIV/0!</v>
      </c>
      <c r="O6" s="1232" t="str">
        <f ca="1">IFERROR(IF(P6=0,"","Заделка и герметизация межпанельных соединений"),"")</f>
        <v/>
      </c>
      <c r="P6" s="1234" t="e">
        <f t="shared" ref="P6:P29" ca="1" si="0">Q6/SUM($Q$5:$Q$29)</f>
        <v>#DIV/0!</v>
      </c>
      <c r="Q6" s="1232">
        <f t="shared" ref="Q6:Q29" ca="1" si="1">IFERROR(MID($N6,1,SEARCH("/",$N6)-1)*$H$23,0)+IFERROR(MID($N6,SEARCH("/",$N6)+1,LEN($N6))*$H$26,0)</f>
        <v>0</v>
      </c>
      <c r="R6" s="264"/>
      <c r="S6" s="264"/>
      <c r="T6" s="264"/>
      <c r="U6" s="264"/>
      <c r="V6" s="264"/>
    </row>
    <row r="7" spans="1:22" ht="15" customHeight="1" x14ac:dyDescent="0.2">
      <c r="A7" s="264"/>
      <c r="B7" s="2171" t="s">
        <v>2333</v>
      </c>
      <c r="C7" s="2172"/>
      <c r="D7" s="2172"/>
      <c r="E7" s="2172"/>
      <c r="F7" s="2172"/>
      <c r="G7" s="2173"/>
      <c r="H7" s="1762"/>
      <c r="I7" s="264"/>
      <c r="J7" s="2174" t="s">
        <v>1375</v>
      </c>
      <c r="K7" s="2175"/>
      <c r="L7" s="264"/>
      <c r="M7" s="1232">
        <v>3</v>
      </c>
      <c r="N7" s="1233" t="e">
        <f ca="1">'Список мероприятий'!$W$13&amp;"/"&amp;'Список мероприятий'!$Y$13</f>
        <v>#DIV/0!</v>
      </c>
      <c r="O7" s="1232" t="str">
        <f ca="1">IFERROR(IF(P7=0,"","Установка отражающих экранов за радиаторами отопления в квартирах"),"")</f>
        <v/>
      </c>
      <c r="P7" s="1234" t="e">
        <f t="shared" ca="1" si="0"/>
        <v>#DIV/0!</v>
      </c>
      <c r="Q7" s="1232">
        <f t="shared" ca="1" si="1"/>
        <v>0</v>
      </c>
      <c r="R7" s="264"/>
      <c r="S7" s="264"/>
      <c r="T7" s="264"/>
      <c r="U7" s="264"/>
      <c r="V7" s="264"/>
    </row>
    <row r="8" spans="1:22" ht="15" customHeight="1" x14ac:dyDescent="0.2">
      <c r="A8" s="264"/>
      <c r="B8" s="2171" t="s">
        <v>2347</v>
      </c>
      <c r="C8" s="2172"/>
      <c r="D8" s="2172"/>
      <c r="E8" s="2172"/>
      <c r="F8" s="2172"/>
      <c r="G8" s="2173"/>
      <c r="H8" s="1763">
        <f>H6*H5*12*H7</f>
        <v>0</v>
      </c>
      <c r="I8" s="264"/>
      <c r="J8" s="2284" t="s">
        <v>1662</v>
      </c>
      <c r="K8" s="2285"/>
      <c r="L8" s="264"/>
      <c r="M8" s="1232">
        <v>4</v>
      </c>
      <c r="N8" s="1233" t="e">
        <f ca="1">'Список мероприятий'!$W$14&amp;"/"&amp;'Список мероприятий'!$Y$14</f>
        <v>#DIV/0!</v>
      </c>
      <c r="O8" s="1232" t="str">
        <f ca="1">IFERROR(IF(P8=0,"","Замена окон МОП"),"")</f>
        <v/>
      </c>
      <c r="P8" s="1234" t="e">
        <f t="shared" ca="1" si="0"/>
        <v>#DIV/0!</v>
      </c>
      <c r="Q8" s="1232">
        <f t="shared" ca="1" si="1"/>
        <v>0</v>
      </c>
      <c r="R8" s="264"/>
      <c r="S8" s="264"/>
      <c r="T8" s="264"/>
      <c r="U8" s="264"/>
      <c r="V8" s="264"/>
    </row>
    <row r="9" spans="1:22" ht="15" customHeight="1" x14ac:dyDescent="0.2">
      <c r="A9" s="264"/>
      <c r="B9" s="2191" t="s">
        <v>2348</v>
      </c>
      <c r="C9" s="2192"/>
      <c r="D9" s="2192"/>
      <c r="E9" s="2192"/>
      <c r="F9" s="2192"/>
      <c r="G9" s="2193"/>
      <c r="H9" s="1760"/>
      <c r="I9" s="264"/>
      <c r="J9" s="2176" t="s">
        <v>2403</v>
      </c>
      <c r="K9" s="2177"/>
      <c r="L9" s="264"/>
      <c r="M9" s="1232">
        <v>5</v>
      </c>
      <c r="N9" s="1233" t="e">
        <f ca="1">'Список мероприятий'!$W$16&amp;"/"&amp;'Список мероприятий'!$Y$16</f>
        <v>#DIV/0!</v>
      </c>
      <c r="O9" s="1232" t="str">
        <f ca="1">IFERROR(IF(P9=0,"","Замена окон квартир"),"")</f>
        <v/>
      </c>
      <c r="P9" s="1234" t="e">
        <f t="shared" ca="1" si="0"/>
        <v>#DIV/0!</v>
      </c>
      <c r="Q9" s="1232">
        <f t="shared" ca="1" si="1"/>
        <v>0</v>
      </c>
      <c r="R9" s="264"/>
      <c r="S9" s="264"/>
      <c r="T9" s="264"/>
      <c r="U9" s="264"/>
      <c r="V9" s="264"/>
    </row>
    <row r="10" spans="1:22" x14ac:dyDescent="0.2">
      <c r="A10" s="264"/>
      <c r="B10" s="264"/>
      <c r="C10" s="264"/>
      <c r="D10" s="264"/>
      <c r="E10" s="264"/>
      <c r="F10" s="264"/>
      <c r="G10" s="264"/>
      <c r="H10" s="264"/>
      <c r="I10" s="264"/>
      <c r="J10" s="264"/>
      <c r="K10" s="264"/>
      <c r="L10" s="264"/>
      <c r="M10" s="1232">
        <v>6</v>
      </c>
      <c r="N10" s="1233" t="e">
        <f ca="1">'Список мероприятий'!$W$22&amp;"/"&amp;'Список мероприятий'!$Y$22</f>
        <v>#DIV/0!</v>
      </c>
      <c r="O10" s="1232" t="str">
        <f ca="1">IFERROR(IF(P10=0,"","Повыш-е теплозащ. совмещенной кровли"),"")</f>
        <v/>
      </c>
      <c r="P10" s="1234" t="e">
        <f t="shared" ca="1" si="0"/>
        <v>#DIV/0!</v>
      </c>
      <c r="Q10" s="1232">
        <f t="shared" ca="1" si="1"/>
        <v>0</v>
      </c>
      <c r="R10" s="264"/>
      <c r="S10" s="264"/>
      <c r="T10" s="264"/>
      <c r="U10" s="264"/>
      <c r="V10" s="264"/>
    </row>
    <row r="11" spans="1:22" ht="15" customHeight="1" x14ac:dyDescent="0.2">
      <c r="A11" s="264"/>
      <c r="B11" s="2194" t="s">
        <v>2320</v>
      </c>
      <c r="C11" s="2195"/>
      <c r="D11" s="2195"/>
      <c r="E11" s="2195"/>
      <c r="F11" s="2195"/>
      <c r="G11" s="2195"/>
      <c r="H11" s="2196"/>
      <c r="I11" s="264"/>
      <c r="J11" s="264"/>
      <c r="K11" s="264"/>
      <c r="L11" s="264"/>
      <c r="M11" s="1232">
        <v>7</v>
      </c>
      <c r="N11" s="1233" t="e">
        <f ca="1">'Список мероприятий'!$W$26&amp;"/"&amp;'Список мероприятий'!$Y$26</f>
        <v>#DIV/0!</v>
      </c>
      <c r="O11" s="1232" t="str">
        <f ca="1">IFERROR(IF(P11=0,"","Устройство теплого чердака"),"")</f>
        <v/>
      </c>
      <c r="P11" s="1234" t="e">
        <f t="shared" ca="1" si="0"/>
        <v>#DIV/0!</v>
      </c>
      <c r="Q11" s="1232">
        <f t="shared" ca="1" si="1"/>
        <v>0</v>
      </c>
      <c r="R11" s="264"/>
      <c r="S11" s="264"/>
      <c r="T11" s="264"/>
      <c r="U11" s="264"/>
      <c r="V11" s="264"/>
    </row>
    <row r="12" spans="1:22" ht="15" customHeight="1" x14ac:dyDescent="0.2">
      <c r="A12" s="264"/>
      <c r="B12" s="2188" t="s">
        <v>2349</v>
      </c>
      <c r="C12" s="2189"/>
      <c r="D12" s="2189"/>
      <c r="E12" s="2189"/>
      <c r="F12" s="2189"/>
      <c r="G12" s="2190"/>
      <c r="H12" s="1719" t="str">
        <f>IFERROR(ROUND('Ввод исходных данных'!D302,2),"")</f>
        <v/>
      </c>
      <c r="I12" s="264"/>
      <c r="J12" s="264"/>
      <c r="K12" s="264"/>
      <c r="L12" s="264"/>
      <c r="M12" s="1232">
        <v>8</v>
      </c>
      <c r="N12" s="1233" t="e">
        <f ca="1">'Список мероприятий'!$W$29&amp;"/"&amp;'Список мероприятий'!$Y$29</f>
        <v>#DIV/0!</v>
      </c>
      <c r="O12" s="1232" t="str">
        <f ca="1">IFERROR(IF(P12=0,"","Повыш-е теплозащ. чердачных перекрытий"),"")</f>
        <v/>
      </c>
      <c r="P12" s="1234" t="e">
        <f t="shared" ca="1" si="0"/>
        <v>#DIV/0!</v>
      </c>
      <c r="Q12" s="1232">
        <f t="shared" ca="1" si="1"/>
        <v>0</v>
      </c>
      <c r="R12" s="264"/>
      <c r="S12" s="264"/>
      <c r="T12" s="264"/>
      <c r="U12" s="264"/>
      <c r="V12" s="264"/>
    </row>
    <row r="13" spans="1:22" ht="15" customHeight="1" x14ac:dyDescent="0.2">
      <c r="A13" s="264"/>
      <c r="B13" s="2191" t="s">
        <v>2350</v>
      </c>
      <c r="C13" s="2192"/>
      <c r="D13" s="2192"/>
      <c r="E13" s="2192"/>
      <c r="F13" s="2192"/>
      <c r="G13" s="2193"/>
      <c r="H13" s="1720" t="str">
        <f>IFERROR(ROUND('Ввод исходных данных'!E302,2),"")</f>
        <v/>
      </c>
      <c r="I13" s="264"/>
      <c r="J13" s="264"/>
      <c r="K13" s="264"/>
      <c r="L13" s="264"/>
      <c r="M13" s="1232">
        <v>9</v>
      </c>
      <c r="N13" s="1233" t="e">
        <f ca="1">'Список мероприятий'!$W$34&amp;"/"&amp;'Список мероприятий'!$Y$34</f>
        <v>#N/A</v>
      </c>
      <c r="O13" s="1232" t="str">
        <f ca="1">IFERROR(IF(P13=0,"","Установка узлов управления"),"")</f>
        <v/>
      </c>
      <c r="P13" s="1234" t="e">
        <f ca="1">Q13/SUM($Q$5:$Q$29)</f>
        <v>#DIV/0!</v>
      </c>
      <c r="Q13" s="1232">
        <f t="shared" ca="1" si="1"/>
        <v>0</v>
      </c>
      <c r="R13" s="264"/>
      <c r="S13" s="264"/>
      <c r="T13" s="264"/>
      <c r="U13" s="264"/>
      <c r="V13" s="264"/>
    </row>
    <row r="14" spans="1:22" x14ac:dyDescent="0.2">
      <c r="A14" s="264"/>
      <c r="B14" s="264"/>
      <c r="C14" s="264"/>
      <c r="D14" s="264"/>
      <c r="E14" s="264"/>
      <c r="F14" s="264"/>
      <c r="G14" s="264"/>
      <c r="H14" s="264"/>
      <c r="I14" s="264"/>
      <c r="J14" s="264"/>
      <c r="K14" s="264"/>
      <c r="L14" s="264"/>
      <c r="M14" s="1232">
        <v>10</v>
      </c>
      <c r="N14" s="1233" t="e">
        <f ca="1">'Список мероприятий'!$W$36&amp;"/"&amp;'Список мероприятий'!$Y$36</f>
        <v>#DIV/0!</v>
      </c>
      <c r="O14" s="1232" t="str">
        <f ca="1">IFERROR(IF(P14=0,"","Модернизация ИТП"),"")</f>
        <v/>
      </c>
      <c r="P14" s="1234" t="e">
        <f t="shared" ca="1" si="0"/>
        <v>#DIV/0!</v>
      </c>
      <c r="Q14" s="1232">
        <f t="shared" ca="1" si="1"/>
        <v>0</v>
      </c>
      <c r="R14" s="264"/>
      <c r="S14" s="264"/>
      <c r="T14" s="264"/>
      <c r="U14" s="264"/>
      <c r="V14" s="264"/>
    </row>
    <row r="15" spans="1:22" ht="45" customHeight="1" x14ac:dyDescent="0.2">
      <c r="A15" s="264"/>
      <c r="B15" s="2194" t="s">
        <v>2336</v>
      </c>
      <c r="C15" s="2195"/>
      <c r="D15" s="2195"/>
      <c r="E15" s="2195"/>
      <c r="F15" s="2195"/>
      <c r="G15" s="2195"/>
      <c r="H15" s="2292" t="s">
        <v>2344</v>
      </c>
      <c r="I15" s="2293"/>
      <c r="J15" s="2292" t="s">
        <v>2345</v>
      </c>
      <c r="K15" s="2293"/>
      <c r="L15" s="264"/>
      <c r="M15" s="1232">
        <v>11</v>
      </c>
      <c r="N15" s="1233" t="e">
        <f ca="1">'Список мероприятий'!$W$37&amp;"/"&amp;'Список мероприятий'!$Y$37</f>
        <v>#DIV/0!</v>
      </c>
      <c r="O15" s="1232" t="str">
        <f ca="1">IFERROR(IF(P15=0,"","Установка регуляторов температуры ГВС"),"")</f>
        <v/>
      </c>
      <c r="P15" s="1234" t="e">
        <f t="shared" ca="1" si="0"/>
        <v>#DIV/0!</v>
      </c>
      <c r="Q15" s="1232">
        <f t="shared" ca="1" si="1"/>
        <v>0</v>
      </c>
      <c r="R15" s="264"/>
      <c r="S15" s="264"/>
      <c r="T15" s="264"/>
      <c r="U15" s="264"/>
      <c r="V15" s="264"/>
    </row>
    <row r="16" spans="1:22" ht="15" customHeight="1" x14ac:dyDescent="0.2">
      <c r="A16" s="264"/>
      <c r="B16" s="2188" t="s">
        <v>2321</v>
      </c>
      <c r="C16" s="2189"/>
      <c r="D16" s="2189"/>
      <c r="E16" s="2189"/>
      <c r="F16" s="2189"/>
      <c r="G16" s="2190"/>
      <c r="H16" s="2268">
        <f>'Список мероприятий'!BB32</f>
        <v>0</v>
      </c>
      <c r="I16" s="2286"/>
      <c r="J16" s="2268" t="str">
        <f>IFERROR(H16/H5,"")</f>
        <v/>
      </c>
      <c r="K16" s="2269"/>
      <c r="L16" s="264"/>
      <c r="M16" s="1232">
        <v>12</v>
      </c>
      <c r="N16" s="1233" t="e">
        <f ca="1">'Список мероприятий'!$W$39&amp;"/"&amp;'Список мероприятий'!$Y$39</f>
        <v>#DIV/0!</v>
      </c>
      <c r="O16" s="1232" t="str">
        <f ca="1">IFERROR(IF(P16=0,"","Ремонт трубопровода СО"),"")</f>
        <v/>
      </c>
      <c r="P16" s="1234" t="e">
        <f t="shared" ca="1" si="0"/>
        <v>#DIV/0!</v>
      </c>
      <c r="Q16" s="1232">
        <f t="shared" ca="1" si="1"/>
        <v>0</v>
      </c>
      <c r="R16" s="264"/>
      <c r="S16" s="264"/>
      <c r="T16" s="264"/>
      <c r="U16" s="264"/>
      <c r="V16" s="264"/>
    </row>
    <row r="17" spans="1:22" ht="15" customHeight="1" x14ac:dyDescent="0.2">
      <c r="A17" s="264"/>
      <c r="B17" s="2171" t="s">
        <v>2322</v>
      </c>
      <c r="C17" s="2172"/>
      <c r="D17" s="2172"/>
      <c r="E17" s="2172"/>
      <c r="F17" s="2172"/>
      <c r="G17" s="2173"/>
      <c r="H17" s="2287"/>
      <c r="I17" s="2288"/>
      <c r="J17" s="2261" t="str">
        <f>IFERROR(H17/H5,"")</f>
        <v/>
      </c>
      <c r="K17" s="2262"/>
      <c r="L17" s="264"/>
      <c r="M17" s="1232">
        <v>13</v>
      </c>
      <c r="N17" s="1233" t="e">
        <f ca="1">'Список мероприятий'!$W$40&amp;"/"&amp;'Список мероприятий'!$Y$40</f>
        <v>#DIV/0!</v>
      </c>
      <c r="O17" s="1232" t="str">
        <f ca="1">IFERROR(IF(P17=0,"","Ремонт трубопровода ГВС"),"")</f>
        <v/>
      </c>
      <c r="P17" s="1234" t="e">
        <f t="shared" ca="1" si="0"/>
        <v>#DIV/0!</v>
      </c>
      <c r="Q17" s="1232">
        <f t="shared" ca="1" si="1"/>
        <v>0</v>
      </c>
      <c r="R17" s="264"/>
      <c r="S17" s="264"/>
      <c r="T17" s="264"/>
      <c r="U17" s="264"/>
      <c r="V17" s="264"/>
    </row>
    <row r="18" spans="1:22" ht="15" customHeight="1" x14ac:dyDescent="0.2">
      <c r="A18" s="264"/>
      <c r="B18" s="2191" t="s">
        <v>2323</v>
      </c>
      <c r="C18" s="2192"/>
      <c r="D18" s="2192"/>
      <c r="E18" s="2192"/>
      <c r="F18" s="2192"/>
      <c r="G18" s="2193"/>
      <c r="H18" s="2263">
        <f>IFERROR(H17+H16,"")</f>
        <v>0</v>
      </c>
      <c r="I18" s="2289"/>
      <c r="J18" s="2263" t="str">
        <f>IFERROR(H18/H5,"")</f>
        <v/>
      </c>
      <c r="K18" s="2264"/>
      <c r="L18" s="264"/>
      <c r="M18" s="1232">
        <v>14</v>
      </c>
      <c r="N18" s="1233" t="e">
        <f ca="1">'Список мероприятий'!$W$41&amp;"/"&amp;'Список мероприятий'!$Y$41</f>
        <v>#DIV/0!</v>
      </c>
      <c r="O18" s="1232" t="str">
        <f ca="1">IFERROR(IF(P18=0,"","Устройство циркуляции ГВС"),"")</f>
        <v/>
      </c>
      <c r="P18" s="1234" t="e">
        <f t="shared" ca="1" si="0"/>
        <v>#DIV/0!</v>
      </c>
      <c r="Q18" s="1232">
        <f t="shared" ca="1" si="1"/>
        <v>0</v>
      </c>
      <c r="R18" s="264"/>
      <c r="S18" s="264"/>
      <c r="T18" s="264"/>
      <c r="U18" s="264"/>
      <c r="V18" s="264"/>
    </row>
    <row r="19" spans="1:22" ht="30" customHeight="1" x14ac:dyDescent="0.2">
      <c r="A19" s="264"/>
      <c r="B19" s="2291" t="str">
        <f>IF(H19="","","Справочно: стоимость дополнительных мероприятий, не относящихся
к капитальному ремонту общего имущества:")</f>
        <v/>
      </c>
      <c r="C19" s="2291"/>
      <c r="D19" s="2291"/>
      <c r="E19" s="2291"/>
      <c r="F19" s="2291"/>
      <c r="G19" s="2291"/>
      <c r="H19" s="2290" t="str">
        <f>IF('Список мероприятий'!BB33=0,"",'Список мероприятий'!BB33)</f>
        <v/>
      </c>
      <c r="I19" s="2290"/>
      <c r="J19" s="2265" t="str">
        <f>IFERROR(H19/H5,"")</f>
        <v/>
      </c>
      <c r="K19" s="2265"/>
      <c r="L19" s="264"/>
      <c r="M19" s="1232">
        <v>15</v>
      </c>
      <c r="N19" s="1233" t="e">
        <f>'Список мероприятий'!$W$44&amp;"/"&amp;'Список мероприятий'!$Y$44</f>
        <v>#DIV/0!</v>
      </c>
      <c r="O19" s="1232" t="str">
        <f ca="1">IFERROR(IF(P19=0,"","Установка ЧРП на насосное оборудование"),"")</f>
        <v/>
      </c>
      <c r="P19" s="1234" t="e">
        <f t="shared" ca="1" si="0"/>
        <v>#DIV/0!</v>
      </c>
      <c r="Q19" s="1232">
        <f t="shared" ca="1" si="1"/>
        <v>0</v>
      </c>
      <c r="R19" s="264"/>
      <c r="S19" s="264"/>
      <c r="T19" s="264"/>
      <c r="U19" s="264"/>
      <c r="V19" s="264"/>
    </row>
    <row r="20" spans="1:22" ht="30" customHeight="1" x14ac:dyDescent="0.2">
      <c r="A20" s="264"/>
      <c r="B20" s="264"/>
      <c r="C20" s="264"/>
      <c r="D20" s="264"/>
      <c r="E20" s="264"/>
      <c r="F20" s="264"/>
      <c r="G20" s="264"/>
      <c r="H20" s="264"/>
      <c r="I20" s="264"/>
      <c r="J20" s="264"/>
      <c r="K20" s="264"/>
      <c r="L20" s="264"/>
      <c r="M20" s="1232">
        <v>16</v>
      </c>
      <c r="N20" s="1233" t="e">
        <f>'Список мероприятий'!$W$49&amp;"/"&amp;'Список мероприятий'!$Y$49</f>
        <v>#DIV/0!</v>
      </c>
      <c r="O20" s="1232" t="str">
        <f ca="1">IFERROR(IF(P20=0,"","Замена насосного оборудования"),"")</f>
        <v/>
      </c>
      <c r="P20" s="1234" t="e">
        <f t="shared" ca="1" si="0"/>
        <v>#DIV/0!</v>
      </c>
      <c r="Q20" s="1232">
        <f t="shared" ca="1" si="1"/>
        <v>0</v>
      </c>
      <c r="R20" s="264"/>
      <c r="S20" s="264"/>
      <c r="T20" s="264"/>
      <c r="U20" s="264"/>
      <c r="V20" s="264"/>
    </row>
    <row r="21" spans="1:22" ht="30" customHeight="1" x14ac:dyDescent="0.2">
      <c r="A21" s="264"/>
      <c r="B21" s="2194" t="s">
        <v>2337</v>
      </c>
      <c r="C21" s="2195"/>
      <c r="D21" s="2195"/>
      <c r="E21" s="2195"/>
      <c r="F21" s="2195"/>
      <c r="G21" s="2196"/>
      <c r="H21" s="2292" t="s">
        <v>2340</v>
      </c>
      <c r="I21" s="2293"/>
      <c r="J21" s="2292" t="s">
        <v>2341</v>
      </c>
      <c r="K21" s="2293"/>
      <c r="L21" s="264"/>
      <c r="M21" s="1232">
        <v>17</v>
      </c>
      <c r="N21" s="1233" t="e">
        <f>'Список мероприятий'!$W$54&amp;"/"&amp;'Список мероприятий'!$Y$54</f>
        <v>#DIV/0!</v>
      </c>
      <c r="O21" s="1232" t="str">
        <f ca="1">IFERROR(IF(P21=0,"","Установка УКРМ на насосное оборудование"),"")</f>
        <v/>
      </c>
      <c r="P21" s="1234" t="e">
        <f t="shared" ca="1" si="0"/>
        <v>#DIV/0!</v>
      </c>
      <c r="Q21" s="1232">
        <f t="shared" ca="1" si="1"/>
        <v>0</v>
      </c>
      <c r="R21" s="264"/>
      <c r="S21" s="264"/>
      <c r="T21" s="264"/>
      <c r="U21" s="264"/>
      <c r="V21" s="264"/>
    </row>
    <row r="22" spans="1:22" ht="12.75" customHeight="1" x14ac:dyDescent="0.2">
      <c r="A22" s="264"/>
      <c r="B22" s="2197" t="s">
        <v>2346</v>
      </c>
      <c r="C22" s="2198"/>
      <c r="D22" s="2199"/>
      <c r="E22" s="2258" t="s">
        <v>1292</v>
      </c>
      <c r="F22" s="2259"/>
      <c r="G22" s="2260"/>
      <c r="H22" s="2266">
        <f ca="1">IFERROR(H23+H26,0)</f>
        <v>0</v>
      </c>
      <c r="I22" s="2267"/>
      <c r="J22" s="2268">
        <f ca="1">J23+J26</f>
        <v>0</v>
      </c>
      <c r="K22" s="2269"/>
      <c r="L22" s="264"/>
      <c r="M22" s="1232">
        <v>18</v>
      </c>
      <c r="N22" s="1233" t="e">
        <f>'Список мероприятий'!$W$57&amp;"/"&amp;'Список мероприятий'!$Y$57</f>
        <v>#DIV/0!</v>
      </c>
      <c r="O22" s="1232" t="str">
        <f ca="1">IFERROR(IF(P22=0,"","Ремонт лифта"),"")</f>
        <v/>
      </c>
      <c r="P22" s="1234" t="e">
        <f t="shared" ca="1" si="0"/>
        <v>#DIV/0!</v>
      </c>
      <c r="Q22" s="1232">
        <f t="shared" ca="1" si="1"/>
        <v>0</v>
      </c>
      <c r="R22" s="264"/>
      <c r="S22" s="264"/>
      <c r="T22" s="264"/>
      <c r="U22" s="264"/>
      <c r="V22" s="264"/>
    </row>
    <row r="23" spans="1:22" ht="12.75" customHeight="1" x14ac:dyDescent="0.2">
      <c r="A23" s="264"/>
      <c r="B23" s="2200"/>
      <c r="C23" s="2201"/>
      <c r="D23" s="2202"/>
      <c r="E23" s="2270" t="s">
        <v>1288</v>
      </c>
      <c r="F23" s="2271"/>
      <c r="G23" s="2272"/>
      <c r="H23" s="2261">
        <f ca="1">IFERROR(H24+H25,0)</f>
        <v>0</v>
      </c>
      <c r="I23" s="2262"/>
      <c r="J23" s="2261">
        <f ca="1">J24+J25</f>
        <v>0</v>
      </c>
      <c r="K23" s="2262"/>
      <c r="L23" s="264"/>
      <c r="M23" s="1232">
        <v>19</v>
      </c>
      <c r="N23" s="1233" t="e">
        <f>'Список мероприятий'!$W$58&amp;"/"&amp;'Список мероприятий'!$Y$58</f>
        <v>#DIV/0!</v>
      </c>
      <c r="O23" s="1232" t="str">
        <f ca="1">IFERROR(IF(P23=0,"","Замена лифта"),"")</f>
        <v/>
      </c>
      <c r="P23" s="1234" t="e">
        <f t="shared" ca="1" si="0"/>
        <v>#DIV/0!</v>
      </c>
      <c r="Q23" s="1232">
        <f t="shared" ca="1" si="1"/>
        <v>0</v>
      </c>
      <c r="R23" s="264"/>
      <c r="S23" s="264"/>
      <c r="T23" s="264"/>
      <c r="U23" s="264"/>
      <c r="V23" s="264"/>
    </row>
    <row r="24" spans="1:22" ht="12.75" customHeight="1" x14ac:dyDescent="0.2">
      <c r="A24" s="264"/>
      <c r="B24" s="2200"/>
      <c r="C24" s="2201"/>
      <c r="D24" s="2202"/>
      <c r="E24" s="2248" t="s">
        <v>1169</v>
      </c>
      <c r="F24" s="2249"/>
      <c r="G24" s="2250"/>
      <c r="H24" s="2261">
        <f ca="1">IFERROR(ROUND('Расчет базового уровня'!D13*H12,2),0)</f>
        <v>0</v>
      </c>
      <c r="I24" s="2262"/>
      <c r="J24" s="2261">
        <f ca="1">ROUND(IF(списки!C53=0,0,'Расчет после реализации'!D12/1163*H12),2)</f>
        <v>0</v>
      </c>
      <c r="K24" s="2262"/>
      <c r="L24" s="264"/>
      <c r="M24" s="1232">
        <v>20</v>
      </c>
      <c r="N24" s="1233" t="e">
        <f>'Список мероприятий'!$W$60&amp;"/"&amp;'Список мероприятий'!$Y$60</f>
        <v>#DIV/0!</v>
      </c>
      <c r="O24" s="1232" t="str">
        <f ca="1">IFERROR(IF(P24=0,"","Установка УКРМ на лифт"),"")</f>
        <v/>
      </c>
      <c r="P24" s="1234" t="e">
        <f t="shared" ca="1" si="0"/>
        <v>#DIV/0!</v>
      </c>
      <c r="Q24" s="1232">
        <f t="shared" ca="1" si="1"/>
        <v>0</v>
      </c>
      <c r="R24" s="264"/>
      <c r="S24" s="264"/>
      <c r="T24" s="264"/>
      <c r="U24" s="264"/>
      <c r="V24" s="264"/>
    </row>
    <row r="25" spans="1:22" ht="12.75" customHeight="1" x14ac:dyDescent="0.2">
      <c r="A25" s="264"/>
      <c r="B25" s="2200"/>
      <c r="C25" s="2201"/>
      <c r="D25" s="2202"/>
      <c r="E25" s="2248" t="s">
        <v>541</v>
      </c>
      <c r="F25" s="2249"/>
      <c r="G25" s="2250"/>
      <c r="H25" s="2261">
        <f ca="1">IFERROR(ROUND('Расчет базового уровня'!D16*H12,2),0)</f>
        <v>0</v>
      </c>
      <c r="I25" s="2262"/>
      <c r="J25" s="2261">
        <f ca="1">ROUND(IF(списки!C53=0,0,'Расчет после реализации'!D15/1163*H12),2)</f>
        <v>0</v>
      </c>
      <c r="K25" s="2262"/>
      <c r="L25" s="264"/>
      <c r="M25" s="1232">
        <v>21</v>
      </c>
      <c r="N25" s="1233" t="e">
        <f ca="1">'Список мероприятий'!$W$64&amp;"/"&amp;'Список мероприятий'!$Y$64</f>
        <v>#DIV/0!</v>
      </c>
      <c r="O25" s="1232" t="str">
        <f ca="1">IFERROR(IF(P25=0,"","Повыш-е теплозащ. пола по грунту"),"")</f>
        <v/>
      </c>
      <c r="P25" s="1234" t="e">
        <f t="shared" ca="1" si="0"/>
        <v>#DIV/0!</v>
      </c>
      <c r="Q25" s="1232">
        <f t="shared" ca="1" si="1"/>
        <v>0</v>
      </c>
      <c r="R25" s="264"/>
      <c r="S25" s="264"/>
      <c r="T25" s="264"/>
      <c r="U25" s="264"/>
      <c r="V25" s="264"/>
    </row>
    <row r="26" spans="1:22" ht="12.75" customHeight="1" x14ac:dyDescent="0.2">
      <c r="A26" s="264"/>
      <c r="B26" s="2203"/>
      <c r="C26" s="2204"/>
      <c r="D26" s="2205"/>
      <c r="E26" s="2275" t="s">
        <v>1216</v>
      </c>
      <c r="F26" s="2276"/>
      <c r="G26" s="2277"/>
      <c r="H26" s="2263">
        <f>IFERROR(ROUND('Расчет базового уровня'!D18*H13,2),0)</f>
        <v>0</v>
      </c>
      <c r="I26" s="2264"/>
      <c r="J26" s="2263">
        <f ca="1">ROUND(IF(списки!C53=0,0,'Расчет после реализации'!D18*H13),2)</f>
        <v>0</v>
      </c>
      <c r="K26" s="2264"/>
      <c r="L26" s="264"/>
      <c r="M26" s="1232">
        <v>22</v>
      </c>
      <c r="N26" s="1233" t="e">
        <f ca="1">'Список мероприятий'!$W$69&amp;"/"&amp;'Список мероприятий'!$Y$69</f>
        <v>#DIV/0!</v>
      </c>
      <c r="O26" s="1232" t="str">
        <f ca="1">IFERROR(IF(P26=0,"","Повыш-е теплозащ. перекрытий над подвалом"),"")</f>
        <v/>
      </c>
      <c r="P26" s="1234" t="e">
        <f t="shared" ca="1" si="0"/>
        <v>#DIV/0!</v>
      </c>
      <c r="Q26" s="1232">
        <f t="shared" ca="1" si="1"/>
        <v>0</v>
      </c>
      <c r="R26" s="264"/>
      <c r="S26" s="264"/>
      <c r="T26" s="264"/>
      <c r="U26" s="264"/>
      <c r="V26" s="264"/>
    </row>
    <row r="27" spans="1:22" ht="12.75" customHeight="1" x14ac:dyDescent="0.2">
      <c r="A27" s="264"/>
      <c r="B27" s="264"/>
      <c r="C27" s="264"/>
      <c r="D27" s="264"/>
      <c r="E27" s="264"/>
      <c r="F27" s="264"/>
      <c r="G27" s="264"/>
      <c r="H27" s="264"/>
      <c r="I27" s="264"/>
      <c r="J27" s="264"/>
      <c r="K27" s="264"/>
      <c r="L27" s="264"/>
      <c r="M27" s="1232">
        <v>23</v>
      </c>
      <c r="N27" s="1233" t="e">
        <f ca="1">'Список мероприятий'!$W$75&amp;"/"&amp;'Список мероприятий'!$Y$75</f>
        <v>#DIV/0!</v>
      </c>
      <c r="O27" s="1232" t="str">
        <f ca="1">IFERROR(IF(P27=0,"","Утепление наружных дверей"),"")</f>
        <v/>
      </c>
      <c r="P27" s="1234" t="e">
        <f t="shared" ca="1" si="0"/>
        <v>#DIV/0!</v>
      </c>
      <c r="Q27" s="1232">
        <f t="shared" ca="1" si="1"/>
        <v>0</v>
      </c>
      <c r="R27" s="264"/>
      <c r="S27" s="264"/>
      <c r="T27" s="264"/>
      <c r="U27" s="264"/>
      <c r="V27" s="264"/>
    </row>
    <row r="28" spans="1:22" ht="15" customHeight="1" x14ac:dyDescent="0.2">
      <c r="A28" s="264"/>
      <c r="B28" s="2251" t="s">
        <v>2339</v>
      </c>
      <c r="C28" s="2252"/>
      <c r="D28" s="2252"/>
      <c r="E28" s="2252"/>
      <c r="F28" s="2252"/>
      <c r="G28" s="2253"/>
      <c r="H28" s="1721" t="str">
        <f ca="1">IFERROR(H30*H13,"")</f>
        <v/>
      </c>
      <c r="I28" s="264"/>
      <c r="J28" s="2186" t="str">
        <f>IF('Система ГВС'!F20=1,IF('Список мероприятий'!AB36=0,"Поскольку МКД получает горячую воду от ЦТП, экономия теплоэнергии на ГВС рассчитана косвенно по водоразбору.",""),"")</f>
        <v/>
      </c>
      <c r="K28" s="2186"/>
      <c r="L28" s="264"/>
      <c r="M28" s="1232">
        <v>24</v>
      </c>
      <c r="N28" s="1233" t="e">
        <f>('Список мероприятий'!$W$76+'Список мероприятий'!$W$78)&amp;"/"&amp;('Список мероприятий'!$Y$76+'Список мероприятий'!$Y$78)</f>
        <v>#DIV/0!</v>
      </c>
      <c r="O28" s="1232" t="str">
        <f ca="1">IFERROR(IF(P28=0,"","Замена осветительных приборов (МОП и придомовое освещение)"),"")</f>
        <v/>
      </c>
      <c r="P28" s="1234" t="e">
        <f t="shared" ca="1" si="0"/>
        <v>#DIV/0!</v>
      </c>
      <c r="Q28" s="1232">
        <f t="shared" ca="1" si="1"/>
        <v>0</v>
      </c>
      <c r="R28" s="264"/>
      <c r="S28" s="264"/>
      <c r="T28" s="264"/>
      <c r="U28" s="264"/>
      <c r="V28" s="264"/>
    </row>
    <row r="29" spans="1:22" ht="45" customHeight="1" x14ac:dyDescent="0.2">
      <c r="A29" s="264"/>
      <c r="B29" s="2171" t="s">
        <v>2351</v>
      </c>
      <c r="C29" s="2172"/>
      <c r="D29" s="2172"/>
      <c r="E29" s="2172"/>
      <c r="F29" s="2172"/>
      <c r="G29" s="2173"/>
      <c r="H29" s="1722" t="str">
        <f ca="1">IFERROR(IF(AND('Список мероприятий'!AB16=1,
                                                    'Расчет базового уровня'!E12&lt;0.9*'Расчет базового уровня'!C12),
                                                VLOOKUP('Список мероприятий'!D17,Электроэнергия_на_обогрев!A129:B140,2,0)*('Расчет базового уровня'!C12-'Расчет базового уровня'!E12)*'Ввод исходных данных'!G285/'Ввод исходных данных'!F285,0),"")</f>
        <v/>
      </c>
      <c r="I29" s="264"/>
      <c r="J29" s="2186"/>
      <c r="K29" s="2186"/>
      <c r="L29" s="264"/>
      <c r="M29" s="1232">
        <v>25</v>
      </c>
      <c r="N29" s="1233" t="e">
        <f>'Список мероприятий'!$W$80&amp;"/"&amp;'Список мероприятий'!$Y$80</f>
        <v>#DIV/0!</v>
      </c>
      <c r="O29" s="1232" t="str">
        <f ca="1">IFERROR(IF(P29=0,"","Установка датчиков движения"),"")</f>
        <v/>
      </c>
      <c r="P29" s="1234" t="e">
        <f t="shared" ca="1" si="0"/>
        <v>#DIV/0!</v>
      </c>
      <c r="Q29" s="1232">
        <f t="shared" ca="1" si="1"/>
        <v>0</v>
      </c>
      <c r="R29" s="264"/>
      <c r="S29" s="264"/>
      <c r="T29" s="264"/>
      <c r="U29" s="264"/>
      <c r="V29" s="264"/>
    </row>
    <row r="30" spans="1:22" ht="30" customHeight="1" x14ac:dyDescent="0.2">
      <c r="A30" s="264"/>
      <c r="B30" s="2191" t="s">
        <v>2338</v>
      </c>
      <c r="C30" s="2192"/>
      <c r="D30" s="2192"/>
      <c r="E30" s="2192"/>
      <c r="F30" s="2192"/>
      <c r="G30" s="2193"/>
      <c r="H30" s="1723" t="str">
        <f ca="1">IF(списки!C53=0,"",IF('Расчет после реализации'!D108&gt;'Расчет после реализации'!C108,'Расчет после реализации'!D108-'Расчет после реализации'!C108,0))</f>
        <v/>
      </c>
      <c r="I30" s="2280" t="str">
        <f ca="1">IF('Ввод исходных данных'!E323="Ошибок нет","","Экономия не расчитана, так как имеются ошибки ввода исходных данных.")</f>
        <v>Экономия не расчитана, так как имеются ошибки ввода исходных данных.</v>
      </c>
      <c r="J30" s="2281"/>
      <c r="K30" s="2281"/>
      <c r="L30" s="264"/>
      <c r="M30" s="264"/>
      <c r="N30" s="264"/>
      <c r="O30" s="264"/>
      <c r="P30" s="264"/>
      <c r="Q30" s="264"/>
      <c r="R30" s="264"/>
      <c r="S30" s="264"/>
      <c r="T30" s="264"/>
      <c r="U30" s="264"/>
      <c r="V30" s="264"/>
    </row>
    <row r="31" spans="1:22" x14ac:dyDescent="0.2">
      <c r="A31" s="264"/>
      <c r="B31" s="264"/>
      <c r="C31" s="264"/>
      <c r="D31" s="264"/>
      <c r="E31" s="264"/>
      <c r="F31" s="264"/>
      <c r="G31" s="264"/>
      <c r="H31" s="264"/>
      <c r="I31" s="264"/>
      <c r="J31" s="264"/>
      <c r="K31" s="264"/>
      <c r="L31" s="264"/>
      <c r="M31" s="264"/>
      <c r="N31" s="264"/>
      <c r="O31" s="264"/>
      <c r="P31" s="264"/>
      <c r="Q31" s="264"/>
      <c r="R31" s="264"/>
      <c r="S31" s="264"/>
      <c r="T31" s="264"/>
      <c r="U31" s="264"/>
      <c r="V31" s="264"/>
    </row>
    <row r="32" spans="1:22" ht="15" customHeight="1" thickBot="1" x14ac:dyDescent="0.25">
      <c r="A32" s="264"/>
      <c r="B32" s="2251" t="s">
        <v>2342</v>
      </c>
      <c r="C32" s="2252"/>
      <c r="D32" s="2252"/>
      <c r="E32" s="2252"/>
      <c r="F32" s="2252"/>
      <c r="G32" s="2253"/>
      <c r="H32" s="1724">
        <f ca="1">ROUND(IF(списки!C49=1,0,H33*(H22)),2)</f>
        <v>0</v>
      </c>
      <c r="I32" s="1709" t="str">
        <f ca="1">IF(AND('Ввод исходных данных'!E323="Ошибок нет",H32&lt;&gt;""),IF('Ввод исходных данных'!D42=INDEX(SposobRascheta,3),
"&lt; Расчитано по удельным характеристикам (ориентировочный расчёт)",
IF(AND('Ввод исходных данных'!D14&lt;&gt;INDEX(Серии,2),'Ввод исходных данных'!D42=INDEX(SposobRascheta,2)),
"&lt; Расчитано по характеристикам типовой строительной серии.","")),"")</f>
        <v/>
      </c>
      <c r="J32" s="264"/>
      <c r="K32" s="264"/>
      <c r="L32" s="264"/>
      <c r="M32" s="264"/>
      <c r="N32" s="264"/>
      <c r="O32" s="264"/>
      <c r="P32" s="264"/>
      <c r="Q32" s="264"/>
      <c r="R32" s="264"/>
      <c r="S32" s="264"/>
      <c r="T32" s="264"/>
      <c r="U32" s="264"/>
      <c r="V32" s="264"/>
    </row>
    <row r="33" spans="1:22" ht="15" customHeight="1" thickBot="1" x14ac:dyDescent="0.25">
      <c r="A33" s="264"/>
      <c r="B33" s="2273" t="s">
        <v>2343</v>
      </c>
      <c r="C33" s="2274"/>
      <c r="D33" s="2274"/>
      <c r="E33" s="2274"/>
      <c r="F33" s="2274"/>
      <c r="G33" s="2274"/>
      <c r="H33" s="1725" t="str">
        <f ca="1">IFERROR(ROUND(IF(списки!C53=0,"",1-J22/H22),4),"")</f>
        <v/>
      </c>
      <c r="I33" s="2278" t="str">
        <f ca="1">IF(H33&lt;0.1,"Выбранных мероприятий будет недостаточно для достижения существенного показателя экономии!","")</f>
        <v/>
      </c>
      <c r="J33" s="2279"/>
      <c r="K33" s="2279"/>
      <c r="L33" s="2279"/>
      <c r="M33" s="2279"/>
      <c r="N33" s="2279"/>
      <c r="O33" s="2279"/>
      <c r="P33" s="264"/>
      <c r="Q33" s="264"/>
      <c r="R33" s="264"/>
      <c r="S33" s="264"/>
      <c r="T33" s="264"/>
      <c r="U33" s="264"/>
      <c r="V33" s="264"/>
    </row>
    <row r="34" spans="1:22" ht="15" customHeight="1" x14ac:dyDescent="0.2">
      <c r="A34" s="264"/>
      <c r="B34" s="2171" t="s">
        <v>2359</v>
      </c>
      <c r="C34" s="2172"/>
      <c r="D34" s="2172"/>
      <c r="E34" s="2172"/>
      <c r="F34" s="2172"/>
      <c r="G34" s="2173"/>
      <c r="H34" s="1726" t="str">
        <f ca="1">IFERROR(IF(OR(списки!C51=1,H16&lt;=0),"",H16/H32),"")</f>
        <v/>
      </c>
      <c r="I34" s="1710" t="str">
        <f>IF(H16&gt;0,"","&lt; Укажите стоимость выбранных мероприятий по энергосбережению!")</f>
        <v>&lt; Укажите стоимость выбранных мероприятий по энергосбережению!</v>
      </c>
      <c r="J34" s="264"/>
      <c r="K34" s="264"/>
      <c r="L34" s="264"/>
      <c r="M34" s="264"/>
      <c r="N34" s="264"/>
      <c r="O34" s="264"/>
      <c r="P34" s="264"/>
      <c r="Q34" s="264"/>
      <c r="R34" s="264"/>
      <c r="S34" s="264"/>
      <c r="T34" s="264"/>
      <c r="U34" s="264"/>
      <c r="V34" s="264"/>
    </row>
    <row r="35" spans="1:22" ht="15" customHeight="1" x14ac:dyDescent="0.2">
      <c r="A35" s="264"/>
      <c r="B35" s="2171" t="s">
        <v>2400</v>
      </c>
      <c r="C35" s="2172"/>
      <c r="D35" s="2172"/>
      <c r="E35" s="2172"/>
      <c r="F35" s="2172"/>
      <c r="G35" s="2173"/>
      <c r="H35" s="1718" t="str">
        <f ca="1">IFERROR(CONCATENATE('классы ЭЭ и выбросы ПГ'!AS24,'классы ЭЭ и выбросы ПГ'!AS25,'классы ЭЭ и выбросы ПГ'!AS26,'классы ЭЭ и выбросы ПГ'!AS27,'классы ЭЭ и выбросы ПГ'!AS28,'классы ЭЭ и выбросы ПГ'!AS29,'классы ЭЭ и выбросы ПГ'!AS30,'классы ЭЭ и выбросы ПГ'!AS31,'классы ЭЭ и выбросы ПГ'!AS32),"")</f>
        <v/>
      </c>
      <c r="I35" s="1710"/>
      <c r="J35" s="264"/>
      <c r="K35" s="264"/>
      <c r="L35" s="264"/>
      <c r="M35" s="264"/>
      <c r="N35" s="264"/>
      <c r="O35" s="264"/>
      <c r="P35" s="264"/>
      <c r="Q35" s="264"/>
      <c r="R35" s="264"/>
      <c r="S35" s="264"/>
      <c r="T35" s="264"/>
      <c r="U35" s="264"/>
      <c r="V35" s="264"/>
    </row>
    <row r="36" spans="1:22" ht="15" customHeight="1" x14ac:dyDescent="0.2">
      <c r="A36" s="264"/>
      <c r="B36" s="2191" t="s">
        <v>2399</v>
      </c>
      <c r="C36" s="2192"/>
      <c r="D36" s="2192"/>
      <c r="E36" s="2192"/>
      <c r="F36" s="2192"/>
      <c r="G36" s="2193"/>
      <c r="H36" s="1727" t="str">
        <f ca="1">IFERROR('классы ЭЭ и выбросы ПГ'!E44+'классы ЭЭ и выбросы ПГ'!F44-'классы ЭЭ и выбросы ПГ'!G44-'классы ЭЭ и выбросы ПГ'!H44,"")</f>
        <v/>
      </c>
      <c r="I36" s="1709" t="str">
        <f ca="1">IFERROR(IF('классы ЭЭ и выбросы ПГ'!G44+'классы ЭЭ и выбросы ПГ'!H44=0,"",IFERROR(CONCATENATE("&lt; Выбросы парниковых газов после проведения работ составят: ",ROUND('классы ЭЭ и выбросы ПГ'!G44+'классы ЭЭ и выбросы ПГ'!H44,1)," тонн СО2-экв в год"),"")),"")</f>
        <v/>
      </c>
      <c r="J36" s="264"/>
      <c r="K36" s="264"/>
      <c r="L36" s="264"/>
      <c r="M36" s="264"/>
      <c r="N36" s="264"/>
      <c r="O36" s="264"/>
      <c r="P36" s="264"/>
      <c r="Q36" s="264"/>
      <c r="R36" s="264"/>
      <c r="S36" s="264"/>
      <c r="T36" s="264"/>
      <c r="U36" s="264"/>
      <c r="V36" s="264"/>
    </row>
    <row r="37" spans="1:22" ht="15" customHeight="1" x14ac:dyDescent="0.2">
      <c r="A37" s="264"/>
      <c r="B37" s="1710"/>
      <c r="C37" s="1710"/>
      <c r="D37" s="1710"/>
      <c r="E37" s="1710"/>
      <c r="F37" s="1710"/>
      <c r="G37" s="1710"/>
      <c r="H37" s="1710"/>
      <c r="I37" s="1710"/>
      <c r="J37" s="264"/>
      <c r="K37" s="264"/>
      <c r="L37" s="264"/>
      <c r="M37" s="264"/>
      <c r="N37" s="264"/>
      <c r="O37" s="264"/>
      <c r="P37" s="264"/>
      <c r="Q37" s="264"/>
      <c r="R37" s="264"/>
      <c r="S37" s="264"/>
      <c r="T37" s="264"/>
      <c r="U37" s="264"/>
      <c r="V37" s="264"/>
    </row>
    <row r="38" spans="1:22" ht="39" customHeight="1" x14ac:dyDescent="0.2">
      <c r="A38" s="264"/>
      <c r="B38" s="2194" t="s">
        <v>2405</v>
      </c>
      <c r="C38" s="2195"/>
      <c r="D38" s="2195"/>
      <c r="E38" s="2196"/>
      <c r="F38" s="1710"/>
      <c r="G38" s="1710"/>
      <c r="H38" s="1710"/>
      <c r="I38" s="1710"/>
      <c r="J38" s="264"/>
      <c r="K38" s="264"/>
      <c r="L38" s="264"/>
      <c r="M38" s="264"/>
      <c r="N38" s="264"/>
      <c r="O38" s="264"/>
      <c r="P38" s="264"/>
      <c r="Q38" s="264"/>
      <c r="R38" s="264"/>
      <c r="S38" s="264"/>
      <c r="T38" s="264"/>
      <c r="U38" s="264"/>
      <c r="V38" s="264"/>
    </row>
    <row r="39" spans="1:22" ht="23.45" customHeight="1" thickBot="1" x14ac:dyDescent="0.25">
      <c r="A39" s="264"/>
      <c r="B39" s="2211" t="s">
        <v>2401</v>
      </c>
      <c r="C39" s="2212"/>
      <c r="D39" s="2212"/>
      <c r="E39" s="2213"/>
      <c r="F39" s="1710"/>
      <c r="G39" s="1710"/>
      <c r="H39" s="1710"/>
      <c r="I39" s="1710"/>
      <c r="J39" s="264"/>
      <c r="K39" s="264"/>
      <c r="L39" s="264"/>
      <c r="M39" s="264"/>
      <c r="N39" s="264"/>
      <c r="O39" s="264"/>
      <c r="P39" s="264"/>
      <c r="Q39" s="264"/>
      <c r="R39" s="264"/>
      <c r="S39" s="264"/>
      <c r="T39" s="264"/>
      <c r="U39" s="264"/>
      <c r="V39" s="264"/>
    </row>
    <row r="40" spans="1:22" ht="23.45" customHeight="1" thickTop="1" thickBot="1" x14ac:dyDescent="0.25">
      <c r="A40" s="264"/>
      <c r="B40" s="2214" t="s">
        <v>2402</v>
      </c>
      <c r="C40" s="2215"/>
      <c r="D40" s="2215"/>
      <c r="E40" s="2216"/>
      <c r="F40" s="1710"/>
      <c r="G40" s="1710"/>
      <c r="H40" s="1710"/>
      <c r="I40" s="1710"/>
      <c r="J40" s="264"/>
      <c r="K40" s="264"/>
      <c r="L40" s="264"/>
      <c r="M40" s="264"/>
      <c r="N40" s="264"/>
      <c r="O40" s="264"/>
      <c r="P40" s="264"/>
      <c r="Q40" s="264"/>
      <c r="R40" s="264"/>
      <c r="S40" s="264"/>
      <c r="T40" s="264"/>
      <c r="U40" s="264"/>
      <c r="V40" s="264"/>
    </row>
    <row r="41" spans="1:22" ht="23.45" customHeight="1" thickTop="1" thickBot="1" x14ac:dyDescent="0.25">
      <c r="A41" s="264"/>
      <c r="B41" s="2217" t="s">
        <v>1791</v>
      </c>
      <c r="C41" s="2218"/>
      <c r="D41" s="2218"/>
      <c r="E41" s="2219"/>
      <c r="F41" s="1710"/>
      <c r="G41" s="1710"/>
      <c r="H41" s="1710"/>
      <c r="I41" s="1710"/>
      <c r="J41" s="264"/>
      <c r="K41" s="264"/>
      <c r="L41" s="264"/>
      <c r="M41" s="264"/>
      <c r="N41" s="264"/>
      <c r="O41" s="264"/>
      <c r="P41" s="264"/>
      <c r="Q41" s="264"/>
      <c r="R41" s="264"/>
      <c r="S41" s="264"/>
      <c r="T41" s="264"/>
      <c r="U41" s="264"/>
      <c r="V41" s="264"/>
    </row>
    <row r="42" spans="1:22" ht="23.45" customHeight="1" thickTop="1" thickBot="1" x14ac:dyDescent="0.25">
      <c r="A42" s="264"/>
      <c r="B42" s="2220" t="s">
        <v>1792</v>
      </c>
      <c r="C42" s="2221"/>
      <c r="D42" s="2221"/>
      <c r="E42" s="2222"/>
      <c r="F42" s="1710"/>
      <c r="G42" s="1710"/>
      <c r="H42" s="1710"/>
      <c r="I42" s="1710"/>
      <c r="J42" s="264"/>
      <c r="K42" s="264"/>
      <c r="L42" s="264"/>
      <c r="M42" s="264"/>
      <c r="N42" s="264"/>
      <c r="O42" s="264"/>
      <c r="P42" s="264"/>
      <c r="Q42" s="264"/>
      <c r="R42" s="264"/>
      <c r="S42" s="264"/>
      <c r="T42" s="264"/>
      <c r="U42" s="264"/>
      <c r="V42" s="264"/>
    </row>
    <row r="43" spans="1:22" ht="23.45" customHeight="1" thickTop="1" thickBot="1" x14ac:dyDescent="0.25">
      <c r="A43" s="264"/>
      <c r="B43" s="2223" t="s">
        <v>1793</v>
      </c>
      <c r="C43" s="2224"/>
      <c r="D43" s="2224"/>
      <c r="E43" s="2225"/>
      <c r="F43" s="1710"/>
      <c r="G43" s="1710"/>
      <c r="H43" s="1710"/>
      <c r="I43" s="1710"/>
      <c r="J43" s="264"/>
      <c r="K43" s="264"/>
      <c r="L43" s="264"/>
      <c r="M43" s="264"/>
      <c r="N43" s="264"/>
      <c r="O43" s="264"/>
      <c r="P43" s="264"/>
      <c r="Q43" s="264"/>
      <c r="R43" s="264"/>
      <c r="S43" s="264"/>
      <c r="T43" s="264"/>
      <c r="U43" s="264"/>
      <c r="V43" s="264"/>
    </row>
    <row r="44" spans="1:22" ht="23.45" customHeight="1" thickTop="1" thickBot="1" x14ac:dyDescent="0.25">
      <c r="A44" s="264"/>
      <c r="B44" s="2226" t="s">
        <v>1794</v>
      </c>
      <c r="C44" s="2227"/>
      <c r="D44" s="2227"/>
      <c r="E44" s="2228"/>
      <c r="F44" s="1710"/>
      <c r="G44" s="1710"/>
      <c r="H44" s="1710"/>
      <c r="I44" s="1710"/>
      <c r="J44" s="264"/>
      <c r="K44" s="264"/>
      <c r="L44" s="264"/>
      <c r="M44" s="264"/>
      <c r="N44" s="264"/>
      <c r="O44" s="264"/>
      <c r="P44" s="264"/>
      <c r="Q44" s="264"/>
      <c r="R44" s="264"/>
      <c r="S44" s="264"/>
      <c r="T44" s="264"/>
      <c r="U44" s="264"/>
      <c r="V44" s="264"/>
    </row>
    <row r="45" spans="1:22" ht="23.45" customHeight="1" thickTop="1" thickBot="1" x14ac:dyDescent="0.25">
      <c r="A45" s="264"/>
      <c r="B45" s="2229" t="s">
        <v>1795</v>
      </c>
      <c r="C45" s="2230"/>
      <c r="D45" s="2230"/>
      <c r="E45" s="2231"/>
      <c r="F45" s="1710"/>
      <c r="G45" s="1710"/>
      <c r="H45" s="1710"/>
      <c r="I45" s="1710"/>
      <c r="J45" s="264"/>
      <c r="K45" s="264"/>
      <c r="L45" s="264"/>
      <c r="M45" s="264"/>
      <c r="N45" s="264"/>
      <c r="O45" s="264"/>
      <c r="P45" s="264"/>
      <c r="Q45" s="264"/>
      <c r="R45" s="264"/>
      <c r="S45" s="264"/>
      <c r="T45" s="264"/>
      <c r="U45" s="264"/>
      <c r="V45" s="264"/>
    </row>
    <row r="46" spans="1:22" ht="23.45" customHeight="1" thickTop="1" thickBot="1" x14ac:dyDescent="0.25">
      <c r="A46" s="264"/>
      <c r="B46" s="2232" t="s">
        <v>1796</v>
      </c>
      <c r="C46" s="2233"/>
      <c r="D46" s="2233"/>
      <c r="E46" s="2234"/>
      <c r="F46" s="1710"/>
      <c r="G46" s="1710"/>
      <c r="H46" s="1710"/>
      <c r="I46" s="1710"/>
      <c r="J46" s="264"/>
      <c r="K46" s="264"/>
      <c r="L46" s="264"/>
      <c r="M46" s="264"/>
      <c r="N46" s="264"/>
      <c r="O46" s="264"/>
      <c r="P46" s="264"/>
      <c r="Q46" s="264"/>
      <c r="R46" s="264"/>
      <c r="S46" s="264"/>
      <c r="T46" s="264"/>
      <c r="U46" s="264"/>
      <c r="V46" s="264"/>
    </row>
    <row r="47" spans="1:22" ht="23.45" customHeight="1" thickTop="1" thickBot="1" x14ac:dyDescent="0.25">
      <c r="A47" s="264"/>
      <c r="B47" s="2235" t="s">
        <v>1797</v>
      </c>
      <c r="C47" s="2236"/>
      <c r="D47" s="2236"/>
      <c r="E47" s="2237"/>
      <c r="F47" s="1710"/>
      <c r="G47" s="1710"/>
      <c r="H47" s="1710"/>
      <c r="I47" s="1710"/>
      <c r="J47" s="264"/>
      <c r="K47" s="264"/>
      <c r="L47" s="264"/>
      <c r="M47" s="264"/>
      <c r="N47" s="264"/>
      <c r="O47" s="264"/>
      <c r="P47" s="264"/>
      <c r="Q47" s="264"/>
      <c r="R47" s="264"/>
      <c r="S47" s="264"/>
      <c r="T47" s="264"/>
      <c r="U47" s="264"/>
      <c r="V47" s="264"/>
    </row>
    <row r="48" spans="1:22" ht="15" customHeight="1" thickTop="1" x14ac:dyDescent="0.2">
      <c r="A48" s="264"/>
      <c r="B48" s="2238" t="s">
        <v>2406</v>
      </c>
      <c r="C48" s="2238"/>
      <c r="D48" s="2238"/>
      <c r="E48" s="2238"/>
      <c r="F48" s="1710"/>
      <c r="G48" s="1710"/>
      <c r="H48" s="1710"/>
      <c r="I48" s="1710"/>
      <c r="J48" s="264"/>
      <c r="K48" s="264"/>
      <c r="L48" s="264"/>
      <c r="M48" s="264"/>
      <c r="N48" s="264"/>
      <c r="O48" s="264"/>
      <c r="P48" s="264"/>
      <c r="Q48" s="264"/>
      <c r="R48" s="264"/>
      <c r="S48" s="264"/>
      <c r="T48" s="264"/>
      <c r="U48" s="264"/>
      <c r="V48" s="264"/>
    </row>
    <row r="49" spans="1:22" ht="15" customHeight="1" x14ac:dyDescent="0.2">
      <c r="A49" s="264"/>
      <c r="B49" s="1710"/>
      <c r="C49" s="1710"/>
      <c r="D49" s="1710"/>
      <c r="E49" s="1710"/>
      <c r="F49" s="1710"/>
      <c r="G49" s="1710"/>
      <c r="H49" s="1710"/>
      <c r="I49" s="1710"/>
      <c r="J49" s="264"/>
      <c r="K49" s="264"/>
      <c r="L49" s="264"/>
      <c r="M49" s="264"/>
      <c r="N49" s="264"/>
      <c r="O49" s="264"/>
      <c r="P49" s="264"/>
      <c r="Q49" s="264"/>
      <c r="R49" s="264"/>
      <c r="S49" s="264"/>
      <c r="T49" s="264"/>
      <c r="U49" s="264"/>
      <c r="V49" s="264"/>
    </row>
    <row r="50" spans="1:22" ht="15" customHeight="1" x14ac:dyDescent="0.2">
      <c r="A50" s="264"/>
      <c r="B50" s="1710"/>
      <c r="C50" s="1710"/>
      <c r="D50" s="1710"/>
      <c r="E50" s="1710"/>
      <c r="F50" s="1710"/>
      <c r="G50" s="1710"/>
      <c r="H50" s="1710"/>
      <c r="I50" s="1710"/>
      <c r="J50" s="264"/>
      <c r="K50" s="264"/>
      <c r="L50" s="264"/>
      <c r="M50" s="264"/>
      <c r="N50" s="264"/>
      <c r="O50" s="264"/>
      <c r="P50" s="264"/>
      <c r="Q50" s="264"/>
      <c r="R50" s="264"/>
      <c r="S50" s="264"/>
      <c r="T50" s="264"/>
      <c r="U50" s="264"/>
      <c r="V50" s="264"/>
    </row>
    <row r="51" spans="1:22" ht="15" customHeight="1" x14ac:dyDescent="0.2">
      <c r="A51" s="264"/>
      <c r="B51" s="1710"/>
      <c r="C51" s="1710"/>
      <c r="D51" s="1710"/>
      <c r="E51" s="1710"/>
      <c r="F51" s="1710"/>
      <c r="G51" s="1710"/>
      <c r="H51" s="1710"/>
      <c r="I51" s="1710"/>
      <c r="J51" s="264"/>
      <c r="K51" s="264"/>
      <c r="L51" s="264"/>
      <c r="M51" s="264"/>
      <c r="N51" s="264"/>
      <c r="O51" s="264"/>
      <c r="P51" s="264"/>
      <c r="Q51" s="264"/>
      <c r="R51" s="264"/>
      <c r="S51" s="264"/>
      <c r="T51" s="264"/>
      <c r="U51" s="264"/>
      <c r="V51" s="264"/>
    </row>
    <row r="52" spans="1:22" ht="15" customHeight="1" x14ac:dyDescent="0.2">
      <c r="A52" s="264"/>
      <c r="B52" s="1710"/>
      <c r="C52" s="1710"/>
      <c r="D52" s="1710"/>
      <c r="E52" s="1710"/>
      <c r="F52" s="1710"/>
      <c r="G52" s="1710"/>
      <c r="H52" s="1710"/>
      <c r="I52" s="1710"/>
      <c r="J52" s="264"/>
      <c r="K52" s="264"/>
      <c r="L52" s="264"/>
      <c r="M52" s="264"/>
      <c r="N52" s="264"/>
      <c r="O52" s="264"/>
      <c r="P52" s="264"/>
      <c r="Q52" s="264"/>
      <c r="R52" s="264"/>
      <c r="S52" s="264"/>
      <c r="T52" s="264"/>
      <c r="U52" s="264"/>
      <c r="V52" s="264"/>
    </row>
    <row r="53" spans="1:22" ht="15" customHeight="1" x14ac:dyDescent="0.2">
      <c r="A53" s="264"/>
      <c r="B53" s="1710"/>
      <c r="C53" s="1710"/>
      <c r="D53" s="1710"/>
      <c r="E53" s="1710"/>
      <c r="F53" s="1710"/>
      <c r="G53" s="1710"/>
      <c r="H53" s="1710"/>
      <c r="I53" s="1710"/>
      <c r="J53" s="264"/>
      <c r="K53" s="264"/>
      <c r="L53" s="264"/>
      <c r="M53" s="264"/>
      <c r="N53" s="264"/>
      <c r="O53" s="264"/>
      <c r="P53" s="264"/>
      <c r="Q53" s="264"/>
      <c r="R53" s="264"/>
      <c r="S53" s="264"/>
      <c r="T53" s="264"/>
      <c r="U53" s="264"/>
      <c r="V53" s="264"/>
    </row>
    <row r="54" spans="1:22" ht="15" customHeight="1" x14ac:dyDescent="0.2">
      <c r="A54" s="264"/>
      <c r="B54" s="1710"/>
      <c r="C54" s="1710"/>
      <c r="D54" s="1710"/>
      <c r="E54" s="1710"/>
      <c r="F54" s="1710"/>
      <c r="G54" s="1710"/>
      <c r="H54" s="1710"/>
      <c r="I54" s="1710"/>
      <c r="J54" s="264"/>
      <c r="K54" s="264"/>
      <c r="L54" s="264"/>
      <c r="M54" s="264"/>
      <c r="N54" s="264"/>
      <c r="O54" s="264"/>
      <c r="P54" s="264"/>
      <c r="Q54" s="264"/>
      <c r="R54" s="264"/>
      <c r="S54" s="264"/>
      <c r="T54" s="264"/>
      <c r="U54" s="264"/>
      <c r="V54" s="264"/>
    </row>
    <row r="55" spans="1:22" ht="15" customHeight="1" x14ac:dyDescent="0.2">
      <c r="A55" s="264"/>
      <c r="B55" s="1710"/>
      <c r="C55" s="1710"/>
      <c r="D55" s="1710"/>
      <c r="E55" s="1710"/>
      <c r="F55" s="1710"/>
      <c r="G55" s="1710"/>
      <c r="H55" s="1710"/>
      <c r="I55" s="1710"/>
      <c r="J55" s="264"/>
      <c r="K55" s="264"/>
      <c r="L55" s="264"/>
      <c r="M55" s="264"/>
      <c r="N55" s="264"/>
      <c r="O55" s="264"/>
      <c r="P55" s="264"/>
      <c r="Q55" s="264"/>
      <c r="R55" s="264"/>
      <c r="S55" s="264"/>
      <c r="T55" s="264"/>
      <c r="U55" s="264"/>
      <c r="V55" s="264"/>
    </row>
    <row r="56" spans="1:22" ht="15" customHeight="1" x14ac:dyDescent="0.2">
      <c r="A56" s="264"/>
      <c r="B56" s="1710"/>
      <c r="C56" s="1710"/>
      <c r="D56" s="1710"/>
      <c r="E56" s="1710"/>
      <c r="F56" s="1710"/>
      <c r="G56" s="1710"/>
      <c r="H56" s="1710"/>
      <c r="I56" s="1710"/>
      <c r="J56" s="264"/>
      <c r="K56" s="264"/>
      <c r="L56" s="264"/>
      <c r="M56" s="264"/>
      <c r="N56" s="264"/>
      <c r="O56" s="264"/>
      <c r="P56" s="264"/>
      <c r="Q56" s="264"/>
      <c r="R56" s="264"/>
      <c r="S56" s="264"/>
      <c r="T56" s="264"/>
      <c r="U56" s="264"/>
      <c r="V56" s="264"/>
    </row>
    <row r="57" spans="1:22" ht="15" customHeight="1" x14ac:dyDescent="0.2">
      <c r="A57" s="264"/>
      <c r="B57" s="1710"/>
      <c r="C57" s="1710"/>
      <c r="D57" s="1710"/>
      <c r="E57" s="1710"/>
      <c r="F57" s="1710"/>
      <c r="G57" s="1710"/>
      <c r="H57" s="1710"/>
      <c r="I57" s="1710"/>
      <c r="J57" s="264"/>
      <c r="K57" s="264"/>
      <c r="L57" s="264"/>
      <c r="M57" s="264"/>
      <c r="N57" s="264"/>
      <c r="O57" s="264"/>
      <c r="P57" s="264"/>
      <c r="Q57" s="264"/>
      <c r="R57" s="264"/>
      <c r="S57" s="264"/>
      <c r="T57" s="264"/>
      <c r="U57" s="264"/>
      <c r="V57" s="264"/>
    </row>
    <row r="58" spans="1:22" ht="15" customHeight="1" x14ac:dyDescent="0.2">
      <c r="A58" s="264"/>
      <c r="B58" s="1710"/>
      <c r="C58" s="1710"/>
      <c r="D58" s="1710"/>
      <c r="E58" s="1710"/>
      <c r="F58" s="1710"/>
      <c r="G58" s="1710"/>
      <c r="H58" s="1710"/>
      <c r="I58" s="1710"/>
      <c r="J58" s="264"/>
      <c r="K58" s="264"/>
      <c r="L58" s="264"/>
      <c r="M58" s="264"/>
      <c r="N58" s="264"/>
      <c r="O58" s="264"/>
      <c r="P58" s="264"/>
      <c r="Q58" s="264"/>
      <c r="R58" s="264"/>
      <c r="S58" s="264"/>
      <c r="T58" s="264"/>
      <c r="U58" s="264"/>
      <c r="V58" s="264"/>
    </row>
    <row r="59" spans="1:22" ht="15" customHeight="1" x14ac:dyDescent="0.2">
      <c r="A59" s="264"/>
      <c r="B59" s="1710"/>
      <c r="C59" s="1710"/>
      <c r="D59" s="1710"/>
      <c r="E59" s="1710"/>
      <c r="F59" s="1710"/>
      <c r="G59" s="1710"/>
      <c r="H59" s="1710"/>
      <c r="I59" s="1710"/>
      <c r="J59" s="264"/>
      <c r="K59" s="264"/>
      <c r="L59" s="264"/>
      <c r="M59" s="264"/>
      <c r="N59" s="264"/>
      <c r="O59" s="264"/>
      <c r="P59" s="264"/>
      <c r="Q59" s="264"/>
      <c r="R59" s="264"/>
      <c r="S59" s="264"/>
      <c r="T59" s="264"/>
      <c r="U59" s="264"/>
      <c r="V59" s="264"/>
    </row>
    <row r="60" spans="1:22" ht="15" customHeight="1" x14ac:dyDescent="0.2">
      <c r="A60" s="264"/>
      <c r="B60" s="1710"/>
      <c r="C60" s="1710"/>
      <c r="D60" s="1710"/>
      <c r="E60" s="1710"/>
      <c r="F60" s="1710"/>
      <c r="G60" s="1710"/>
      <c r="H60" s="1710"/>
      <c r="I60" s="1710"/>
      <c r="J60" s="264"/>
      <c r="K60" s="264"/>
      <c r="L60" s="264"/>
      <c r="M60" s="264"/>
      <c r="N60" s="264"/>
      <c r="O60" s="264"/>
      <c r="P60" s="264"/>
      <c r="Q60" s="264"/>
      <c r="R60" s="264"/>
      <c r="S60" s="264"/>
      <c r="T60" s="264"/>
      <c r="U60" s="264"/>
      <c r="V60" s="264"/>
    </row>
    <row r="61" spans="1:22" ht="15" customHeight="1" x14ac:dyDescent="0.2">
      <c r="A61" s="264"/>
      <c r="B61" s="1710"/>
      <c r="C61" s="1710"/>
      <c r="D61" s="1710"/>
      <c r="E61" s="1710"/>
      <c r="F61" s="1710"/>
      <c r="G61" s="1710"/>
      <c r="H61" s="1710"/>
      <c r="I61" s="1710"/>
      <c r="J61" s="264"/>
      <c r="K61" s="264"/>
      <c r="L61" s="264"/>
      <c r="M61" s="264"/>
      <c r="N61" s="264"/>
      <c r="O61" s="264"/>
      <c r="P61" s="264"/>
      <c r="Q61" s="264"/>
      <c r="R61" s="264"/>
      <c r="S61" s="264"/>
      <c r="T61" s="264"/>
      <c r="U61" s="264"/>
      <c r="V61" s="264"/>
    </row>
    <row r="62" spans="1:22" ht="15" customHeight="1" x14ac:dyDescent="0.2">
      <c r="A62" s="264"/>
      <c r="B62" s="1710"/>
      <c r="C62" s="1710"/>
      <c r="D62" s="1710"/>
      <c r="E62" s="1710"/>
      <c r="F62" s="1710"/>
      <c r="G62" s="1710"/>
      <c r="H62" s="1710"/>
      <c r="I62" s="1710"/>
      <c r="J62" s="264"/>
      <c r="K62" s="264"/>
      <c r="L62" s="264"/>
      <c r="M62" s="264"/>
      <c r="N62" s="264"/>
      <c r="O62" s="264"/>
      <c r="P62" s="264"/>
      <c r="Q62" s="264"/>
      <c r="R62" s="264"/>
      <c r="S62" s="264"/>
      <c r="T62" s="264"/>
      <c r="U62" s="264"/>
      <c r="V62" s="264"/>
    </row>
    <row r="63" spans="1:22" ht="15" customHeight="1" x14ac:dyDescent="0.2">
      <c r="A63" s="264"/>
      <c r="B63" s="1710"/>
      <c r="C63" s="1710"/>
      <c r="D63" s="1710"/>
      <c r="E63" s="1710"/>
      <c r="F63" s="1710"/>
      <c r="G63" s="1710"/>
      <c r="H63" s="1710"/>
      <c r="I63" s="1710"/>
      <c r="J63" s="264"/>
      <c r="K63" s="264"/>
      <c r="L63" s="264"/>
      <c r="M63" s="264"/>
      <c r="N63" s="264"/>
      <c r="O63" s="264"/>
      <c r="P63" s="264"/>
      <c r="Q63" s="264"/>
      <c r="R63" s="264"/>
      <c r="S63" s="264"/>
      <c r="T63" s="264"/>
      <c r="U63" s="264"/>
      <c r="V63" s="264"/>
    </row>
    <row r="64" spans="1:22" ht="15" customHeight="1" x14ac:dyDescent="0.2">
      <c r="A64" s="264"/>
      <c r="B64" s="1710"/>
      <c r="C64" s="1710"/>
      <c r="D64" s="1710"/>
      <c r="E64" s="1710"/>
      <c r="F64" s="1710"/>
      <c r="G64" s="1710"/>
      <c r="H64" s="1710"/>
      <c r="I64" s="1710"/>
      <c r="J64" s="264"/>
      <c r="K64" s="264"/>
      <c r="L64" s="264"/>
      <c r="M64" s="264"/>
      <c r="N64" s="264"/>
      <c r="O64" s="264"/>
      <c r="P64" s="264"/>
      <c r="Q64" s="264"/>
      <c r="R64" s="264"/>
      <c r="S64" s="264"/>
      <c r="T64" s="264"/>
      <c r="U64" s="264"/>
      <c r="V64" s="264"/>
    </row>
    <row r="65" spans="1:22" ht="15" customHeight="1" x14ac:dyDescent="0.2">
      <c r="A65" s="264"/>
      <c r="B65" s="1710"/>
      <c r="C65" s="1710"/>
      <c r="D65" s="1710"/>
      <c r="E65" s="1710"/>
      <c r="F65" s="1710"/>
      <c r="G65" s="1710"/>
      <c r="H65" s="1710"/>
      <c r="I65" s="1710"/>
      <c r="J65" s="264"/>
      <c r="K65" s="264"/>
      <c r="L65" s="264"/>
      <c r="M65" s="264"/>
      <c r="N65" s="264"/>
      <c r="O65" s="264"/>
      <c r="P65" s="264"/>
      <c r="Q65" s="264"/>
      <c r="R65" s="264"/>
      <c r="S65" s="264"/>
      <c r="T65" s="264"/>
      <c r="U65" s="264"/>
      <c r="V65" s="264"/>
    </row>
    <row r="66" spans="1:22" ht="15" customHeight="1" x14ac:dyDescent="0.2">
      <c r="A66" s="264"/>
      <c r="B66" s="1710"/>
      <c r="C66" s="1710"/>
      <c r="D66" s="1710"/>
      <c r="E66" s="1710"/>
      <c r="F66" s="1710"/>
      <c r="G66" s="1710"/>
      <c r="H66" s="1710"/>
      <c r="I66" s="1710"/>
      <c r="J66" s="264"/>
      <c r="K66" s="264"/>
      <c r="L66" s="264"/>
      <c r="M66" s="264"/>
      <c r="N66" s="264"/>
      <c r="O66" s="264"/>
      <c r="P66" s="264"/>
      <c r="Q66" s="264"/>
      <c r="R66" s="264"/>
      <c r="S66" s="264"/>
      <c r="T66" s="264"/>
      <c r="U66" s="264"/>
      <c r="V66" s="264"/>
    </row>
    <row r="67" spans="1:22" ht="15" customHeight="1" x14ac:dyDescent="0.2">
      <c r="A67" s="264"/>
      <c r="B67" s="1710"/>
      <c r="C67" s="1710"/>
      <c r="D67" s="1710"/>
      <c r="E67" s="1710"/>
      <c r="F67" s="1710"/>
      <c r="G67" s="1710"/>
      <c r="H67" s="1710"/>
      <c r="I67" s="1710"/>
      <c r="J67" s="264"/>
      <c r="K67" s="264"/>
      <c r="L67" s="264"/>
      <c r="M67" s="264"/>
      <c r="N67" s="264"/>
      <c r="O67" s="264"/>
      <c r="P67" s="264"/>
      <c r="Q67" s="264"/>
      <c r="R67" s="264"/>
      <c r="S67" s="264"/>
      <c r="T67" s="264"/>
      <c r="U67" s="264"/>
      <c r="V67" s="264"/>
    </row>
    <row r="68" spans="1:22" ht="15" customHeight="1" x14ac:dyDescent="0.2">
      <c r="A68" s="264"/>
      <c r="B68" s="1710"/>
      <c r="C68" s="1710"/>
      <c r="D68" s="1710"/>
      <c r="E68" s="1710"/>
      <c r="F68" s="1710"/>
      <c r="G68" s="1710"/>
      <c r="H68" s="1710"/>
      <c r="I68" s="1710"/>
      <c r="J68" s="264"/>
      <c r="K68" s="264"/>
      <c r="L68" s="264"/>
      <c r="M68" s="264"/>
      <c r="N68" s="264"/>
      <c r="O68" s="264"/>
      <c r="P68" s="264"/>
      <c r="Q68" s="264"/>
      <c r="R68" s="264"/>
      <c r="S68" s="264"/>
      <c r="T68" s="264"/>
      <c r="U68" s="264"/>
      <c r="V68" s="264"/>
    </row>
    <row r="69" spans="1:22" ht="15" customHeight="1" x14ac:dyDescent="0.2">
      <c r="A69" s="264"/>
      <c r="B69" s="1710"/>
      <c r="C69" s="1710"/>
      <c r="D69" s="1710"/>
      <c r="E69" s="1710"/>
      <c r="F69" s="1710"/>
      <c r="G69" s="1710"/>
      <c r="H69" s="1710"/>
      <c r="I69" s="1710"/>
      <c r="J69" s="264"/>
      <c r="K69" s="264"/>
      <c r="L69" s="264"/>
      <c r="M69" s="264"/>
      <c r="N69" s="264"/>
      <c r="O69" s="264"/>
      <c r="P69" s="264"/>
      <c r="Q69" s="264"/>
      <c r="R69" s="264"/>
      <c r="S69" s="264"/>
      <c r="T69" s="264"/>
      <c r="U69" s="264"/>
      <c r="V69" s="264"/>
    </row>
    <row r="70" spans="1:22" ht="15" customHeight="1" x14ac:dyDescent="0.2">
      <c r="A70" s="264"/>
      <c r="B70" s="1710"/>
      <c r="C70" s="1710"/>
      <c r="D70" s="1710"/>
      <c r="E70" s="1710"/>
      <c r="F70" s="1710"/>
      <c r="G70" s="1710"/>
      <c r="H70" s="1710"/>
      <c r="I70" s="1710"/>
      <c r="J70" s="264"/>
      <c r="K70" s="264"/>
      <c r="L70" s="264"/>
      <c r="M70" s="264"/>
      <c r="N70" s="264"/>
      <c r="O70" s="264"/>
      <c r="P70" s="264"/>
      <c r="Q70" s="264"/>
      <c r="R70" s="264"/>
      <c r="S70" s="264"/>
      <c r="T70" s="264"/>
      <c r="U70" s="264"/>
      <c r="V70" s="264"/>
    </row>
    <row r="71" spans="1:22" ht="15" customHeight="1" x14ac:dyDescent="0.2">
      <c r="A71" s="264"/>
      <c r="B71" s="1710"/>
      <c r="C71" s="1710"/>
      <c r="D71" s="1710"/>
      <c r="E71" s="1710"/>
      <c r="F71" s="1710"/>
      <c r="G71" s="1710"/>
      <c r="H71" s="1710"/>
      <c r="I71" s="1710"/>
      <c r="J71" s="264"/>
      <c r="K71" s="264"/>
      <c r="L71" s="264"/>
      <c r="M71" s="264"/>
      <c r="N71" s="264"/>
      <c r="O71" s="264"/>
      <c r="P71" s="264"/>
      <c r="Q71" s="264"/>
      <c r="R71" s="264"/>
      <c r="S71" s="264"/>
      <c r="T71" s="264"/>
      <c r="U71" s="264"/>
      <c r="V71" s="264"/>
    </row>
    <row r="72" spans="1:22" ht="15" customHeight="1" x14ac:dyDescent="0.2">
      <c r="A72" s="264"/>
      <c r="B72" s="1710"/>
      <c r="C72" s="1710"/>
      <c r="D72" s="1710"/>
      <c r="E72" s="1710"/>
      <c r="F72" s="1710"/>
      <c r="G72" s="1710"/>
      <c r="H72" s="1710"/>
      <c r="I72" s="1710"/>
      <c r="J72" s="264"/>
      <c r="K72" s="264"/>
      <c r="L72" s="264"/>
      <c r="M72" s="264"/>
      <c r="N72" s="264"/>
      <c r="O72" s="264"/>
      <c r="P72" s="264"/>
      <c r="Q72" s="264"/>
      <c r="R72" s="264"/>
      <c r="S72" s="264"/>
      <c r="T72" s="264"/>
      <c r="U72" s="264"/>
      <c r="V72" s="264"/>
    </row>
    <row r="73" spans="1:22" ht="15" customHeight="1" x14ac:dyDescent="0.2">
      <c r="A73" s="264"/>
      <c r="B73" s="1710"/>
      <c r="C73" s="1710"/>
      <c r="D73" s="1710"/>
      <c r="E73" s="1710"/>
      <c r="F73" s="1710"/>
      <c r="G73" s="1710"/>
      <c r="H73" s="1710"/>
      <c r="I73" s="1710"/>
      <c r="J73" s="264"/>
      <c r="K73" s="264"/>
      <c r="L73" s="264"/>
      <c r="M73" s="264"/>
      <c r="N73" s="264"/>
      <c r="O73" s="264"/>
      <c r="P73" s="264"/>
      <c r="Q73" s="264"/>
      <c r="R73" s="264"/>
      <c r="S73" s="264"/>
      <c r="T73" s="264"/>
      <c r="U73" s="264"/>
      <c r="V73" s="264"/>
    </row>
    <row r="74" spans="1:22" ht="15" customHeight="1" x14ac:dyDescent="0.2">
      <c r="A74" s="264"/>
      <c r="B74" s="1710"/>
      <c r="C74" s="1710"/>
      <c r="D74" s="1710"/>
      <c r="E74" s="1710"/>
      <c r="F74" s="1710"/>
      <c r="G74" s="1710"/>
      <c r="H74" s="1710"/>
      <c r="I74" s="1710"/>
      <c r="J74" s="264"/>
      <c r="K74" s="264"/>
      <c r="L74" s="264"/>
      <c r="M74" s="264"/>
      <c r="N74" s="264"/>
      <c r="O74" s="264"/>
      <c r="P74" s="264"/>
      <c r="Q74" s="264"/>
      <c r="R74" s="264"/>
      <c r="S74" s="264"/>
      <c r="T74" s="264"/>
      <c r="U74" s="264"/>
      <c r="V74" s="264"/>
    </row>
    <row r="75" spans="1:22" ht="15" customHeight="1" x14ac:dyDescent="0.2">
      <c r="A75" s="264"/>
      <c r="B75" s="1710"/>
      <c r="C75" s="1710"/>
      <c r="D75" s="1710"/>
      <c r="E75" s="1710"/>
      <c r="F75" s="1710"/>
      <c r="G75" s="1710"/>
      <c r="H75" s="1710"/>
      <c r="I75" s="1710"/>
      <c r="J75" s="264"/>
      <c r="K75" s="264"/>
      <c r="L75" s="264"/>
      <c r="M75" s="264"/>
      <c r="N75" s="264"/>
      <c r="O75" s="264"/>
      <c r="P75" s="264"/>
      <c r="Q75" s="264"/>
      <c r="R75" s="264"/>
      <c r="S75" s="264"/>
      <c r="T75" s="264"/>
      <c r="U75" s="264"/>
      <c r="V75" s="264"/>
    </row>
    <row r="76" spans="1:22" ht="15" customHeight="1" x14ac:dyDescent="0.2">
      <c r="A76" s="264"/>
      <c r="B76" s="1710"/>
      <c r="C76" s="1710"/>
      <c r="D76" s="1710"/>
      <c r="E76" s="1710"/>
      <c r="F76" s="1710"/>
      <c r="G76" s="1710"/>
      <c r="H76" s="1710"/>
      <c r="I76" s="1710"/>
      <c r="J76" s="264"/>
      <c r="K76" s="264"/>
      <c r="L76" s="264"/>
      <c r="M76" s="264"/>
      <c r="N76" s="264"/>
      <c r="O76" s="264"/>
      <c r="P76" s="264"/>
      <c r="Q76" s="264"/>
      <c r="R76" s="264"/>
      <c r="S76" s="264"/>
      <c r="T76" s="264"/>
      <c r="U76" s="264"/>
      <c r="V76" s="264"/>
    </row>
    <row r="77" spans="1:22" ht="15" customHeight="1" x14ac:dyDescent="0.2">
      <c r="A77" s="1710"/>
      <c r="B77" s="1710"/>
      <c r="C77" s="1710"/>
      <c r="D77" s="1710"/>
      <c r="E77" s="1710"/>
      <c r="F77" s="1710"/>
      <c r="G77" s="1710"/>
      <c r="H77" s="1710"/>
      <c r="I77" s="1710"/>
      <c r="J77" s="264"/>
      <c r="K77" s="264"/>
      <c r="L77" s="264"/>
      <c r="M77" s="264"/>
      <c r="N77" s="264"/>
      <c r="O77" s="264"/>
      <c r="P77" s="264"/>
      <c r="Q77" s="264"/>
      <c r="R77" s="264"/>
      <c r="S77" s="264"/>
      <c r="T77" s="264"/>
      <c r="U77" s="264"/>
      <c r="V77" s="264"/>
    </row>
    <row r="78" spans="1:22" ht="33.75" customHeight="1" x14ac:dyDescent="0.2">
      <c r="A78" s="264"/>
      <c r="B78" s="264"/>
      <c r="C78" s="264"/>
      <c r="D78" s="264"/>
      <c r="E78" s="264"/>
      <c r="F78" s="264"/>
      <c r="G78" s="264"/>
      <c r="H78" s="264"/>
      <c r="I78" s="264"/>
      <c r="J78" s="264"/>
      <c r="K78" s="264"/>
      <c r="L78" s="264"/>
      <c r="M78" s="264"/>
      <c r="N78" s="264"/>
      <c r="O78" s="264"/>
      <c r="P78" s="264"/>
      <c r="Q78" s="264"/>
      <c r="R78" s="264"/>
      <c r="S78" s="264"/>
      <c r="T78" s="264"/>
      <c r="U78" s="264"/>
      <c r="V78" s="264"/>
    </row>
    <row r="79" spans="1:22" ht="15" customHeight="1" x14ac:dyDescent="0.2">
      <c r="A79" s="264"/>
      <c r="B79" s="2194" t="s">
        <v>2373</v>
      </c>
      <c r="C79" s="2195"/>
      <c r="D79" s="2195"/>
      <c r="E79" s="2195"/>
      <c r="F79" s="2195"/>
      <c r="G79" s="2195"/>
      <c r="H79" s="2196"/>
      <c r="I79" s="264"/>
      <c r="J79" s="264"/>
      <c r="K79" s="264"/>
      <c r="L79" s="264"/>
      <c r="M79" s="2182" t="s">
        <v>2364</v>
      </c>
      <c r="N79" s="2182"/>
      <c r="O79" s="2182"/>
      <c r="P79" s="2182"/>
      <c r="Q79" s="2182"/>
      <c r="R79" s="2182"/>
      <c r="S79" s="264"/>
      <c r="T79" s="264"/>
      <c r="U79" s="264" t="str">
        <f ca="1">IF(IFERROR(5*10^6/H22,0)=V79,"максимум","пятой части")</f>
        <v>пятой части</v>
      </c>
      <c r="V79" s="264">
        <f ca="1">MIN(0.2,IFERROR(5*10^6/H$22,0.2))</f>
        <v>0.2</v>
      </c>
    </row>
    <row r="80" spans="1:22" ht="30" customHeight="1" x14ac:dyDescent="0.2">
      <c r="A80" s="264"/>
      <c r="B80" s="2251" t="s">
        <v>2395</v>
      </c>
      <c r="C80" s="2252"/>
      <c r="D80" s="2252"/>
      <c r="E80" s="2252"/>
      <c r="F80" s="2252"/>
      <c r="G80" s="2253"/>
      <c r="H80" s="1728" t="str">
        <f ca="1">IFERROR(H81+H82,"")</f>
        <v/>
      </c>
      <c r="I80" s="264"/>
      <c r="J80" s="264"/>
      <c r="K80" s="264"/>
      <c r="L80" s="264"/>
      <c r="M80" s="1761" t="s">
        <v>2413</v>
      </c>
      <c r="N80" s="2183" t="str">
        <f ca="1">"от годового объема расходов на оплату энергетических ресурсов в вашем доме"&amp;IF(H22=0,","," (что составит: "&amp;TEXT(INDEX(U79:V88,MATCH(M80,U79:U88,0),2)*H22,"# ###")&amp;" рублей),")</f>
        <v>от годового объема расходов на оплату энергетических ресурсов в вашем доме,</v>
      </c>
      <c r="O80" s="2183"/>
      <c r="P80" s="2183"/>
      <c r="Q80" s="2183"/>
      <c r="R80" s="2183"/>
      <c r="S80" s="264"/>
      <c r="T80" s="264"/>
      <c r="U80" s="264" t="str">
        <f ca="1">IF(IFERROR(5*10^6/H22,0)=V80,"максимум","четверти")</f>
        <v>четверти</v>
      </c>
      <c r="V80" s="264">
        <f ca="1">MIN(0.25,IFERROR(5*10^6/H$22,0.25))</f>
        <v>0.25</v>
      </c>
    </row>
    <row r="81" spans="1:22" ht="30" customHeight="1" x14ac:dyDescent="0.2">
      <c r="A81" s="264"/>
      <c r="B81" s="2171" t="str">
        <f>IF('Ввод исходных данных'!D42=INDEX(SposobRascheta,3),
"Расчёт поддержки на мероприятия по повышению энергоэффективности"&amp;CHAR(10)&amp;"доступен тольков режиме "&amp;CHAR(34)&amp;"детального расчёта"&amp;CHAR(34),
"на мероприятия по повышению энергоэффективности, руб.")</f>
        <v>на мероприятия по повышению энергоэффективности, руб.</v>
      </c>
      <c r="C81" s="2172"/>
      <c r="D81" s="2172"/>
      <c r="E81" s="2172"/>
      <c r="F81" s="2172"/>
      <c r="G81" s="2173"/>
      <c r="H81" s="1719" t="str">
        <f ca="1">IFERROR(
                 IF('Ввод исходных данных'!D42=INDEX(SposobRascheta,3),
                              0,
                              MIN(5*10^6,
                                          0.8*H18,
                                          H16,
                                          H22*H33*IF(H33&lt;0.1,
                                                                           0,
                                                                           MIN(4,
                                                                                       10*H33+1)))),"")</f>
        <v/>
      </c>
      <c r="I81" s="2179" t="str">
        <f>IF(H16&gt;0,"","&lt; Укажите стоимость капитального ремонта"&amp;CHAR(10)&amp;"   и мероприятий по энергосбережению!")</f>
        <v>&lt; Укажите стоимость капитального ремонта
   и мероприятий по энергосбережению!</v>
      </c>
      <c r="J81" s="2180"/>
      <c r="K81" s="2180"/>
      <c r="L81" s="1558"/>
      <c r="M81" s="2184" t="s">
        <v>2396</v>
      </c>
      <c r="N81" s="2184"/>
      <c r="O81" s="2184"/>
      <c r="P81" s="2184"/>
      <c r="Q81" s="2185">
        <f ca="1">IF(INDEX(U79:V88,MATCH(M80,U79:U88,0),2)&gt;=1.2,INDEX(U79:V88,MATCH(M80,U79:U88,0),2)/4,(SQRT(1+40*INDEX(U79:V88,MATCH(M80,U79:U88,0),2))-1)/20)</f>
        <v>0.17912878474779198</v>
      </c>
      <c r="R81" s="2185"/>
      <c r="S81" s="264"/>
      <c r="T81" s="264"/>
      <c r="U81" s="264" t="str">
        <f ca="1">IF(IFERROR(5*10^6/H22,0)=V81,"максимум","трети")</f>
        <v>трети</v>
      </c>
      <c r="V81" s="264">
        <f ca="1">MIN(0.33,IFERROR(5*10^6/H$22,0.33))</f>
        <v>0.33</v>
      </c>
    </row>
    <row r="82" spans="1:22" ht="30" customHeight="1" x14ac:dyDescent="0.2">
      <c r="A82" s="264"/>
      <c r="B82" s="2191" t="s">
        <v>2398</v>
      </c>
      <c r="C82" s="2192"/>
      <c r="D82" s="2192"/>
      <c r="E82" s="2192"/>
      <c r="F82" s="2192"/>
      <c r="G82" s="2193"/>
      <c r="H82" s="1729" t="str">
        <f ca="1">IFERROR(MIN(5*10^6-H81,0.8*H18-H81,I120),"")</f>
        <v/>
      </c>
      <c r="I82" s="2181" t="str">
        <f ca="1">IFERROR(IF(H82&lt;I120,"&lt; Ограничено максимальным размером поддержки!"&amp;CHAR(10)&amp;"   ","&lt; "),"")&amp;
IF(AND(H82&lt;&gt;"",IFERROR(H82,0)&gt;0),"Это ориентировочная сумма. Окончательная сумма зависит"&amp;CHAR(10)&amp;"   от условий вашего кредитного договора.","")</f>
        <v xml:space="preserve">&lt; </v>
      </c>
      <c r="J82" s="2181"/>
      <c r="K82" s="2181"/>
      <c r="L82" s="2181"/>
      <c r="M82" s="2187" t="s">
        <v>2368</v>
      </c>
      <c r="N82" s="2187"/>
      <c r="O82" s="2187"/>
      <c r="P82" s="2187"/>
      <c r="Q82" s="2185" t="str">
        <f ca="1">TEXT(INDEX(U79:V88,MATCH(M80,U79:U88,0),2)*H22/0.8,"# ###")&amp;CHAR(32)&amp;"руб."</f>
        <v xml:space="preserve"> руб.</v>
      </c>
      <c r="R82" s="2185"/>
      <c r="S82" s="264"/>
      <c r="T82" s="264"/>
      <c r="U82" s="264" t="str">
        <f ca="1">IF(IFERROR(5*10^6/H22,0)=V82,"максимум","половины")</f>
        <v>половины</v>
      </c>
      <c r="V82" s="264">
        <f ca="1">MIN(0.5,IFERROR(5*10^6/H$22,0.5))</f>
        <v>0.5</v>
      </c>
    </row>
    <row r="83" spans="1:22" ht="15" customHeight="1" x14ac:dyDescent="0.2">
      <c r="A83" s="264"/>
      <c r="B83" s="2257" t="s">
        <v>2407</v>
      </c>
      <c r="C83" s="2257"/>
      <c r="D83" s="2257"/>
      <c r="E83" s="2257"/>
      <c r="F83" s="2257"/>
      <c r="G83" s="2257"/>
      <c r="H83" s="1708"/>
      <c r="I83" s="2181"/>
      <c r="J83" s="2181"/>
      <c r="K83" s="2181"/>
      <c r="L83" s="2181"/>
      <c r="M83" s="264"/>
      <c r="N83" s="264"/>
      <c r="O83" s="264"/>
      <c r="P83" s="264"/>
      <c r="Q83" s="264"/>
      <c r="R83" s="264"/>
      <c r="S83" s="264"/>
      <c r="T83" s="264"/>
      <c r="U83" s="264" t="str">
        <f ca="1">IF(IFERROR(5*10^6/H22,0)=V83,"максимум","двух третей")</f>
        <v>двух третей</v>
      </c>
      <c r="V83" s="264">
        <f ca="1">MIN(0.67,IFERROR(5*10^6/H$22,0.67))</f>
        <v>0.67</v>
      </c>
    </row>
    <row r="84" spans="1:22" x14ac:dyDescent="0.2">
      <c r="A84" s="264"/>
      <c r="B84" s="264"/>
      <c r="C84" s="264"/>
      <c r="D84" s="264"/>
      <c r="E84" s="264"/>
      <c r="F84" s="264"/>
      <c r="G84" s="264"/>
      <c r="H84" s="264"/>
      <c r="I84" s="2181"/>
      <c r="J84" s="2181"/>
      <c r="K84" s="2181"/>
      <c r="L84" s="2181"/>
      <c r="M84" s="264"/>
      <c r="N84" s="264"/>
      <c r="O84" s="264"/>
      <c r="P84" s="264"/>
      <c r="Q84" s="264"/>
      <c r="R84" s="264"/>
      <c r="S84" s="264"/>
      <c r="T84" s="264"/>
      <c r="U84" s="264" t="str">
        <f ca="1">IF(IFERROR(5*10^6/H22,0)=V84,"максимум","трёх четвертей")</f>
        <v>трёх четвертей</v>
      </c>
      <c r="V84" s="264">
        <f ca="1">MIN(0.75,IFERROR(5*10^6/H$22,0.75))</f>
        <v>0.75</v>
      </c>
    </row>
    <row r="85" spans="1:22" ht="15" customHeight="1" x14ac:dyDescent="0.2">
      <c r="A85" s="264"/>
      <c r="B85" s="264"/>
      <c r="C85" s="264"/>
      <c r="D85" s="264"/>
      <c r="E85" s="264"/>
      <c r="F85" s="264"/>
      <c r="G85" s="264"/>
      <c r="H85" s="264"/>
      <c r="I85" s="1715"/>
      <c r="J85" s="1715"/>
      <c r="K85" s="1715"/>
      <c r="L85" s="1715"/>
      <c r="M85" s="264"/>
      <c r="N85" s="264"/>
      <c r="O85" s="264"/>
      <c r="P85" s="264"/>
      <c r="Q85" s="264"/>
      <c r="R85" s="264"/>
      <c r="S85" s="264"/>
      <c r="T85" s="264"/>
      <c r="U85" s="1673" t="str">
        <f ca="1">IF(IFERROR(5*10^6/H22,0)=V85,"максимум","100%")</f>
        <v>100%</v>
      </c>
      <c r="V85" s="264">
        <f ca="1">MIN(1,IFERROR(5*10^6/H$22,1))</f>
        <v>1</v>
      </c>
    </row>
    <row r="86" spans="1:22" ht="15" customHeight="1" x14ac:dyDescent="0.2">
      <c r="A86" s="264"/>
      <c r="B86" s="2254" t="s">
        <v>2331</v>
      </c>
      <c r="C86" s="2255"/>
      <c r="D86" s="2255"/>
      <c r="E86" s="2255"/>
      <c r="F86" s="2255"/>
      <c r="G86" s="2256"/>
      <c r="H86" s="1728" t="str">
        <f>IFERROR(MAX(0,IF(ISBLANK(H9),"",H18-H9)),"")</f>
        <v/>
      </c>
      <c r="I86" s="264"/>
      <c r="J86" s="264"/>
      <c r="K86" s="264"/>
      <c r="L86" s="264"/>
      <c r="M86" s="264"/>
      <c r="N86" s="264"/>
      <c r="O86" s="264"/>
      <c r="P86" s="264"/>
      <c r="Q86" s="264"/>
      <c r="R86" s="264"/>
      <c r="S86" s="264"/>
      <c r="T86" s="264"/>
      <c r="U86" s="1673" t="str">
        <f ca="1">IF(IFERROR(5*10^6/H22,0)=V86,"максимум","150%")</f>
        <v>150%</v>
      </c>
      <c r="V86" s="264">
        <f ca="1">MIN(1.5,IFERROR(5*10^6/H$22,1.5))</f>
        <v>1.5</v>
      </c>
    </row>
    <row r="87" spans="1:22" ht="30" customHeight="1" x14ac:dyDescent="0.2">
      <c r="A87" s="264"/>
      <c r="B87" s="2171" t="s">
        <v>2374</v>
      </c>
      <c r="C87" s="2172"/>
      <c r="D87" s="2172"/>
      <c r="E87" s="2172"/>
      <c r="F87" s="2172"/>
      <c r="G87" s="2173"/>
      <c r="H87" s="1719">
        <f>-PV(H89/12,H93,H6*H5*H97*H98)</f>
        <v>0</v>
      </c>
      <c r="I87" s="264"/>
      <c r="J87" s="264"/>
      <c r="K87" s="264"/>
      <c r="L87" s="264"/>
      <c r="M87" s="264"/>
      <c r="N87" s="264"/>
      <c r="O87" s="264"/>
      <c r="P87" s="1672"/>
      <c r="Q87" s="264"/>
      <c r="R87" s="264"/>
      <c r="S87" s="264"/>
      <c r="T87" s="264"/>
      <c r="U87" s="1673" t="str">
        <f ca="1">IF(IFERROR(5*10^6/H22,0)=V87,"максимум","200%")</f>
        <v>200%</v>
      </c>
      <c r="V87" s="264">
        <f ca="1">MIN(2,IFERROR(5*10^6/H$22,2))</f>
        <v>2</v>
      </c>
    </row>
    <row r="88" spans="1:22" ht="15" customHeight="1" x14ac:dyDescent="0.2">
      <c r="A88" s="264"/>
      <c r="B88" s="2206" t="s">
        <v>2324</v>
      </c>
      <c r="C88" s="2207"/>
      <c r="D88" s="2207"/>
      <c r="E88" s="2207"/>
      <c r="F88" s="2207"/>
      <c r="G88" s="2208"/>
      <c r="H88" s="1779">
        <f>MIN(H86,H87*2)</f>
        <v>0</v>
      </c>
      <c r="I88" s="264"/>
      <c r="J88" s="264"/>
      <c r="K88" s="264"/>
      <c r="L88" s="264"/>
      <c r="M88" s="264"/>
      <c r="N88" s="264"/>
      <c r="O88" s="264"/>
      <c r="P88" s="1672"/>
      <c r="Q88" s="264"/>
      <c r="R88" s="264"/>
      <c r="S88" s="264"/>
      <c r="T88" s="264"/>
      <c r="U88" s="1673" t="str">
        <f ca="1">IF(IFERROR(5*10^6/H22,0)=V88,"максимум","300%")</f>
        <v>300%</v>
      </c>
      <c r="V88" s="264">
        <f ca="1">MIN(3,IFERROR(5*10^6/H$22,3))</f>
        <v>3</v>
      </c>
    </row>
    <row r="89" spans="1:22" ht="15" customHeight="1" x14ac:dyDescent="0.2">
      <c r="A89" s="264"/>
      <c r="B89" s="2206" t="s">
        <v>2325</v>
      </c>
      <c r="C89" s="2207"/>
      <c r="D89" s="2207"/>
      <c r="E89" s="2207"/>
      <c r="F89" s="2207"/>
      <c r="G89" s="2208"/>
      <c r="H89" s="1756">
        <v>0.14000000000000001</v>
      </c>
      <c r="I89" s="264"/>
      <c r="J89" s="264"/>
      <c r="K89" s="264"/>
      <c r="L89" s="264"/>
      <c r="M89" s="264"/>
      <c r="N89" s="264"/>
      <c r="O89" s="264"/>
      <c r="P89" s="1672"/>
      <c r="Q89" s="264"/>
      <c r="R89" s="264"/>
      <c r="S89" s="264"/>
      <c r="T89" s="264"/>
      <c r="U89" s="264"/>
      <c r="V89" s="264"/>
    </row>
    <row r="90" spans="1:22" ht="15" customHeight="1" x14ac:dyDescent="0.2">
      <c r="A90" s="264"/>
      <c r="B90" s="2206" t="s">
        <v>2326</v>
      </c>
      <c r="C90" s="2207"/>
      <c r="D90" s="2207"/>
      <c r="E90" s="2207"/>
      <c r="F90" s="2207"/>
      <c r="G90" s="2208"/>
      <c r="H90" s="1756">
        <v>7.7499999999999999E-2</v>
      </c>
      <c r="I90" s="2209" t="str">
        <f>IF(IFERROR(H90,0)=0,"&lt; Размер ключевой ставки на сегодня можно узнать на сайте ЦБ РФ: www.cbr.ru","")</f>
        <v/>
      </c>
      <c r="J90" s="2210"/>
      <c r="K90" s="2210"/>
      <c r="L90" s="264"/>
      <c r="M90" s="264"/>
      <c r="N90" s="264"/>
      <c r="O90" s="264"/>
      <c r="P90" s="1672"/>
      <c r="Q90" s="264"/>
      <c r="R90" s="264"/>
      <c r="S90" s="264"/>
      <c r="T90" s="264"/>
      <c r="U90" s="264"/>
      <c r="V90" s="264"/>
    </row>
    <row r="91" spans="1:22" ht="15" customHeight="1" x14ac:dyDescent="0.2">
      <c r="A91" s="264"/>
      <c r="B91" s="2206" t="s">
        <v>2301</v>
      </c>
      <c r="C91" s="2207"/>
      <c r="D91" s="2207"/>
      <c r="E91" s="2207"/>
      <c r="F91" s="2207"/>
      <c r="G91" s="2208"/>
      <c r="H91" s="1757">
        <f ca="1">TODAY()+30</f>
        <v>43693</v>
      </c>
      <c r="I91" s="2209"/>
      <c r="J91" s="2210"/>
      <c r="K91" s="2210"/>
      <c r="L91" s="264"/>
      <c r="M91" s="264"/>
      <c r="N91" s="264"/>
      <c r="O91" s="264"/>
      <c r="P91" s="1672"/>
      <c r="Q91" s="264"/>
      <c r="R91" s="264"/>
      <c r="S91" s="264"/>
      <c r="T91" s="264"/>
      <c r="U91" s="264"/>
      <c r="V91" s="264"/>
    </row>
    <row r="92" spans="1:22" ht="15" customHeight="1" x14ac:dyDescent="0.2">
      <c r="A92" s="264"/>
      <c r="B92" s="2206" t="s">
        <v>2302</v>
      </c>
      <c r="C92" s="2207"/>
      <c r="D92" s="2207"/>
      <c r="E92" s="2207"/>
      <c r="F92" s="2207"/>
      <c r="G92" s="2208"/>
      <c r="H92" s="1758">
        <f ca="1">DAY(H91)</f>
        <v>16</v>
      </c>
      <c r="I92" s="264"/>
      <c r="J92" s="264"/>
      <c r="K92" s="264"/>
      <c r="L92" s="264"/>
      <c r="M92" s="264"/>
      <c r="N92" s="264"/>
      <c r="O92" s="264"/>
      <c r="P92" s="1672"/>
      <c r="Q92" s="264"/>
      <c r="R92" s="264"/>
      <c r="S92" s="264"/>
      <c r="T92" s="264"/>
      <c r="U92" s="264"/>
      <c r="V92" s="264"/>
    </row>
    <row r="93" spans="1:22" ht="15" customHeight="1" x14ac:dyDescent="0.2">
      <c r="A93" s="264"/>
      <c r="B93" s="2206" t="s">
        <v>2327</v>
      </c>
      <c r="C93" s="2207"/>
      <c r="D93" s="2207"/>
      <c r="E93" s="2207"/>
      <c r="F93" s="2207"/>
      <c r="G93" s="2208"/>
      <c r="H93" s="1758">
        <v>60</v>
      </c>
      <c r="I93" s="264"/>
      <c r="J93" s="264"/>
      <c r="K93" s="264"/>
      <c r="L93" s="264"/>
      <c r="M93" s="264"/>
      <c r="N93" s="264"/>
      <c r="O93" s="264"/>
      <c r="P93" s="1672"/>
      <c r="Q93" s="264"/>
      <c r="R93" s="264"/>
      <c r="S93" s="264"/>
      <c r="T93" s="264"/>
      <c r="U93" s="264"/>
      <c r="V93" s="264"/>
    </row>
    <row r="94" spans="1:22" ht="15" customHeight="1" x14ac:dyDescent="0.2">
      <c r="A94" s="264"/>
      <c r="B94" s="2206" t="s">
        <v>2328</v>
      </c>
      <c r="C94" s="2207"/>
      <c r="D94" s="2207"/>
      <c r="E94" s="2207"/>
      <c r="F94" s="2207"/>
      <c r="G94" s="2208"/>
      <c r="H94" s="1758">
        <v>1</v>
      </c>
      <c r="I94" s="264"/>
      <c r="J94" s="264"/>
      <c r="K94" s="264"/>
      <c r="L94" s="264"/>
      <c r="M94" s="264"/>
      <c r="N94" s="264"/>
      <c r="O94" s="264"/>
      <c r="P94" s="1672"/>
      <c r="Q94" s="264"/>
      <c r="R94" s="264"/>
      <c r="S94" s="264"/>
      <c r="T94" s="264"/>
      <c r="U94" s="264"/>
      <c r="V94" s="264"/>
    </row>
    <row r="95" spans="1:22" ht="15" customHeight="1" x14ac:dyDescent="0.2">
      <c r="A95" s="264"/>
      <c r="B95" s="2206" t="s">
        <v>2329</v>
      </c>
      <c r="C95" s="2207"/>
      <c r="D95" s="2207"/>
      <c r="E95" s="2207"/>
      <c r="F95" s="2207"/>
      <c r="G95" s="2208"/>
      <c r="H95" s="1758">
        <v>3</v>
      </c>
      <c r="I95" s="264"/>
      <c r="J95" s="264"/>
      <c r="K95" s="264"/>
      <c r="L95" s="264"/>
      <c r="M95" s="264"/>
      <c r="N95" s="264"/>
      <c r="O95" s="264"/>
      <c r="P95" s="1672"/>
      <c r="Q95" s="264"/>
      <c r="R95" s="264"/>
      <c r="S95" s="264"/>
      <c r="T95" s="264"/>
      <c r="U95" s="264" t="s">
        <v>2303</v>
      </c>
      <c r="V95" s="264"/>
    </row>
    <row r="96" spans="1:22" ht="15" customHeight="1" x14ac:dyDescent="0.2">
      <c r="A96" s="264"/>
      <c r="B96" s="2206" t="s">
        <v>2330</v>
      </c>
      <c r="C96" s="2207"/>
      <c r="D96" s="2207"/>
      <c r="E96" s="2207"/>
      <c r="F96" s="2207"/>
      <c r="G96" s="2208"/>
      <c r="H96" s="1759" t="s">
        <v>2305</v>
      </c>
      <c r="I96" s="264"/>
      <c r="J96" s="264"/>
      <c r="K96" s="264"/>
      <c r="L96" s="264"/>
      <c r="M96" s="264"/>
      <c r="N96" s="264"/>
      <c r="O96" s="264"/>
      <c r="P96" s="1672"/>
      <c r="Q96" s="264"/>
      <c r="R96" s="264"/>
      <c r="S96" s="264"/>
      <c r="T96" s="264"/>
      <c r="U96" s="264" t="s">
        <v>2304</v>
      </c>
      <c r="V96" s="264">
        <v>1</v>
      </c>
    </row>
    <row r="97" spans="1:22" ht="15" customHeight="1" x14ac:dyDescent="0.2">
      <c r="A97" s="264"/>
      <c r="B97" s="2206" t="s">
        <v>2308</v>
      </c>
      <c r="C97" s="2207"/>
      <c r="D97" s="2207"/>
      <c r="E97" s="2207"/>
      <c r="F97" s="2207"/>
      <c r="G97" s="2208"/>
      <c r="H97" s="1755">
        <v>0.95</v>
      </c>
      <c r="I97" s="264"/>
      <c r="J97" s="264"/>
      <c r="K97" s="264"/>
      <c r="L97" s="264"/>
      <c r="M97" s="264"/>
      <c r="N97" s="264"/>
      <c r="O97" s="264"/>
      <c r="P97" s="1672"/>
      <c r="Q97" s="264"/>
      <c r="R97" s="264"/>
      <c r="S97" s="264"/>
      <c r="T97" s="264"/>
      <c r="U97" s="264" t="s">
        <v>2305</v>
      </c>
      <c r="V97" s="264">
        <v>3</v>
      </c>
    </row>
    <row r="98" spans="1:22" ht="15" customHeight="1" x14ac:dyDescent="0.2">
      <c r="A98" s="264"/>
      <c r="B98" s="2164" t="s">
        <v>2309</v>
      </c>
      <c r="C98" s="2165"/>
      <c r="D98" s="2165"/>
      <c r="E98" s="2165"/>
      <c r="F98" s="2165"/>
      <c r="G98" s="2166"/>
      <c r="H98" s="1760">
        <v>0.8</v>
      </c>
      <c r="I98" s="264"/>
      <c r="J98" s="264"/>
      <c r="K98" s="264"/>
      <c r="L98" s="264"/>
      <c r="M98" s="264"/>
      <c r="N98" s="264"/>
      <c r="O98" s="264"/>
      <c r="P98" s="1672"/>
      <c r="Q98" s="264"/>
      <c r="R98" s="264"/>
      <c r="S98" s="264"/>
      <c r="T98" s="264"/>
      <c r="U98" s="264" t="s">
        <v>2306</v>
      </c>
      <c r="V98" s="264">
        <v>6</v>
      </c>
    </row>
    <row r="99" spans="1:22" ht="15" customHeight="1" x14ac:dyDescent="0.2">
      <c r="A99" s="264"/>
      <c r="B99" s="264"/>
      <c r="C99" s="264"/>
      <c r="D99" s="264"/>
      <c r="E99" s="264"/>
      <c r="F99" s="264"/>
      <c r="G99" s="264"/>
      <c r="H99" s="264"/>
      <c r="I99" s="264"/>
      <c r="J99" s="264"/>
      <c r="K99" s="264"/>
      <c r="L99" s="264"/>
      <c r="M99" s="264"/>
      <c r="N99" s="264"/>
      <c r="O99" s="264"/>
      <c r="P99" s="1672"/>
      <c r="Q99" s="264"/>
      <c r="R99" s="264"/>
      <c r="S99" s="264"/>
      <c r="T99" s="264"/>
      <c r="U99" s="264" t="s">
        <v>2307</v>
      </c>
      <c r="V99" s="264">
        <v>12</v>
      </c>
    </row>
    <row r="100" spans="1:22" x14ac:dyDescent="0.2">
      <c r="A100" s="264"/>
      <c r="B100" s="264"/>
      <c r="C100" s="264"/>
      <c r="D100" s="264"/>
      <c r="E100" s="264"/>
      <c r="F100" s="264"/>
      <c r="G100" s="264"/>
      <c r="H100" s="264"/>
      <c r="I100" s="264"/>
      <c r="J100" s="264"/>
      <c r="K100" s="264"/>
      <c r="L100" s="264"/>
      <c r="M100" s="264"/>
      <c r="N100" s="264"/>
      <c r="O100" s="264"/>
      <c r="P100" s="1672"/>
      <c r="Q100" s="264"/>
      <c r="R100" s="264"/>
      <c r="S100" s="264"/>
      <c r="T100" s="264"/>
      <c r="U100" s="264"/>
      <c r="V100" s="264">
        <f>IFERROR(VLOOKUP(H96,U96:V99,2,FALSE),1)</f>
        <v>3</v>
      </c>
    </row>
    <row r="101" spans="1:22" x14ac:dyDescent="0.2">
      <c r="A101" s="264"/>
      <c r="B101" s="264"/>
      <c r="C101" s="264"/>
      <c r="D101" s="264"/>
      <c r="E101" s="264"/>
      <c r="F101" s="264"/>
      <c r="G101" s="264"/>
      <c r="H101" s="264"/>
      <c r="I101" s="264"/>
      <c r="J101" s="264"/>
      <c r="K101" s="264"/>
      <c r="L101" s="264"/>
      <c r="M101" s="264"/>
      <c r="N101" s="264"/>
      <c r="O101" s="264"/>
      <c r="P101" s="1672"/>
      <c r="Q101" s="264"/>
      <c r="R101" s="264"/>
      <c r="S101" s="264"/>
      <c r="T101" s="264"/>
      <c r="U101" s="264"/>
      <c r="V101" s="264"/>
    </row>
    <row r="102" spans="1:22" x14ac:dyDescent="0.2">
      <c r="A102" s="264"/>
      <c r="B102" s="264"/>
      <c r="C102" s="264"/>
      <c r="D102" s="264"/>
      <c r="E102" s="264"/>
      <c r="F102" s="264"/>
      <c r="G102" s="264"/>
      <c r="H102" s="264"/>
      <c r="I102" s="264"/>
      <c r="J102" s="264"/>
      <c r="K102" s="264"/>
      <c r="L102" s="264"/>
      <c r="M102" s="264"/>
      <c r="N102" s="264"/>
      <c r="O102" s="264"/>
      <c r="P102" s="1672"/>
      <c r="Q102" s="264"/>
      <c r="R102" s="264"/>
      <c r="S102" s="264"/>
      <c r="T102" s="264"/>
      <c r="U102" s="264"/>
      <c r="V102" s="264"/>
    </row>
    <row r="103" spans="1:22" x14ac:dyDescent="0.2">
      <c r="A103" s="264"/>
      <c r="B103" s="264"/>
      <c r="C103" s="264"/>
      <c r="D103" s="264"/>
      <c r="E103" s="264"/>
      <c r="F103" s="264"/>
      <c r="G103" s="264"/>
      <c r="H103" s="264"/>
      <c r="I103" s="264"/>
      <c r="J103" s="264"/>
      <c r="K103" s="264"/>
      <c r="L103" s="264"/>
      <c r="M103" s="264"/>
      <c r="N103" s="264"/>
      <c r="O103" s="264"/>
      <c r="P103" s="1672"/>
      <c r="Q103" s="264"/>
      <c r="R103" s="264"/>
      <c r="S103" s="264"/>
      <c r="T103" s="264"/>
      <c r="U103" s="264"/>
      <c r="V103" s="264"/>
    </row>
    <row r="104" spans="1:22" x14ac:dyDescent="0.2">
      <c r="A104" s="264"/>
      <c r="B104" s="264"/>
      <c r="C104" s="264"/>
      <c r="D104" s="264"/>
      <c r="E104" s="264"/>
      <c r="F104" s="264"/>
      <c r="G104" s="264"/>
      <c r="H104" s="264"/>
      <c r="I104" s="264"/>
      <c r="J104" s="264"/>
      <c r="K104" s="264"/>
      <c r="L104" s="264"/>
      <c r="M104" s="264"/>
      <c r="N104" s="264"/>
      <c r="O104" s="264"/>
      <c r="P104" s="1672"/>
      <c r="Q104" s="264"/>
      <c r="R104" s="264"/>
      <c r="S104" s="264"/>
      <c r="T104" s="264"/>
      <c r="U104" s="264"/>
      <c r="V104" s="264"/>
    </row>
    <row r="105" spans="1:22" x14ac:dyDescent="0.2">
      <c r="A105" s="264"/>
      <c r="B105" s="264"/>
      <c r="C105" s="264"/>
      <c r="D105" s="264"/>
      <c r="E105" s="264"/>
      <c r="F105" s="264"/>
      <c r="G105" s="264"/>
      <c r="H105" s="264"/>
      <c r="I105" s="264"/>
      <c r="J105" s="264"/>
      <c r="K105" s="264"/>
      <c r="L105" s="264"/>
      <c r="M105" s="264"/>
      <c r="N105" s="264"/>
      <c r="O105" s="264"/>
      <c r="P105" s="1672"/>
      <c r="Q105" s="264"/>
      <c r="R105" s="264"/>
      <c r="S105" s="264"/>
      <c r="T105" s="264"/>
      <c r="U105" s="264"/>
      <c r="V105" s="264"/>
    </row>
    <row r="106" spans="1:22" x14ac:dyDescent="0.2">
      <c r="A106" s="264"/>
      <c r="B106" s="264"/>
      <c r="C106" s="264"/>
      <c r="D106" s="264"/>
      <c r="E106" s="264"/>
      <c r="F106" s="264"/>
      <c r="G106" s="264"/>
      <c r="H106" s="264"/>
      <c r="I106" s="264"/>
      <c r="J106" s="264"/>
      <c r="K106" s="264"/>
      <c r="L106" s="264"/>
      <c r="M106" s="264"/>
      <c r="N106" s="264"/>
      <c r="O106" s="264"/>
      <c r="P106" s="1672"/>
      <c r="Q106" s="264"/>
      <c r="R106" s="264"/>
      <c r="S106" s="264"/>
      <c r="T106" s="264"/>
      <c r="U106" s="264"/>
      <c r="V106" s="264"/>
    </row>
    <row r="107" spans="1:22" x14ac:dyDescent="0.2">
      <c r="A107" s="264"/>
      <c r="B107" s="264"/>
      <c r="C107" s="264"/>
      <c r="D107" s="264"/>
      <c r="E107" s="264"/>
      <c r="F107" s="264"/>
      <c r="G107" s="264"/>
      <c r="H107" s="264"/>
      <c r="I107" s="264"/>
      <c r="J107" s="264"/>
      <c r="K107" s="264"/>
      <c r="L107" s="264"/>
      <c r="M107" s="264"/>
      <c r="N107" s="264"/>
      <c r="O107" s="264"/>
      <c r="P107" s="1672"/>
      <c r="Q107" s="264"/>
      <c r="R107" s="264"/>
      <c r="S107" s="264"/>
      <c r="T107" s="264"/>
      <c r="U107" s="264"/>
      <c r="V107" s="264"/>
    </row>
    <row r="108" spans="1:22" x14ac:dyDescent="0.2">
      <c r="A108" s="264"/>
      <c r="B108" s="264"/>
      <c r="C108" s="264"/>
      <c r="D108" s="264"/>
      <c r="E108" s="264"/>
      <c r="F108" s="264"/>
      <c r="G108" s="264"/>
      <c r="H108" s="264"/>
      <c r="I108" s="264"/>
      <c r="J108" s="264"/>
      <c r="K108" s="264"/>
      <c r="L108" s="264"/>
      <c r="M108" s="264"/>
      <c r="N108" s="264"/>
      <c r="O108" s="264"/>
      <c r="P108" s="1672"/>
      <c r="Q108" s="264"/>
      <c r="R108" s="264"/>
      <c r="S108" s="264"/>
      <c r="T108" s="264"/>
      <c r="U108" s="264"/>
      <c r="V108" s="264"/>
    </row>
    <row r="109" spans="1:22" x14ac:dyDescent="0.2">
      <c r="A109" s="264"/>
      <c r="B109" s="264"/>
      <c r="C109" s="264"/>
      <c r="D109" s="264"/>
      <c r="E109" s="264"/>
      <c r="F109" s="264"/>
      <c r="G109" s="264"/>
      <c r="H109" s="264"/>
      <c r="I109" s="264"/>
      <c r="J109" s="264"/>
      <c r="K109" s="264"/>
      <c r="L109" s="264"/>
      <c r="M109" s="264"/>
      <c r="N109" s="264"/>
      <c r="O109" s="264"/>
      <c r="P109" s="1672"/>
      <c r="Q109" s="264"/>
      <c r="R109" s="264"/>
      <c r="S109" s="264"/>
      <c r="T109" s="264"/>
      <c r="U109" s="264"/>
      <c r="V109" s="264"/>
    </row>
    <row r="110" spans="1:22" x14ac:dyDescent="0.2">
      <c r="A110" s="264"/>
      <c r="B110" s="264"/>
      <c r="C110" s="264"/>
      <c r="D110" s="264"/>
      <c r="E110" s="264"/>
      <c r="F110" s="264"/>
      <c r="G110" s="264"/>
      <c r="H110" s="264"/>
      <c r="I110" s="264"/>
      <c r="J110" s="264"/>
      <c r="K110" s="264"/>
      <c r="L110" s="264"/>
      <c r="M110" s="264"/>
      <c r="N110" s="264"/>
      <c r="O110" s="264"/>
      <c r="P110" s="1672"/>
      <c r="Q110" s="264"/>
      <c r="R110" s="264"/>
      <c r="S110" s="264"/>
      <c r="T110" s="264"/>
      <c r="U110" s="264"/>
      <c r="V110" s="264"/>
    </row>
    <row r="111" spans="1:22" x14ac:dyDescent="0.2">
      <c r="A111" s="264"/>
      <c r="B111" s="264"/>
      <c r="C111" s="264"/>
      <c r="D111" s="264"/>
      <c r="E111" s="264"/>
      <c r="F111" s="264"/>
      <c r="G111" s="264"/>
      <c r="H111" s="264"/>
      <c r="I111" s="264"/>
      <c r="J111" s="264"/>
      <c r="K111" s="264"/>
      <c r="L111" s="264"/>
      <c r="M111" s="264"/>
      <c r="N111" s="264"/>
      <c r="O111" s="264"/>
      <c r="P111" s="1672"/>
      <c r="Q111" s="264"/>
      <c r="R111" s="264"/>
      <c r="S111" s="264"/>
      <c r="T111" s="264"/>
      <c r="U111" s="264"/>
      <c r="V111" s="264"/>
    </row>
    <row r="112" spans="1:22" x14ac:dyDescent="0.2">
      <c r="A112" s="264"/>
      <c r="B112" s="264"/>
      <c r="C112" s="264"/>
      <c r="D112" s="264"/>
      <c r="E112" s="264"/>
      <c r="F112" s="264"/>
      <c r="G112" s="264"/>
      <c r="H112" s="264"/>
      <c r="I112" s="264"/>
      <c r="J112" s="264"/>
      <c r="K112" s="264"/>
      <c r="L112" s="264"/>
      <c r="M112" s="264"/>
      <c r="N112" s="264"/>
      <c r="O112" s="264"/>
      <c r="P112" s="1672"/>
      <c r="Q112" s="264"/>
      <c r="R112" s="264"/>
      <c r="S112" s="264"/>
      <c r="T112" s="264"/>
      <c r="U112" s="264"/>
      <c r="V112" s="264"/>
    </row>
    <row r="113" spans="1:22" x14ac:dyDescent="0.2">
      <c r="A113" s="264"/>
      <c r="B113" s="264"/>
      <c r="C113" s="264"/>
      <c r="D113" s="264"/>
      <c r="E113" s="264"/>
      <c r="F113" s="264"/>
      <c r="G113" s="264"/>
      <c r="H113" s="264"/>
      <c r="I113" s="264"/>
      <c r="J113" s="264"/>
      <c r="K113" s="264"/>
      <c r="L113" s="264"/>
      <c r="M113" s="264"/>
      <c r="N113" s="264"/>
      <c r="O113" s="264"/>
      <c r="P113" s="1672"/>
      <c r="Q113" s="264"/>
      <c r="R113" s="264"/>
      <c r="S113" s="264"/>
      <c r="T113" s="264"/>
      <c r="U113" s="264"/>
      <c r="V113" s="264"/>
    </row>
    <row r="114" spans="1:22" x14ac:dyDescent="0.2">
      <c r="A114" s="264"/>
      <c r="B114" s="264"/>
      <c r="C114" s="264"/>
      <c r="D114" s="264"/>
      <c r="E114" s="264"/>
      <c r="F114" s="264"/>
      <c r="G114" s="264"/>
      <c r="H114" s="264"/>
      <c r="I114" s="264"/>
      <c r="J114" s="264"/>
      <c r="K114" s="264"/>
      <c r="L114" s="264"/>
      <c r="M114" s="264"/>
      <c r="N114" s="264"/>
      <c r="O114" s="264"/>
      <c r="P114" s="1672"/>
      <c r="Q114" s="264"/>
      <c r="R114" s="264"/>
      <c r="S114" s="264"/>
      <c r="T114" s="264"/>
      <c r="U114" s="264"/>
      <c r="V114" s="264"/>
    </row>
    <row r="115" spans="1:22" x14ac:dyDescent="0.2">
      <c r="A115" s="264"/>
      <c r="B115" s="264"/>
      <c r="C115" s="264"/>
      <c r="D115" s="264"/>
      <c r="E115" s="264"/>
      <c r="F115" s="264"/>
      <c r="G115" s="264"/>
      <c r="H115" s="264"/>
      <c r="I115" s="264"/>
      <c r="J115" s="264"/>
      <c r="K115" s="264"/>
      <c r="L115" s="264"/>
      <c r="M115" s="264"/>
      <c r="N115" s="264"/>
      <c r="O115" s="264"/>
      <c r="P115" s="1672"/>
      <c r="Q115" s="264"/>
      <c r="R115" s="264"/>
      <c r="S115" s="264"/>
      <c r="T115" s="264"/>
      <c r="U115" s="264"/>
      <c r="V115" s="264"/>
    </row>
    <row r="116" spans="1:22" x14ac:dyDescent="0.2">
      <c r="A116" s="264"/>
      <c r="B116" s="264"/>
      <c r="C116" s="264"/>
      <c r="D116" s="264"/>
      <c r="E116" s="264"/>
      <c r="F116" s="264"/>
      <c r="G116" s="264"/>
      <c r="H116" s="264"/>
      <c r="I116" s="264"/>
      <c r="J116" s="264"/>
      <c r="K116" s="264"/>
      <c r="L116" s="264"/>
      <c r="M116" s="264"/>
      <c r="N116" s="264"/>
      <c r="O116" s="264"/>
      <c r="P116" s="1672"/>
      <c r="Q116" s="264"/>
      <c r="R116" s="264"/>
      <c r="S116" s="264"/>
      <c r="T116" s="264"/>
      <c r="U116" s="264"/>
      <c r="V116" s="264"/>
    </row>
    <row r="117" spans="1:22" x14ac:dyDescent="0.2">
      <c r="A117" s="264"/>
      <c r="B117" s="264"/>
      <c r="C117" s="264"/>
      <c r="D117" s="1694"/>
      <c r="E117" s="1694"/>
      <c r="F117" s="264"/>
      <c r="G117" s="264"/>
      <c r="H117" s="264"/>
      <c r="I117" s="264"/>
      <c r="J117" s="264"/>
      <c r="K117" s="264"/>
      <c r="L117" s="264"/>
      <c r="M117" s="264"/>
      <c r="N117" s="264"/>
      <c r="O117" s="264"/>
      <c r="P117" s="1672"/>
      <c r="Q117" s="264"/>
      <c r="R117" s="264"/>
      <c r="S117" s="264"/>
      <c r="T117" s="264"/>
      <c r="U117" s="264"/>
      <c r="V117" s="264"/>
    </row>
    <row r="118" spans="1:22" ht="12.75" customHeight="1" x14ac:dyDescent="0.2">
      <c r="A118" s="264"/>
      <c r="B118" s="2241" t="s">
        <v>2310</v>
      </c>
      <c r="C118" s="2241"/>
      <c r="D118" s="2242" t="s">
        <v>2311</v>
      </c>
      <c r="E118" s="2243"/>
      <c r="F118" s="2243"/>
      <c r="G118" s="2243"/>
      <c r="H118" s="2244"/>
      <c r="I118" s="2245" t="s">
        <v>2366</v>
      </c>
      <c r="J118" s="2245" t="s">
        <v>2367</v>
      </c>
      <c r="K118" s="2247" t="s">
        <v>2312</v>
      </c>
      <c r="L118" s="2247"/>
      <c r="M118" s="2247"/>
      <c r="N118" s="2247"/>
      <c r="O118" s="264"/>
      <c r="P118" s="1672"/>
      <c r="Q118" s="264"/>
      <c r="R118" s="264"/>
      <c r="S118" s="264"/>
      <c r="T118" s="264"/>
      <c r="U118" s="264"/>
      <c r="V118" s="264"/>
    </row>
    <row r="119" spans="1:22" ht="37.5" customHeight="1" x14ac:dyDescent="0.2">
      <c r="A119" s="264"/>
      <c r="B119" s="2247" t="s">
        <v>2152</v>
      </c>
      <c r="C119" s="2247" t="s">
        <v>2313</v>
      </c>
      <c r="D119" s="2245" t="s">
        <v>2314</v>
      </c>
      <c r="E119" s="1730" t="s">
        <v>2315</v>
      </c>
      <c r="F119" s="1730" t="s">
        <v>2372</v>
      </c>
      <c r="G119" s="1730" t="s">
        <v>2371</v>
      </c>
      <c r="H119" s="2245" t="s">
        <v>2369</v>
      </c>
      <c r="I119" s="2246"/>
      <c r="J119" s="2246"/>
      <c r="K119" s="2245" t="s">
        <v>2316</v>
      </c>
      <c r="L119" s="2247" t="s">
        <v>2317</v>
      </c>
      <c r="M119" s="2247"/>
      <c r="N119" s="2239" t="s">
        <v>2370</v>
      </c>
      <c r="O119" s="264"/>
      <c r="P119" s="1672"/>
      <c r="Q119" s="264"/>
      <c r="R119" s="264"/>
      <c r="S119" s="264"/>
      <c r="T119" s="264"/>
      <c r="U119" s="264"/>
      <c r="V119" s="264"/>
    </row>
    <row r="120" spans="1:22" ht="22.5" x14ac:dyDescent="0.2">
      <c r="A120" s="264"/>
      <c r="B120" s="2247"/>
      <c r="C120" s="2247"/>
      <c r="D120" s="2246"/>
      <c r="E120" s="1731">
        <f ca="1">SUM(E121:E220)</f>
        <v>0</v>
      </c>
      <c r="F120" s="1731">
        <f ca="1">SUM(F121:F220)</f>
        <v>0</v>
      </c>
      <c r="G120" s="1731">
        <f>SUMIF(G121:G220,"&lt;&gt;"&amp;"#знач!")</f>
        <v>0</v>
      </c>
      <c r="H120" s="2246"/>
      <c r="I120" s="1731">
        <f ca="1">SUM(I121:I220)</f>
        <v>0</v>
      </c>
      <c r="J120" s="1731">
        <f ca="1">SUM(J121:J220)</f>
        <v>0</v>
      </c>
      <c r="K120" s="2246"/>
      <c r="L120" s="1732" t="s">
        <v>2318</v>
      </c>
      <c r="M120" s="1732" t="s">
        <v>2319</v>
      </c>
      <c r="N120" s="2240"/>
      <c r="O120" s="264"/>
      <c r="P120" s="1672"/>
      <c r="Q120" s="1693" t="s">
        <v>2365</v>
      </c>
      <c r="R120" s="264"/>
      <c r="S120" s="264"/>
      <c r="T120" s="264"/>
      <c r="U120" s="264"/>
      <c r="V120" s="264"/>
    </row>
    <row r="121" spans="1:22" x14ac:dyDescent="0.2">
      <c r="A121" s="264"/>
      <c r="B121" s="1733">
        <v>1</v>
      </c>
      <c r="C121" s="1734">
        <f ca="1">IF(DAY(H91)&lt;H92,
             DATEVALUE(H92&amp;"."&amp;TEXT(H91,"ММММ")&amp;"."&amp;YEAR(H91)),
             DATEVALUE(H92&amp;"."&amp;TEXT(EDATE(H91,1),"ММММ")&amp;"."&amp;YEAR(H91)))</f>
        <v>43724</v>
      </c>
      <c r="D121" s="1735">
        <f ca="1">IFERROR(IF(H$94&gt;=B121,
        E121,
        IF(C121="",
                "",
                IF(C122="",
                        E121+H88,
                        ROUND((H$88*H$89/12)/(1-POWER(1+H$89/12,-COUNTIF(C$121:C$220,"&gt;0")+B121-1)),
                               0)))),"")</f>
        <v>0</v>
      </c>
      <c r="E121" s="1736">
        <f ca="1">IFERROR(
        ROUND(H88*(H$89*(DATEVALUE("01."&amp;MONTH(C121)&amp;"."&amp;YEAR(C121))-H91-1)/(DATEVALUE("01.01."&amp;YEAR(H91)+1)-DATEVALUE("01.01."&amp;YEAR(H91)))+
                                     H$89*(C121-DATEVALUE("01."&amp;MONTH(C121)&amp;"."&amp;YEAR(C121))+1)/(DATEVALUE("01.01."&amp;YEAR(C121)+1)-DATEVALUE("01.01."&amp;YEAR(C121)))),
               2),
        "")</f>
        <v>0</v>
      </c>
      <c r="F121" s="1736">
        <f ca="1">IFERROR(D121-E121,"")</f>
        <v>0</v>
      </c>
      <c r="G121" s="1753"/>
      <c r="H121" s="1737" t="str">
        <f>IF(OR(H88=0,H88=""),
        "",
        MAX(0,H88-F121-G121))</f>
        <v/>
      </c>
      <c r="I121" s="1738">
        <f t="shared" ref="I121:I152" ca="1" si="2">IFERROR(
        IF(C121="",
                "",
                IF(C121&gt;INDEX(C$121:C$220,60),
                        0,
                        ROUND(E121*MIN(1,H$90/H$89),2))),
        "")</f>
        <v>0</v>
      </c>
      <c r="J121" s="1739">
        <f t="shared" ref="J121:J184" ca="1" si="3">IFERROR(E121-I121,"")</f>
        <v>0</v>
      </c>
      <c r="K121" s="1740" t="str">
        <f ca="1">IFERROR(ROUNDUP(D121/(H$5*H$97*H$98),2),"")</f>
        <v/>
      </c>
      <c r="L121" s="1736" t="str">
        <f t="shared" ref="L121:L152" ca="1" si="4">IFERROR(
        MAX(0,ROUNDUP((D121-IF(B121=1,
                        0,
                        IFERROR(INDEX(I$121:I$220,(B121-H$95)^2/(B121-H$95)),0)))/
                       (H$5*H$97*H$98),
                2)),
        K121)</f>
        <v/>
      </c>
      <c r="M121" s="1736" t="str">
        <f ca="1">IFERROR(ROUND((INDEX(L$121:L$220,B121+V$100-1)+
IF(V$100&lt;3,0,INDEX(L$121:L$220,B121+V$100-2))+
IF(V$100&lt;3,0,INDEX(L$121:L$220,B121+V$100-3))+
IF(V$100&lt;6,0,INDEX(L$121:L$220,B121+V$100-4))+
IF(V$100&lt;6,0,INDEX(L$121:L$220,B121+V$100-5))+
IF(V$100&lt;6,0,INDEX(L$121:L$220,B121+V$100-6))+
IF(V$100&lt;12,0,INDEX(L$121:L$220,B121+V$100-7))+
IF(V$100&lt;12,0,INDEX(L$121:L$220,B121+V$100-8))+
IF(V$100&lt;12,0,INDEX(L$121:L$220,B121+V$100-9))+
IF(V$100&lt;12,0,INDEX(L$121:L$220,B121+V$100-10))+
IF(V$100&lt;12,0,INDEX(L$121:L$220,B121+V$100-11))+
IF(V$100&lt;12,0,INDEX(L$121:L$220,B121+V$100-12)))/
V$100,2),"")</f>
        <v/>
      </c>
      <c r="N121" s="1739" t="str">
        <f ca="1">IFERROR(ROUND(M121*H$5*H$97*H$98-D121,2),"")</f>
        <v/>
      </c>
      <c r="O121" s="264"/>
      <c r="P121" s="1672"/>
      <c r="Q121" s="1693">
        <f t="shared" ref="Q121:Q167" ca="1" si="5">IFERROR(IF(K121&gt;=0,H$6,""),"")</f>
        <v>0</v>
      </c>
      <c r="R121" s="264"/>
      <c r="S121" s="264"/>
      <c r="T121" s="264"/>
      <c r="U121" s="264"/>
      <c r="V121" s="264"/>
    </row>
    <row r="122" spans="1:22" x14ac:dyDescent="0.2">
      <c r="A122" s="264"/>
      <c r="B122" s="1741">
        <v>2</v>
      </c>
      <c r="C122" s="1742">
        <f t="shared" ref="C122:C153" ca="1" si="6">IFERROR(
        IF(EDATE(C121,1)&gt;EDATE(H$91,H$93),
                "",
                EDATE(C121,1)),
        "")</f>
        <v>43754</v>
      </c>
      <c r="D122" s="1735" t="str">
        <f ca="1">IFERROR(IF(H$94&gt;=B122,
        E122,
        IF(C122="",
                "",
                IF(C123="",
                        E122+H121,
                        IF(AND(G121=0,H$94&lt;B122-1),
                                    $D121,
                                    ROUND((H121*H$89/12)/(1-POWER(1+H$89/12,-COUNTIF(C$121:C$220,"&gt;0")+B122-1)),0))))),"")</f>
        <v/>
      </c>
      <c r="E122" s="1743" t="str">
        <f ca="1">IFERROR(
        ROUND(H121*(H$89*(DATEVALUE("01."&amp;MONTH(C122)&amp;"."&amp;YEAR(C122))-C121-1)/(DATEVALUE("01.01."&amp;YEAR(C121)+1)-DATEVALUE("01.01."&amp;YEAR(C121)))+
                                     H$89*(C122-DATEVALUE("01."&amp;MONTH(C122)&amp;"."&amp;YEAR(C122))+1)/(DATEVALUE("01.01."&amp;YEAR(C122)+1)-DATEVALUE("01.01."&amp;YEAR(C122)))),
               2),
        "")</f>
        <v/>
      </c>
      <c r="F122" s="1743" t="str">
        <f ca="1">IFERROR(D122-E122,"")</f>
        <v/>
      </c>
      <c r="G122" s="1753"/>
      <c r="H122" s="1737" t="str">
        <f t="shared" ref="H122:H180" si="7">IF(OR(H121=0,H121=""),
        "",
        MAX(0,H121-F122-G122))</f>
        <v/>
      </c>
      <c r="I122" s="1738" t="str">
        <f t="shared" ca="1" si="2"/>
        <v/>
      </c>
      <c r="J122" s="1737" t="str">
        <f t="shared" ca="1" si="3"/>
        <v/>
      </c>
      <c r="K122" s="1735" t="str">
        <f t="shared" ref="K122:K152" ca="1" si="8">IFERROR(ROUNDUP(D122/(H$5*H$97*H$98),2),"")</f>
        <v/>
      </c>
      <c r="L122" s="1743" t="str">
        <f t="shared" ca="1" si="4"/>
        <v/>
      </c>
      <c r="M122" s="1743" t="str">
        <f ca="1">IFERROR(ROUND(IF((B122+V$100-1)/V$100&lt;&gt;ROUND((B122+V$100-1)/V$100,0),
        M121,
      (INDEX(L$121:L$220,B122+V$100-1)+
                  IF(V$100&lt;3,0,
        INDEX(L$121:L$220,B122+V$100-2)+
        INDEX(L$121:L$220,B122+V$100-3))+
                   IF(V$100&lt;6,0,
        INDEX(L$121:L$220,B122+V$100-4)+
        INDEX(L$121:L$220,B122+V$100-5)+
        INDEX(L$121:L$220,B122+V$100-6))+
                    IF(V$100&lt;12,0,
        INDEX(L$121:L$220,B122+V$100-7)+
        INDEX(L$121:L$220,B122+V$100-8)+
        INDEX(L$121:L$220,B122+V$100-9)+
        INDEX(L$121:L$220,B122+V$100-10)+
        INDEX(L$121:L$220,B122+V$100-11)+
        INDEX(L$121:L$220,B122+V$100-12)))/V$100),2),"")</f>
        <v/>
      </c>
      <c r="N122" s="1737" t="str">
        <f t="shared" ref="N122:N153" ca="1" si="9">IFERROR(ROUND(M122*H$5*H$97*H$98-D122+IFERROR(INDEX(I$121:I$220,(B122-H$95)^2/(B122-H$95)),0)+N121,2),"")</f>
        <v/>
      </c>
      <c r="O122" s="264"/>
      <c r="P122" s="1672"/>
      <c r="Q122" s="1693">
        <f t="shared" ca="1" si="5"/>
        <v>0</v>
      </c>
      <c r="R122" s="264"/>
      <c r="S122" s="264"/>
      <c r="T122" s="264"/>
      <c r="U122" s="264"/>
      <c r="V122" s="264"/>
    </row>
    <row r="123" spans="1:22" x14ac:dyDescent="0.2">
      <c r="A123" s="264"/>
      <c r="B123" s="1741">
        <v>3</v>
      </c>
      <c r="C123" s="1742">
        <f t="shared" ca="1" si="6"/>
        <v>43785</v>
      </c>
      <c r="D123" s="1735" t="str">
        <f t="shared" ref="D123:D180" ca="1" si="10">IFERROR(IF(H$94&gt;=B123,
        E123,
        IF(C123="",
                "",
                IF(C124="",
                        E123+H122,
                        IF(AND(G122=0,H$94&lt;B123-1),
                                    $D122,
                                    ROUND((H122*H$89/12)/(1-POWER(1+H$89/12,-COUNTIF(C$121:C$220,"&gt;0")+B123-1)),0))))),"")</f>
        <v/>
      </c>
      <c r="E123" s="1743" t="str">
        <f t="shared" ref="E123:E180" ca="1" si="11">IFERROR(
        ROUND(H122*(H$89*(DATEVALUE("01."&amp;MONTH(C123)&amp;"."&amp;YEAR(C123))-C122-1)/(DATEVALUE("01.01."&amp;YEAR(C122)+1)-DATEVALUE("01.01."&amp;YEAR(C122)))+
                                     H$89*(C123-DATEVALUE("01."&amp;MONTH(C123)&amp;"."&amp;YEAR(C123))+1)/(DATEVALUE("01.01."&amp;YEAR(C123)+1)-DATEVALUE("01.01."&amp;YEAR(C123)))),
               2),
        "")</f>
        <v/>
      </c>
      <c r="F123" s="1743" t="str">
        <f t="shared" ref="F123:F184" ca="1" si="12">IFERROR(D123-E123,"")</f>
        <v/>
      </c>
      <c r="G123" s="1753"/>
      <c r="H123" s="1737" t="str">
        <f t="shared" si="7"/>
        <v/>
      </c>
      <c r="I123" s="1738" t="str">
        <f t="shared" ca="1" si="2"/>
        <v/>
      </c>
      <c r="J123" s="1737" t="str">
        <f ca="1">IFERROR(E123-I123,"")</f>
        <v/>
      </c>
      <c r="K123" s="1735" t="str">
        <f ca="1">IFERROR(ROUNDUP(D123/(H$5*H$97*H$98),2),"")</f>
        <v/>
      </c>
      <c r="L123" s="1743" t="str">
        <f t="shared" ca="1" si="4"/>
        <v/>
      </c>
      <c r="M123" s="1743" t="str">
        <f t="shared" ref="M123:M154" ca="1" si="13">IFERROR(ROUND(IF((B123+V$100-1)/V$100&lt;&gt;ROUND((B123+V$100-1)/V$100,0),
        M122,
       (INDEX(L$121:L$220,B123+V$100-1)+
        IF(V$100&lt;3,0,INDEX(L$121:L$220,B123+V$100-2))+
        IF(V$100&lt;3,0,INDEX(L$121:L$220,B123+V$100-3))+
        IF(V$100&lt;6,0,INDEX(L$121:L$220,B123+V$100-4))+
        IF(V$100&lt;6,0,INDEX(L$121:L$220,B123+V$100-5))+
        IF(V$100&lt;6,0,INDEX(L$121:L$220,B123+V$100-6))+
        IF(V$100&lt;12,0,INDEX(L$121:L$220,B123+V$100-7))+
        IF(V$100&lt;12,0,INDEX(L$121:L$220,B123+V$100-8))+
        IF(V$100&lt;12,0,INDEX(L$121:L$220,B123+V$100-9))+
        IF(V$100&lt;12,0,INDEX(L$121:L$220,B123+V$100-10))+
        IF(V$100&lt;12,0,INDEX(L$121:L$220,B123+V$100-11))+
        IF(V$100&lt;12,0,INDEX(L$121:L$220,B123+V$100-12)))/
        V$100),2),"")</f>
        <v/>
      </c>
      <c r="N123" s="1737" t="str">
        <f t="shared" ca="1" si="9"/>
        <v/>
      </c>
      <c r="O123" s="264"/>
      <c r="P123" s="1672"/>
      <c r="Q123" s="1693">
        <f t="shared" ca="1" si="5"/>
        <v>0</v>
      </c>
      <c r="R123" s="264"/>
      <c r="S123" s="264"/>
      <c r="T123" s="264"/>
      <c r="U123" s="264"/>
      <c r="V123" s="264"/>
    </row>
    <row r="124" spans="1:22" x14ac:dyDescent="0.2">
      <c r="A124" s="264"/>
      <c r="B124" s="1741">
        <v>4</v>
      </c>
      <c r="C124" s="1742">
        <f t="shared" ca="1" si="6"/>
        <v>43815</v>
      </c>
      <c r="D124" s="1735" t="str">
        <f t="shared" ca="1" si="10"/>
        <v/>
      </c>
      <c r="E124" s="1743" t="str">
        <f t="shared" ca="1" si="11"/>
        <v/>
      </c>
      <c r="F124" s="1743" t="str">
        <f t="shared" ca="1" si="12"/>
        <v/>
      </c>
      <c r="G124" s="1753"/>
      <c r="H124" s="1737" t="str">
        <f t="shared" si="7"/>
        <v/>
      </c>
      <c r="I124" s="1738" t="str">
        <f t="shared" ca="1" si="2"/>
        <v/>
      </c>
      <c r="J124" s="1737" t="str">
        <f t="shared" ca="1" si="3"/>
        <v/>
      </c>
      <c r="K124" s="1735" t="str">
        <f t="shared" ca="1" si="8"/>
        <v/>
      </c>
      <c r="L124" s="1743" t="str">
        <f t="shared" ca="1" si="4"/>
        <v/>
      </c>
      <c r="M124" s="1743" t="str">
        <f t="shared" ca="1" si="13"/>
        <v/>
      </c>
      <c r="N124" s="1737" t="str">
        <f t="shared" ca="1" si="9"/>
        <v/>
      </c>
      <c r="O124" s="264"/>
      <c r="P124" s="1672"/>
      <c r="Q124" s="1693">
        <f t="shared" ca="1" si="5"/>
        <v>0</v>
      </c>
      <c r="R124" s="264"/>
      <c r="S124" s="264"/>
      <c r="T124" s="264"/>
      <c r="U124" s="264"/>
      <c r="V124" s="264"/>
    </row>
    <row r="125" spans="1:22" x14ac:dyDescent="0.2">
      <c r="A125" s="264"/>
      <c r="B125" s="1741">
        <v>5</v>
      </c>
      <c r="C125" s="1742">
        <f t="shared" ca="1" si="6"/>
        <v>43846</v>
      </c>
      <c r="D125" s="1735" t="str">
        <f t="shared" ca="1" si="10"/>
        <v/>
      </c>
      <c r="E125" s="1743" t="str">
        <f t="shared" ca="1" si="11"/>
        <v/>
      </c>
      <c r="F125" s="1743" t="str">
        <f t="shared" ca="1" si="12"/>
        <v/>
      </c>
      <c r="G125" s="1753"/>
      <c r="H125" s="1737" t="str">
        <f t="shared" si="7"/>
        <v/>
      </c>
      <c r="I125" s="1738" t="str">
        <f t="shared" ca="1" si="2"/>
        <v/>
      </c>
      <c r="J125" s="1737" t="str">
        <f t="shared" ca="1" si="3"/>
        <v/>
      </c>
      <c r="K125" s="1735" t="str">
        <f t="shared" ca="1" si="8"/>
        <v/>
      </c>
      <c r="L125" s="1743" t="str">
        <f t="shared" ca="1" si="4"/>
        <v/>
      </c>
      <c r="M125" s="1743" t="str">
        <f t="shared" ca="1" si="13"/>
        <v/>
      </c>
      <c r="N125" s="1737" t="str">
        <f t="shared" ca="1" si="9"/>
        <v/>
      </c>
      <c r="O125" s="264"/>
      <c r="P125" s="1672"/>
      <c r="Q125" s="1693">
        <f t="shared" ca="1" si="5"/>
        <v>0</v>
      </c>
      <c r="R125" s="264"/>
      <c r="S125" s="264"/>
      <c r="T125" s="264"/>
      <c r="U125" s="264"/>
      <c r="V125" s="264"/>
    </row>
    <row r="126" spans="1:22" x14ac:dyDescent="0.2">
      <c r="A126" s="264"/>
      <c r="B126" s="1741">
        <v>6</v>
      </c>
      <c r="C126" s="1742">
        <f t="shared" ca="1" si="6"/>
        <v>43877</v>
      </c>
      <c r="D126" s="1735" t="str">
        <f t="shared" ca="1" si="10"/>
        <v/>
      </c>
      <c r="E126" s="1743" t="str">
        <f t="shared" ca="1" si="11"/>
        <v/>
      </c>
      <c r="F126" s="1743" t="str">
        <f t="shared" ca="1" si="12"/>
        <v/>
      </c>
      <c r="G126" s="1753"/>
      <c r="H126" s="1737" t="str">
        <f>IF(OR(H125=0,H125=""),
        "",
        MAX(0,H125-F126-G126))</f>
        <v/>
      </c>
      <c r="I126" s="1738" t="str">
        <f t="shared" ca="1" si="2"/>
        <v/>
      </c>
      <c r="J126" s="1737" t="str">
        <f t="shared" ca="1" si="3"/>
        <v/>
      </c>
      <c r="K126" s="1735" t="str">
        <f t="shared" ca="1" si="8"/>
        <v/>
      </c>
      <c r="L126" s="1743" t="str">
        <f t="shared" ca="1" si="4"/>
        <v/>
      </c>
      <c r="M126" s="1743" t="str">
        <f t="shared" ca="1" si="13"/>
        <v/>
      </c>
      <c r="N126" s="1737" t="str">
        <f t="shared" ca="1" si="9"/>
        <v/>
      </c>
      <c r="O126" s="264"/>
      <c r="P126" s="1672"/>
      <c r="Q126" s="1693">
        <f t="shared" ca="1" si="5"/>
        <v>0</v>
      </c>
      <c r="R126" s="264"/>
      <c r="S126" s="264"/>
      <c r="T126" s="264"/>
      <c r="U126" s="264"/>
      <c r="V126" s="264"/>
    </row>
    <row r="127" spans="1:22" x14ac:dyDescent="0.2">
      <c r="A127" s="264"/>
      <c r="B127" s="1741">
        <v>7</v>
      </c>
      <c r="C127" s="1742">
        <f t="shared" ca="1" si="6"/>
        <v>43906</v>
      </c>
      <c r="D127" s="1735" t="str">
        <f t="shared" ca="1" si="10"/>
        <v/>
      </c>
      <c r="E127" s="1743" t="str">
        <f ca="1">IFERROR(
        ROUND(H126*(H$89*(DATEVALUE("01."&amp;MONTH(C127)&amp;"."&amp;YEAR(C127))-C126-1)/(DATEVALUE("01.01."&amp;YEAR(C126)+1)-DATEVALUE("01.01."&amp;YEAR(C126)))+
                                     H$89*(C127-DATEVALUE("01."&amp;MONTH(C127)&amp;"."&amp;YEAR(C127))+1)/(DATEVALUE("01.01."&amp;YEAR(C127)+1)-DATEVALUE("01.01."&amp;YEAR(C127)))),
               2),
        "")</f>
        <v/>
      </c>
      <c r="F127" s="1743" t="str">
        <f ca="1">IFERROR(D127-E127,"")</f>
        <v/>
      </c>
      <c r="G127" s="1753"/>
      <c r="H127" s="1737" t="str">
        <f t="shared" si="7"/>
        <v/>
      </c>
      <c r="I127" s="1738" t="str">
        <f t="shared" ca="1" si="2"/>
        <v/>
      </c>
      <c r="J127" s="1737" t="str">
        <f t="shared" ca="1" si="3"/>
        <v/>
      </c>
      <c r="K127" s="1735" t="str">
        <f t="shared" ca="1" si="8"/>
        <v/>
      </c>
      <c r="L127" s="1743" t="str">
        <f t="shared" ca="1" si="4"/>
        <v/>
      </c>
      <c r="M127" s="1743" t="str">
        <f t="shared" ca="1" si="13"/>
        <v/>
      </c>
      <c r="N127" s="1737" t="str">
        <f t="shared" ca="1" si="9"/>
        <v/>
      </c>
      <c r="O127" s="264"/>
      <c r="P127" s="1672"/>
      <c r="Q127" s="1693">
        <f t="shared" ca="1" si="5"/>
        <v>0</v>
      </c>
      <c r="R127" s="264"/>
      <c r="S127" s="264"/>
      <c r="T127" s="264"/>
      <c r="U127" s="264"/>
      <c r="V127" s="264"/>
    </row>
    <row r="128" spans="1:22" x14ac:dyDescent="0.2">
      <c r="A128" s="264"/>
      <c r="B128" s="1741">
        <v>8</v>
      </c>
      <c r="C128" s="1742">
        <f t="shared" ca="1" si="6"/>
        <v>43937</v>
      </c>
      <c r="D128" s="1735" t="str">
        <f t="shared" ca="1" si="10"/>
        <v/>
      </c>
      <c r="E128" s="1743" t="str">
        <f t="shared" ca="1" si="11"/>
        <v/>
      </c>
      <c r="F128" s="1743" t="str">
        <f t="shared" ca="1" si="12"/>
        <v/>
      </c>
      <c r="G128" s="1753"/>
      <c r="H128" s="1737" t="str">
        <f t="shared" si="7"/>
        <v/>
      </c>
      <c r="I128" s="1738" t="str">
        <f t="shared" ca="1" si="2"/>
        <v/>
      </c>
      <c r="J128" s="1737" t="str">
        <f t="shared" ca="1" si="3"/>
        <v/>
      </c>
      <c r="K128" s="1735" t="str">
        <f t="shared" ca="1" si="8"/>
        <v/>
      </c>
      <c r="L128" s="1743" t="str">
        <f t="shared" ca="1" si="4"/>
        <v/>
      </c>
      <c r="M128" s="1743" t="str">
        <f t="shared" ca="1" si="13"/>
        <v/>
      </c>
      <c r="N128" s="1737" t="str">
        <f t="shared" ca="1" si="9"/>
        <v/>
      </c>
      <c r="O128" s="264"/>
      <c r="P128" s="1672"/>
      <c r="Q128" s="1693">
        <f t="shared" ca="1" si="5"/>
        <v>0</v>
      </c>
      <c r="R128" s="264"/>
      <c r="S128" s="264"/>
      <c r="T128" s="264"/>
      <c r="U128" s="264"/>
      <c r="V128" s="264"/>
    </row>
    <row r="129" spans="1:22" x14ac:dyDescent="0.2">
      <c r="A129" s="264"/>
      <c r="B129" s="1741">
        <v>9</v>
      </c>
      <c r="C129" s="1742">
        <f t="shared" ca="1" si="6"/>
        <v>43967</v>
      </c>
      <c r="D129" s="1735" t="str">
        <f t="shared" ca="1" si="10"/>
        <v/>
      </c>
      <c r="E129" s="1743" t="str">
        <f t="shared" ca="1" si="11"/>
        <v/>
      </c>
      <c r="F129" s="1743" t="str">
        <f t="shared" ca="1" si="12"/>
        <v/>
      </c>
      <c r="G129" s="1753"/>
      <c r="H129" s="1737" t="str">
        <f t="shared" si="7"/>
        <v/>
      </c>
      <c r="I129" s="1738" t="str">
        <f t="shared" ca="1" si="2"/>
        <v/>
      </c>
      <c r="J129" s="1737" t="str">
        <f t="shared" ca="1" si="3"/>
        <v/>
      </c>
      <c r="K129" s="1735" t="str">
        <f t="shared" ca="1" si="8"/>
        <v/>
      </c>
      <c r="L129" s="1743" t="str">
        <f t="shared" ca="1" si="4"/>
        <v/>
      </c>
      <c r="M129" s="1743" t="str">
        <f t="shared" ca="1" si="13"/>
        <v/>
      </c>
      <c r="N129" s="1737" t="str">
        <f t="shared" ca="1" si="9"/>
        <v/>
      </c>
      <c r="O129" s="264"/>
      <c r="P129" s="1672"/>
      <c r="Q129" s="1693">
        <f t="shared" ca="1" si="5"/>
        <v>0</v>
      </c>
      <c r="R129" s="264"/>
      <c r="S129" s="264"/>
      <c r="T129" s="264"/>
      <c r="U129" s="264"/>
      <c r="V129" s="264"/>
    </row>
    <row r="130" spans="1:22" x14ac:dyDescent="0.2">
      <c r="A130" s="264"/>
      <c r="B130" s="1741">
        <v>10</v>
      </c>
      <c r="C130" s="1742">
        <f t="shared" ca="1" si="6"/>
        <v>43998</v>
      </c>
      <c r="D130" s="1735" t="str">
        <f t="shared" ca="1" si="10"/>
        <v/>
      </c>
      <c r="E130" s="1743" t="str">
        <f t="shared" ca="1" si="11"/>
        <v/>
      </c>
      <c r="F130" s="1743" t="str">
        <f t="shared" ca="1" si="12"/>
        <v/>
      </c>
      <c r="G130" s="1753"/>
      <c r="H130" s="1737" t="str">
        <f t="shared" si="7"/>
        <v/>
      </c>
      <c r="I130" s="1738" t="str">
        <f t="shared" ca="1" si="2"/>
        <v/>
      </c>
      <c r="J130" s="1737" t="str">
        <f t="shared" ca="1" si="3"/>
        <v/>
      </c>
      <c r="K130" s="1735" t="str">
        <f ca="1">IFERROR(ROUNDUP(D130/(H$5*H$97*H$98),2),"")</f>
        <v/>
      </c>
      <c r="L130" s="1743" t="str">
        <f t="shared" ca="1" si="4"/>
        <v/>
      </c>
      <c r="M130" s="1743" t="str">
        <f t="shared" ca="1" si="13"/>
        <v/>
      </c>
      <c r="N130" s="1737" t="str">
        <f t="shared" ca="1" si="9"/>
        <v/>
      </c>
      <c r="O130" s="264"/>
      <c r="P130" s="1672"/>
      <c r="Q130" s="1693">
        <f t="shared" ca="1" si="5"/>
        <v>0</v>
      </c>
      <c r="R130" s="264"/>
      <c r="S130" s="264"/>
      <c r="T130" s="264"/>
      <c r="U130" s="264"/>
      <c r="V130" s="264"/>
    </row>
    <row r="131" spans="1:22" x14ac:dyDescent="0.2">
      <c r="A131" s="264"/>
      <c r="B131" s="1741">
        <v>11</v>
      </c>
      <c r="C131" s="1742">
        <f t="shared" ca="1" si="6"/>
        <v>44028</v>
      </c>
      <c r="D131" s="1735" t="str">
        <f t="shared" ca="1" si="10"/>
        <v/>
      </c>
      <c r="E131" s="1743" t="str">
        <f t="shared" ca="1" si="11"/>
        <v/>
      </c>
      <c r="F131" s="1743" t="str">
        <f t="shared" ca="1" si="12"/>
        <v/>
      </c>
      <c r="G131" s="1753"/>
      <c r="H131" s="1737" t="str">
        <f t="shared" si="7"/>
        <v/>
      </c>
      <c r="I131" s="1738" t="str">
        <f t="shared" ca="1" si="2"/>
        <v/>
      </c>
      <c r="J131" s="1737" t="str">
        <f t="shared" ca="1" si="3"/>
        <v/>
      </c>
      <c r="K131" s="1735" t="str">
        <f t="shared" ca="1" si="8"/>
        <v/>
      </c>
      <c r="L131" s="1743" t="str">
        <f t="shared" ca="1" si="4"/>
        <v/>
      </c>
      <c r="M131" s="1743" t="str">
        <f t="shared" ca="1" si="13"/>
        <v/>
      </c>
      <c r="N131" s="1737" t="str">
        <f t="shared" ca="1" si="9"/>
        <v/>
      </c>
      <c r="O131" s="264"/>
      <c r="P131" s="1672"/>
      <c r="Q131" s="1693">
        <f t="shared" ca="1" si="5"/>
        <v>0</v>
      </c>
      <c r="R131" s="264"/>
      <c r="S131" s="264"/>
      <c r="T131" s="264"/>
      <c r="U131" s="264"/>
      <c r="V131" s="264"/>
    </row>
    <row r="132" spans="1:22" x14ac:dyDescent="0.2">
      <c r="A132" s="264"/>
      <c r="B132" s="1741">
        <v>12</v>
      </c>
      <c r="C132" s="1742">
        <f t="shared" ca="1" si="6"/>
        <v>44059</v>
      </c>
      <c r="D132" s="1735" t="str">
        <f t="shared" ca="1" si="10"/>
        <v/>
      </c>
      <c r="E132" s="1743" t="str">
        <f t="shared" ca="1" si="11"/>
        <v/>
      </c>
      <c r="F132" s="1743" t="str">
        <f t="shared" ca="1" si="12"/>
        <v/>
      </c>
      <c r="G132" s="1753"/>
      <c r="H132" s="1737" t="str">
        <f t="shared" si="7"/>
        <v/>
      </c>
      <c r="I132" s="1738" t="str">
        <f t="shared" ca="1" si="2"/>
        <v/>
      </c>
      <c r="J132" s="1737" t="str">
        <f t="shared" ca="1" si="3"/>
        <v/>
      </c>
      <c r="K132" s="1735" t="str">
        <f t="shared" ca="1" si="8"/>
        <v/>
      </c>
      <c r="L132" s="1743" t="str">
        <f t="shared" ca="1" si="4"/>
        <v/>
      </c>
      <c r="M132" s="1743" t="str">
        <f t="shared" ca="1" si="13"/>
        <v/>
      </c>
      <c r="N132" s="1737" t="str">
        <f t="shared" ca="1" si="9"/>
        <v/>
      </c>
      <c r="O132" s="264"/>
      <c r="P132" s="1672"/>
      <c r="Q132" s="1693">
        <f t="shared" ca="1" si="5"/>
        <v>0</v>
      </c>
      <c r="R132" s="264"/>
      <c r="S132" s="264"/>
      <c r="T132" s="264"/>
      <c r="U132" s="264"/>
      <c r="V132" s="264"/>
    </row>
    <row r="133" spans="1:22" x14ac:dyDescent="0.2">
      <c r="A133" s="264"/>
      <c r="B133" s="1741">
        <v>13</v>
      </c>
      <c r="C133" s="1742">
        <f t="shared" ca="1" si="6"/>
        <v>44090</v>
      </c>
      <c r="D133" s="1735" t="str">
        <f t="shared" ca="1" si="10"/>
        <v/>
      </c>
      <c r="E133" s="1743" t="str">
        <f t="shared" ca="1" si="11"/>
        <v/>
      </c>
      <c r="F133" s="1743" t="str">
        <f t="shared" ca="1" si="12"/>
        <v/>
      </c>
      <c r="G133" s="1753"/>
      <c r="H133" s="1737" t="str">
        <f t="shared" si="7"/>
        <v/>
      </c>
      <c r="I133" s="1738" t="str">
        <f t="shared" ca="1" si="2"/>
        <v/>
      </c>
      <c r="J133" s="1737" t="str">
        <f t="shared" ca="1" si="3"/>
        <v/>
      </c>
      <c r="K133" s="1735" t="str">
        <f t="shared" ca="1" si="8"/>
        <v/>
      </c>
      <c r="L133" s="1743" t="str">
        <f t="shared" ca="1" si="4"/>
        <v/>
      </c>
      <c r="M133" s="1743" t="str">
        <f t="shared" ca="1" si="13"/>
        <v/>
      </c>
      <c r="N133" s="1737" t="str">
        <f t="shared" ca="1" si="9"/>
        <v/>
      </c>
      <c r="O133" s="264"/>
      <c r="P133" s="1672"/>
      <c r="Q133" s="1693">
        <f t="shared" ca="1" si="5"/>
        <v>0</v>
      </c>
      <c r="R133" s="264"/>
      <c r="S133" s="264"/>
      <c r="T133" s="264"/>
      <c r="U133" s="264"/>
      <c r="V133" s="264"/>
    </row>
    <row r="134" spans="1:22" x14ac:dyDescent="0.2">
      <c r="A134" s="264"/>
      <c r="B134" s="1741">
        <v>14</v>
      </c>
      <c r="C134" s="1742">
        <f t="shared" ca="1" si="6"/>
        <v>44120</v>
      </c>
      <c r="D134" s="1735" t="str">
        <f t="shared" ca="1" si="10"/>
        <v/>
      </c>
      <c r="E134" s="1743" t="str">
        <f t="shared" ca="1" si="11"/>
        <v/>
      </c>
      <c r="F134" s="1743" t="str">
        <f t="shared" ca="1" si="12"/>
        <v/>
      </c>
      <c r="G134" s="1753"/>
      <c r="H134" s="1737" t="str">
        <f t="shared" si="7"/>
        <v/>
      </c>
      <c r="I134" s="1738" t="str">
        <f t="shared" ca="1" si="2"/>
        <v/>
      </c>
      <c r="J134" s="1737" t="str">
        <f t="shared" ca="1" si="3"/>
        <v/>
      </c>
      <c r="K134" s="1735" t="str">
        <f t="shared" ca="1" si="8"/>
        <v/>
      </c>
      <c r="L134" s="1743" t="str">
        <f t="shared" ca="1" si="4"/>
        <v/>
      </c>
      <c r="M134" s="1743" t="str">
        <f t="shared" ca="1" si="13"/>
        <v/>
      </c>
      <c r="N134" s="1737" t="str">
        <f t="shared" ca="1" si="9"/>
        <v/>
      </c>
      <c r="O134" s="264"/>
      <c r="P134" s="1672"/>
      <c r="Q134" s="1693">
        <f t="shared" ca="1" si="5"/>
        <v>0</v>
      </c>
      <c r="R134" s="264"/>
      <c r="S134" s="264"/>
      <c r="T134" s="264"/>
      <c r="U134" s="264"/>
      <c r="V134" s="264"/>
    </row>
    <row r="135" spans="1:22" x14ac:dyDescent="0.2">
      <c r="A135" s="264"/>
      <c r="B135" s="1741">
        <v>15</v>
      </c>
      <c r="C135" s="1742">
        <f t="shared" ca="1" si="6"/>
        <v>44151</v>
      </c>
      <c r="D135" s="1735" t="str">
        <f t="shared" ca="1" si="10"/>
        <v/>
      </c>
      <c r="E135" s="1743" t="str">
        <f t="shared" ca="1" si="11"/>
        <v/>
      </c>
      <c r="F135" s="1743" t="str">
        <f t="shared" ca="1" si="12"/>
        <v/>
      </c>
      <c r="G135" s="1753"/>
      <c r="H135" s="1737" t="str">
        <f t="shared" si="7"/>
        <v/>
      </c>
      <c r="I135" s="1738" t="str">
        <f t="shared" ca="1" si="2"/>
        <v/>
      </c>
      <c r="J135" s="1737" t="str">
        <f t="shared" ca="1" si="3"/>
        <v/>
      </c>
      <c r="K135" s="1735" t="str">
        <f t="shared" ca="1" si="8"/>
        <v/>
      </c>
      <c r="L135" s="1743" t="str">
        <f t="shared" ca="1" si="4"/>
        <v/>
      </c>
      <c r="M135" s="1743" t="str">
        <f t="shared" ca="1" si="13"/>
        <v/>
      </c>
      <c r="N135" s="1737" t="str">
        <f t="shared" ca="1" si="9"/>
        <v/>
      </c>
      <c r="O135" s="264"/>
      <c r="P135" s="1672"/>
      <c r="Q135" s="1693">
        <f t="shared" ca="1" si="5"/>
        <v>0</v>
      </c>
      <c r="R135" s="264"/>
      <c r="S135" s="264"/>
      <c r="T135" s="264"/>
      <c r="U135" s="264"/>
      <c r="V135" s="264"/>
    </row>
    <row r="136" spans="1:22" x14ac:dyDescent="0.2">
      <c r="A136" s="264"/>
      <c r="B136" s="1741">
        <v>16</v>
      </c>
      <c r="C136" s="1742">
        <f t="shared" ca="1" si="6"/>
        <v>44181</v>
      </c>
      <c r="D136" s="1735" t="str">
        <f t="shared" ca="1" si="10"/>
        <v/>
      </c>
      <c r="E136" s="1743" t="str">
        <f t="shared" ca="1" si="11"/>
        <v/>
      </c>
      <c r="F136" s="1743" t="str">
        <f t="shared" ca="1" si="12"/>
        <v/>
      </c>
      <c r="G136" s="1753"/>
      <c r="H136" s="1737" t="str">
        <f t="shared" si="7"/>
        <v/>
      </c>
      <c r="I136" s="1738" t="str">
        <f t="shared" ca="1" si="2"/>
        <v/>
      </c>
      <c r="J136" s="1737" t="str">
        <f t="shared" ca="1" si="3"/>
        <v/>
      </c>
      <c r="K136" s="1735" t="str">
        <f t="shared" ca="1" si="8"/>
        <v/>
      </c>
      <c r="L136" s="1743" t="str">
        <f t="shared" ca="1" si="4"/>
        <v/>
      </c>
      <c r="M136" s="1743" t="str">
        <f t="shared" ca="1" si="13"/>
        <v/>
      </c>
      <c r="N136" s="1737" t="str">
        <f t="shared" ca="1" si="9"/>
        <v/>
      </c>
      <c r="O136" s="264"/>
      <c r="P136" s="1672"/>
      <c r="Q136" s="1693">
        <f t="shared" ca="1" si="5"/>
        <v>0</v>
      </c>
      <c r="R136" s="264"/>
      <c r="S136" s="264"/>
      <c r="T136" s="264"/>
      <c r="U136" s="264"/>
      <c r="V136" s="264"/>
    </row>
    <row r="137" spans="1:22" x14ac:dyDescent="0.2">
      <c r="A137" s="264"/>
      <c r="B137" s="1741">
        <v>17</v>
      </c>
      <c r="C137" s="1742">
        <f t="shared" ca="1" si="6"/>
        <v>44212</v>
      </c>
      <c r="D137" s="1735" t="str">
        <f t="shared" ca="1" si="10"/>
        <v/>
      </c>
      <c r="E137" s="1743" t="str">
        <f t="shared" ca="1" si="11"/>
        <v/>
      </c>
      <c r="F137" s="1743" t="str">
        <f t="shared" ca="1" si="12"/>
        <v/>
      </c>
      <c r="G137" s="1753"/>
      <c r="H137" s="1737" t="str">
        <f t="shared" si="7"/>
        <v/>
      </c>
      <c r="I137" s="1738" t="str">
        <f t="shared" ca="1" si="2"/>
        <v/>
      </c>
      <c r="J137" s="1737" t="str">
        <f t="shared" ca="1" si="3"/>
        <v/>
      </c>
      <c r="K137" s="1735" t="str">
        <f t="shared" ca="1" si="8"/>
        <v/>
      </c>
      <c r="L137" s="1743" t="str">
        <f t="shared" ca="1" si="4"/>
        <v/>
      </c>
      <c r="M137" s="1743" t="str">
        <f t="shared" ca="1" si="13"/>
        <v/>
      </c>
      <c r="N137" s="1737" t="str">
        <f t="shared" ca="1" si="9"/>
        <v/>
      </c>
      <c r="O137" s="264"/>
      <c r="P137" s="1672"/>
      <c r="Q137" s="1693">
        <f t="shared" ca="1" si="5"/>
        <v>0</v>
      </c>
      <c r="R137" s="264"/>
      <c r="S137" s="264"/>
      <c r="T137" s="264"/>
      <c r="U137" s="264"/>
      <c r="V137" s="264"/>
    </row>
    <row r="138" spans="1:22" x14ac:dyDescent="0.2">
      <c r="A138" s="264"/>
      <c r="B138" s="1741">
        <v>18</v>
      </c>
      <c r="C138" s="1742">
        <f t="shared" ca="1" si="6"/>
        <v>44243</v>
      </c>
      <c r="D138" s="1735" t="str">
        <f t="shared" ca="1" si="10"/>
        <v/>
      </c>
      <c r="E138" s="1743" t="str">
        <f t="shared" ca="1" si="11"/>
        <v/>
      </c>
      <c r="F138" s="1743" t="str">
        <f t="shared" ca="1" si="12"/>
        <v/>
      </c>
      <c r="G138" s="1753"/>
      <c r="H138" s="1737" t="str">
        <f t="shared" si="7"/>
        <v/>
      </c>
      <c r="I138" s="1738" t="str">
        <f t="shared" ca="1" si="2"/>
        <v/>
      </c>
      <c r="J138" s="1737" t="str">
        <f t="shared" ca="1" si="3"/>
        <v/>
      </c>
      <c r="K138" s="1735" t="str">
        <f t="shared" ca="1" si="8"/>
        <v/>
      </c>
      <c r="L138" s="1743" t="str">
        <f t="shared" ca="1" si="4"/>
        <v/>
      </c>
      <c r="M138" s="1743" t="str">
        <f t="shared" ca="1" si="13"/>
        <v/>
      </c>
      <c r="N138" s="1737" t="str">
        <f t="shared" ca="1" si="9"/>
        <v/>
      </c>
      <c r="O138" s="264"/>
      <c r="P138" s="1672"/>
      <c r="Q138" s="1693">
        <f t="shared" ca="1" si="5"/>
        <v>0</v>
      </c>
      <c r="R138" s="264"/>
      <c r="S138" s="264"/>
      <c r="T138" s="264"/>
      <c r="U138" s="264"/>
      <c r="V138" s="264"/>
    </row>
    <row r="139" spans="1:22" x14ac:dyDescent="0.2">
      <c r="A139" s="264"/>
      <c r="B139" s="1741">
        <v>19</v>
      </c>
      <c r="C139" s="1742">
        <f t="shared" ca="1" si="6"/>
        <v>44271</v>
      </c>
      <c r="D139" s="1735" t="str">
        <f t="shared" ca="1" si="10"/>
        <v/>
      </c>
      <c r="E139" s="1743" t="str">
        <f t="shared" ca="1" si="11"/>
        <v/>
      </c>
      <c r="F139" s="1743" t="str">
        <f t="shared" ca="1" si="12"/>
        <v/>
      </c>
      <c r="G139" s="1753"/>
      <c r="H139" s="1737" t="str">
        <f t="shared" si="7"/>
        <v/>
      </c>
      <c r="I139" s="1738" t="str">
        <f t="shared" ca="1" si="2"/>
        <v/>
      </c>
      <c r="J139" s="1737" t="str">
        <f t="shared" ca="1" si="3"/>
        <v/>
      </c>
      <c r="K139" s="1735" t="str">
        <f t="shared" ca="1" si="8"/>
        <v/>
      </c>
      <c r="L139" s="1743" t="str">
        <f t="shared" ca="1" si="4"/>
        <v/>
      </c>
      <c r="M139" s="1743" t="str">
        <f t="shared" ca="1" si="13"/>
        <v/>
      </c>
      <c r="N139" s="1737" t="str">
        <f t="shared" ca="1" si="9"/>
        <v/>
      </c>
      <c r="O139" s="264"/>
      <c r="P139" s="1672"/>
      <c r="Q139" s="1693">
        <f t="shared" ca="1" si="5"/>
        <v>0</v>
      </c>
      <c r="R139" s="264"/>
      <c r="S139" s="264"/>
      <c r="T139" s="264"/>
      <c r="U139" s="264"/>
      <c r="V139" s="264"/>
    </row>
    <row r="140" spans="1:22" x14ac:dyDescent="0.2">
      <c r="A140" s="264"/>
      <c r="B140" s="1741">
        <v>20</v>
      </c>
      <c r="C140" s="1742">
        <f t="shared" ca="1" si="6"/>
        <v>44302</v>
      </c>
      <c r="D140" s="1735" t="str">
        <f t="shared" ca="1" si="10"/>
        <v/>
      </c>
      <c r="E140" s="1743" t="str">
        <f t="shared" ca="1" si="11"/>
        <v/>
      </c>
      <c r="F140" s="1743" t="str">
        <f t="shared" ca="1" si="12"/>
        <v/>
      </c>
      <c r="G140" s="1753"/>
      <c r="H140" s="1737" t="str">
        <f t="shared" si="7"/>
        <v/>
      </c>
      <c r="I140" s="1738" t="str">
        <f t="shared" ca="1" si="2"/>
        <v/>
      </c>
      <c r="J140" s="1737" t="str">
        <f t="shared" ca="1" si="3"/>
        <v/>
      </c>
      <c r="K140" s="1735" t="str">
        <f t="shared" ca="1" si="8"/>
        <v/>
      </c>
      <c r="L140" s="1743" t="str">
        <f t="shared" ca="1" si="4"/>
        <v/>
      </c>
      <c r="M140" s="1743" t="str">
        <f t="shared" ca="1" si="13"/>
        <v/>
      </c>
      <c r="N140" s="1737" t="str">
        <f t="shared" ca="1" si="9"/>
        <v/>
      </c>
      <c r="O140" s="264"/>
      <c r="P140" s="1672"/>
      <c r="Q140" s="1693">
        <f t="shared" ca="1" si="5"/>
        <v>0</v>
      </c>
      <c r="R140" s="264"/>
      <c r="S140" s="264"/>
      <c r="T140" s="264"/>
      <c r="U140" s="264"/>
      <c r="V140" s="264"/>
    </row>
    <row r="141" spans="1:22" x14ac:dyDescent="0.2">
      <c r="A141" s="264"/>
      <c r="B141" s="1741">
        <v>21</v>
      </c>
      <c r="C141" s="1742">
        <f t="shared" ca="1" si="6"/>
        <v>44332</v>
      </c>
      <c r="D141" s="1735" t="str">
        <f t="shared" ca="1" si="10"/>
        <v/>
      </c>
      <c r="E141" s="1743" t="str">
        <f t="shared" ca="1" si="11"/>
        <v/>
      </c>
      <c r="F141" s="1743" t="str">
        <f t="shared" ca="1" si="12"/>
        <v/>
      </c>
      <c r="G141" s="1753"/>
      <c r="H141" s="1737" t="str">
        <f t="shared" si="7"/>
        <v/>
      </c>
      <c r="I141" s="1738" t="str">
        <f t="shared" ca="1" si="2"/>
        <v/>
      </c>
      <c r="J141" s="1737" t="str">
        <f t="shared" ca="1" si="3"/>
        <v/>
      </c>
      <c r="K141" s="1735" t="str">
        <f t="shared" ca="1" si="8"/>
        <v/>
      </c>
      <c r="L141" s="1743" t="str">
        <f t="shared" ca="1" si="4"/>
        <v/>
      </c>
      <c r="M141" s="1743" t="str">
        <f t="shared" ca="1" si="13"/>
        <v/>
      </c>
      <c r="N141" s="1737" t="str">
        <f t="shared" ca="1" si="9"/>
        <v/>
      </c>
      <c r="O141" s="264"/>
      <c r="P141" s="1672"/>
      <c r="Q141" s="1693">
        <f t="shared" ca="1" si="5"/>
        <v>0</v>
      </c>
      <c r="R141" s="264"/>
      <c r="S141" s="264"/>
      <c r="T141" s="264"/>
      <c r="U141" s="264"/>
      <c r="V141" s="264"/>
    </row>
    <row r="142" spans="1:22" x14ac:dyDescent="0.2">
      <c r="A142" s="264"/>
      <c r="B142" s="1741">
        <v>22</v>
      </c>
      <c r="C142" s="1742">
        <f t="shared" ca="1" si="6"/>
        <v>44363</v>
      </c>
      <c r="D142" s="1735" t="str">
        <f t="shared" ca="1" si="10"/>
        <v/>
      </c>
      <c r="E142" s="1743" t="str">
        <f t="shared" ca="1" si="11"/>
        <v/>
      </c>
      <c r="F142" s="1743" t="str">
        <f t="shared" ca="1" si="12"/>
        <v/>
      </c>
      <c r="G142" s="1753"/>
      <c r="H142" s="1737" t="str">
        <f t="shared" si="7"/>
        <v/>
      </c>
      <c r="I142" s="1738" t="str">
        <f t="shared" ca="1" si="2"/>
        <v/>
      </c>
      <c r="J142" s="1737" t="str">
        <f t="shared" ca="1" si="3"/>
        <v/>
      </c>
      <c r="K142" s="1735" t="str">
        <f t="shared" ca="1" si="8"/>
        <v/>
      </c>
      <c r="L142" s="1743" t="str">
        <f t="shared" ca="1" si="4"/>
        <v/>
      </c>
      <c r="M142" s="1743" t="str">
        <f t="shared" ca="1" si="13"/>
        <v/>
      </c>
      <c r="N142" s="1737" t="str">
        <f t="shared" ca="1" si="9"/>
        <v/>
      </c>
      <c r="O142" s="264"/>
      <c r="P142" s="1672"/>
      <c r="Q142" s="1693">
        <f t="shared" ca="1" si="5"/>
        <v>0</v>
      </c>
      <c r="R142" s="264"/>
      <c r="S142" s="264"/>
      <c r="T142" s="264"/>
      <c r="U142" s="264"/>
      <c r="V142" s="264"/>
    </row>
    <row r="143" spans="1:22" x14ac:dyDescent="0.2">
      <c r="A143" s="264"/>
      <c r="B143" s="1741">
        <v>23</v>
      </c>
      <c r="C143" s="1742">
        <f t="shared" ca="1" si="6"/>
        <v>44393</v>
      </c>
      <c r="D143" s="1735" t="str">
        <f t="shared" ca="1" si="10"/>
        <v/>
      </c>
      <c r="E143" s="1743" t="str">
        <f t="shared" ca="1" si="11"/>
        <v/>
      </c>
      <c r="F143" s="1743" t="str">
        <f t="shared" ca="1" si="12"/>
        <v/>
      </c>
      <c r="G143" s="1753"/>
      <c r="H143" s="1737" t="str">
        <f t="shared" si="7"/>
        <v/>
      </c>
      <c r="I143" s="1738" t="str">
        <f t="shared" ca="1" si="2"/>
        <v/>
      </c>
      <c r="J143" s="1737" t="str">
        <f t="shared" ca="1" si="3"/>
        <v/>
      </c>
      <c r="K143" s="1735" t="str">
        <f t="shared" ca="1" si="8"/>
        <v/>
      </c>
      <c r="L143" s="1743" t="str">
        <f t="shared" ca="1" si="4"/>
        <v/>
      </c>
      <c r="M143" s="1743" t="str">
        <f t="shared" ca="1" si="13"/>
        <v/>
      </c>
      <c r="N143" s="1737" t="str">
        <f t="shared" ca="1" si="9"/>
        <v/>
      </c>
      <c r="O143" s="264"/>
      <c r="P143" s="1672"/>
      <c r="Q143" s="1693">
        <f t="shared" ca="1" si="5"/>
        <v>0</v>
      </c>
      <c r="R143" s="264"/>
      <c r="S143" s="264"/>
      <c r="T143" s="264"/>
      <c r="U143" s="264"/>
      <c r="V143" s="264"/>
    </row>
    <row r="144" spans="1:22" x14ac:dyDescent="0.2">
      <c r="A144" s="264"/>
      <c r="B144" s="1741">
        <v>24</v>
      </c>
      <c r="C144" s="1742">
        <f t="shared" ca="1" si="6"/>
        <v>44424</v>
      </c>
      <c r="D144" s="1735" t="str">
        <f t="shared" ca="1" si="10"/>
        <v/>
      </c>
      <c r="E144" s="1743" t="str">
        <f t="shared" ca="1" si="11"/>
        <v/>
      </c>
      <c r="F144" s="1743" t="str">
        <f t="shared" ca="1" si="12"/>
        <v/>
      </c>
      <c r="G144" s="1753"/>
      <c r="H144" s="1737" t="str">
        <f t="shared" si="7"/>
        <v/>
      </c>
      <c r="I144" s="1738" t="str">
        <f t="shared" ca="1" si="2"/>
        <v/>
      </c>
      <c r="J144" s="1737" t="str">
        <f t="shared" ca="1" si="3"/>
        <v/>
      </c>
      <c r="K144" s="1735" t="str">
        <f t="shared" ca="1" si="8"/>
        <v/>
      </c>
      <c r="L144" s="1743" t="str">
        <f t="shared" ca="1" si="4"/>
        <v/>
      </c>
      <c r="M144" s="1743" t="str">
        <f t="shared" ca="1" si="13"/>
        <v/>
      </c>
      <c r="N144" s="1737" t="str">
        <f t="shared" ca="1" si="9"/>
        <v/>
      </c>
      <c r="O144" s="264"/>
      <c r="P144" s="1672"/>
      <c r="Q144" s="1693">
        <f t="shared" ca="1" si="5"/>
        <v>0</v>
      </c>
      <c r="R144" s="264"/>
      <c r="S144" s="264"/>
      <c r="T144" s="264"/>
      <c r="U144" s="264"/>
      <c r="V144" s="264"/>
    </row>
    <row r="145" spans="1:22" x14ac:dyDescent="0.2">
      <c r="A145" s="264"/>
      <c r="B145" s="1741">
        <v>25</v>
      </c>
      <c r="C145" s="1742">
        <f t="shared" ca="1" si="6"/>
        <v>44455</v>
      </c>
      <c r="D145" s="1735" t="str">
        <f t="shared" ca="1" si="10"/>
        <v/>
      </c>
      <c r="E145" s="1743" t="str">
        <f t="shared" ca="1" si="11"/>
        <v/>
      </c>
      <c r="F145" s="1743" t="str">
        <f t="shared" ca="1" si="12"/>
        <v/>
      </c>
      <c r="G145" s="1753"/>
      <c r="H145" s="1737" t="str">
        <f t="shared" si="7"/>
        <v/>
      </c>
      <c r="I145" s="1738" t="str">
        <f t="shared" ca="1" si="2"/>
        <v/>
      </c>
      <c r="J145" s="1737" t="str">
        <f t="shared" ca="1" si="3"/>
        <v/>
      </c>
      <c r="K145" s="1735" t="str">
        <f t="shared" ca="1" si="8"/>
        <v/>
      </c>
      <c r="L145" s="1743" t="str">
        <f t="shared" ca="1" si="4"/>
        <v/>
      </c>
      <c r="M145" s="1743" t="str">
        <f t="shared" ca="1" si="13"/>
        <v/>
      </c>
      <c r="N145" s="1737" t="str">
        <f t="shared" ca="1" si="9"/>
        <v/>
      </c>
      <c r="O145" s="264"/>
      <c r="P145" s="1672"/>
      <c r="Q145" s="1693">
        <f t="shared" ca="1" si="5"/>
        <v>0</v>
      </c>
      <c r="R145" s="264"/>
      <c r="S145" s="264"/>
      <c r="T145" s="264"/>
      <c r="U145" s="264"/>
      <c r="V145" s="264"/>
    </row>
    <row r="146" spans="1:22" x14ac:dyDescent="0.2">
      <c r="A146" s="264"/>
      <c r="B146" s="1741">
        <v>26</v>
      </c>
      <c r="C146" s="1742">
        <f t="shared" ca="1" si="6"/>
        <v>44485</v>
      </c>
      <c r="D146" s="1735" t="str">
        <f t="shared" ca="1" si="10"/>
        <v/>
      </c>
      <c r="E146" s="1743" t="str">
        <f t="shared" ca="1" si="11"/>
        <v/>
      </c>
      <c r="F146" s="1743" t="str">
        <f t="shared" ca="1" si="12"/>
        <v/>
      </c>
      <c r="G146" s="1753"/>
      <c r="H146" s="1737" t="str">
        <f t="shared" si="7"/>
        <v/>
      </c>
      <c r="I146" s="1738" t="str">
        <f t="shared" ca="1" si="2"/>
        <v/>
      </c>
      <c r="J146" s="1737" t="str">
        <f t="shared" ca="1" si="3"/>
        <v/>
      </c>
      <c r="K146" s="1735" t="str">
        <f t="shared" ca="1" si="8"/>
        <v/>
      </c>
      <c r="L146" s="1743" t="str">
        <f t="shared" ca="1" si="4"/>
        <v/>
      </c>
      <c r="M146" s="1743" t="str">
        <f t="shared" ca="1" si="13"/>
        <v/>
      </c>
      <c r="N146" s="1737" t="str">
        <f t="shared" ca="1" si="9"/>
        <v/>
      </c>
      <c r="O146" s="264"/>
      <c r="P146" s="264"/>
      <c r="Q146" s="1693">
        <f t="shared" ca="1" si="5"/>
        <v>0</v>
      </c>
      <c r="R146" s="264"/>
      <c r="S146" s="264"/>
      <c r="T146" s="264"/>
      <c r="U146" s="264"/>
      <c r="V146" s="264"/>
    </row>
    <row r="147" spans="1:22" x14ac:dyDescent="0.2">
      <c r="A147" s="264"/>
      <c r="B147" s="1741">
        <v>27</v>
      </c>
      <c r="C147" s="1742">
        <f t="shared" ca="1" si="6"/>
        <v>44516</v>
      </c>
      <c r="D147" s="1735" t="str">
        <f t="shared" ca="1" si="10"/>
        <v/>
      </c>
      <c r="E147" s="1743" t="str">
        <f t="shared" ca="1" si="11"/>
        <v/>
      </c>
      <c r="F147" s="1743" t="str">
        <f t="shared" ca="1" si="12"/>
        <v/>
      </c>
      <c r="G147" s="1753"/>
      <c r="H147" s="1737" t="str">
        <f t="shared" si="7"/>
        <v/>
      </c>
      <c r="I147" s="1738" t="str">
        <f t="shared" ca="1" si="2"/>
        <v/>
      </c>
      <c r="J147" s="1737" t="str">
        <f t="shared" ca="1" si="3"/>
        <v/>
      </c>
      <c r="K147" s="1735" t="str">
        <f t="shared" ca="1" si="8"/>
        <v/>
      </c>
      <c r="L147" s="1743" t="str">
        <f t="shared" ca="1" si="4"/>
        <v/>
      </c>
      <c r="M147" s="1743" t="str">
        <f t="shared" ca="1" si="13"/>
        <v/>
      </c>
      <c r="N147" s="1737" t="str">
        <f t="shared" ca="1" si="9"/>
        <v/>
      </c>
      <c r="O147" s="264"/>
      <c r="P147" s="264"/>
      <c r="Q147" s="1693">
        <f t="shared" ca="1" si="5"/>
        <v>0</v>
      </c>
      <c r="R147" s="264"/>
      <c r="S147" s="264"/>
      <c r="T147" s="264"/>
      <c r="U147" s="264"/>
      <c r="V147" s="264"/>
    </row>
    <row r="148" spans="1:22" x14ac:dyDescent="0.2">
      <c r="A148" s="264"/>
      <c r="B148" s="1741">
        <v>28</v>
      </c>
      <c r="C148" s="1742">
        <f t="shared" ca="1" si="6"/>
        <v>44546</v>
      </c>
      <c r="D148" s="1735" t="str">
        <f t="shared" ca="1" si="10"/>
        <v/>
      </c>
      <c r="E148" s="1743" t="str">
        <f t="shared" ca="1" si="11"/>
        <v/>
      </c>
      <c r="F148" s="1743" t="str">
        <f t="shared" ca="1" si="12"/>
        <v/>
      </c>
      <c r="G148" s="1753"/>
      <c r="H148" s="1737" t="str">
        <f t="shared" si="7"/>
        <v/>
      </c>
      <c r="I148" s="1738" t="str">
        <f t="shared" ca="1" si="2"/>
        <v/>
      </c>
      <c r="J148" s="1737" t="str">
        <f t="shared" ca="1" si="3"/>
        <v/>
      </c>
      <c r="K148" s="1735" t="str">
        <f t="shared" ca="1" si="8"/>
        <v/>
      </c>
      <c r="L148" s="1743" t="str">
        <f t="shared" ca="1" si="4"/>
        <v/>
      </c>
      <c r="M148" s="1743" t="str">
        <f t="shared" ca="1" si="13"/>
        <v/>
      </c>
      <c r="N148" s="1737" t="str">
        <f t="shared" ca="1" si="9"/>
        <v/>
      </c>
      <c r="O148" s="264"/>
      <c r="P148" s="264"/>
      <c r="Q148" s="1693">
        <f t="shared" ca="1" si="5"/>
        <v>0</v>
      </c>
      <c r="R148" s="264"/>
      <c r="S148" s="264"/>
      <c r="T148" s="264"/>
      <c r="U148" s="264"/>
      <c r="V148" s="264"/>
    </row>
    <row r="149" spans="1:22" x14ac:dyDescent="0.2">
      <c r="A149" s="264"/>
      <c r="B149" s="1741">
        <v>29</v>
      </c>
      <c r="C149" s="1742">
        <f t="shared" ca="1" si="6"/>
        <v>44577</v>
      </c>
      <c r="D149" s="1735" t="str">
        <f t="shared" ca="1" si="10"/>
        <v/>
      </c>
      <c r="E149" s="1743" t="str">
        <f t="shared" ca="1" si="11"/>
        <v/>
      </c>
      <c r="F149" s="1743" t="str">
        <f t="shared" ca="1" si="12"/>
        <v/>
      </c>
      <c r="G149" s="1753"/>
      <c r="H149" s="1737" t="str">
        <f t="shared" si="7"/>
        <v/>
      </c>
      <c r="I149" s="1738" t="str">
        <f t="shared" ca="1" si="2"/>
        <v/>
      </c>
      <c r="J149" s="1737" t="str">
        <f t="shared" ca="1" si="3"/>
        <v/>
      </c>
      <c r="K149" s="1735" t="str">
        <f t="shared" ca="1" si="8"/>
        <v/>
      </c>
      <c r="L149" s="1743" t="str">
        <f t="shared" ca="1" si="4"/>
        <v/>
      </c>
      <c r="M149" s="1743" t="str">
        <f t="shared" ca="1" si="13"/>
        <v/>
      </c>
      <c r="N149" s="1737" t="str">
        <f t="shared" ca="1" si="9"/>
        <v/>
      </c>
      <c r="O149" s="264"/>
      <c r="P149" s="264"/>
      <c r="Q149" s="1693">
        <f t="shared" ca="1" si="5"/>
        <v>0</v>
      </c>
      <c r="R149" s="264"/>
      <c r="S149" s="264"/>
      <c r="T149" s="264"/>
      <c r="U149" s="264"/>
      <c r="V149" s="264"/>
    </row>
    <row r="150" spans="1:22" x14ac:dyDescent="0.2">
      <c r="A150" s="264"/>
      <c r="B150" s="1741">
        <v>30</v>
      </c>
      <c r="C150" s="1742">
        <f t="shared" ca="1" si="6"/>
        <v>44608</v>
      </c>
      <c r="D150" s="1735" t="str">
        <f t="shared" ca="1" si="10"/>
        <v/>
      </c>
      <c r="E150" s="1743" t="str">
        <f t="shared" ca="1" si="11"/>
        <v/>
      </c>
      <c r="F150" s="1743" t="str">
        <f t="shared" ca="1" si="12"/>
        <v/>
      </c>
      <c r="G150" s="1753"/>
      <c r="H150" s="1737" t="str">
        <f t="shared" si="7"/>
        <v/>
      </c>
      <c r="I150" s="1738" t="str">
        <f t="shared" ca="1" si="2"/>
        <v/>
      </c>
      <c r="J150" s="1737" t="str">
        <f t="shared" ca="1" si="3"/>
        <v/>
      </c>
      <c r="K150" s="1735" t="str">
        <f t="shared" ca="1" si="8"/>
        <v/>
      </c>
      <c r="L150" s="1743" t="str">
        <f t="shared" ca="1" si="4"/>
        <v/>
      </c>
      <c r="M150" s="1743" t="str">
        <f t="shared" ca="1" si="13"/>
        <v/>
      </c>
      <c r="N150" s="1737" t="str">
        <f t="shared" ca="1" si="9"/>
        <v/>
      </c>
      <c r="O150" s="264"/>
      <c r="P150" s="264"/>
      <c r="Q150" s="1693">
        <f t="shared" ca="1" si="5"/>
        <v>0</v>
      </c>
      <c r="R150" s="264"/>
      <c r="S150" s="264"/>
      <c r="T150" s="264"/>
      <c r="U150" s="264"/>
      <c r="V150" s="264"/>
    </row>
    <row r="151" spans="1:22" x14ac:dyDescent="0.2">
      <c r="A151" s="264"/>
      <c r="B151" s="1741">
        <v>31</v>
      </c>
      <c r="C151" s="1742">
        <f t="shared" ca="1" si="6"/>
        <v>44636</v>
      </c>
      <c r="D151" s="1735" t="str">
        <f t="shared" ca="1" si="10"/>
        <v/>
      </c>
      <c r="E151" s="1743" t="str">
        <f t="shared" ca="1" si="11"/>
        <v/>
      </c>
      <c r="F151" s="1743" t="str">
        <f t="shared" ca="1" si="12"/>
        <v/>
      </c>
      <c r="G151" s="1753"/>
      <c r="H151" s="1737" t="str">
        <f t="shared" si="7"/>
        <v/>
      </c>
      <c r="I151" s="1738" t="str">
        <f t="shared" ca="1" si="2"/>
        <v/>
      </c>
      <c r="J151" s="1737" t="str">
        <f t="shared" ca="1" si="3"/>
        <v/>
      </c>
      <c r="K151" s="1735" t="str">
        <f t="shared" ca="1" si="8"/>
        <v/>
      </c>
      <c r="L151" s="1743" t="str">
        <f t="shared" ca="1" si="4"/>
        <v/>
      </c>
      <c r="M151" s="1743" t="str">
        <f t="shared" ca="1" si="13"/>
        <v/>
      </c>
      <c r="N151" s="1737" t="str">
        <f t="shared" ca="1" si="9"/>
        <v/>
      </c>
      <c r="O151" s="264"/>
      <c r="P151" s="264"/>
      <c r="Q151" s="1693">
        <f t="shared" ca="1" si="5"/>
        <v>0</v>
      </c>
      <c r="R151" s="264"/>
      <c r="S151" s="264"/>
      <c r="T151" s="264"/>
      <c r="U151" s="264"/>
      <c r="V151" s="264"/>
    </row>
    <row r="152" spans="1:22" x14ac:dyDescent="0.2">
      <c r="A152" s="264"/>
      <c r="B152" s="1741">
        <v>32</v>
      </c>
      <c r="C152" s="1742">
        <f t="shared" ca="1" si="6"/>
        <v>44667</v>
      </c>
      <c r="D152" s="1735" t="str">
        <f t="shared" ca="1" si="10"/>
        <v/>
      </c>
      <c r="E152" s="1743" t="str">
        <f t="shared" ca="1" si="11"/>
        <v/>
      </c>
      <c r="F152" s="1743" t="str">
        <f t="shared" ca="1" si="12"/>
        <v/>
      </c>
      <c r="G152" s="1753"/>
      <c r="H152" s="1737" t="str">
        <f t="shared" si="7"/>
        <v/>
      </c>
      <c r="I152" s="1738" t="str">
        <f t="shared" ca="1" si="2"/>
        <v/>
      </c>
      <c r="J152" s="1737" t="str">
        <f t="shared" ca="1" si="3"/>
        <v/>
      </c>
      <c r="K152" s="1735" t="str">
        <f t="shared" ca="1" si="8"/>
        <v/>
      </c>
      <c r="L152" s="1743" t="str">
        <f t="shared" ca="1" si="4"/>
        <v/>
      </c>
      <c r="M152" s="1743" t="str">
        <f t="shared" ca="1" si="13"/>
        <v/>
      </c>
      <c r="N152" s="1737" t="str">
        <f t="shared" ca="1" si="9"/>
        <v/>
      </c>
      <c r="O152" s="264"/>
      <c r="P152" s="264"/>
      <c r="Q152" s="1693">
        <f t="shared" ca="1" si="5"/>
        <v>0</v>
      </c>
      <c r="R152" s="264"/>
      <c r="S152" s="264"/>
      <c r="T152" s="264"/>
      <c r="U152" s="264"/>
      <c r="V152" s="264"/>
    </row>
    <row r="153" spans="1:22" x14ac:dyDescent="0.2">
      <c r="A153" s="264"/>
      <c r="B153" s="1741">
        <v>33</v>
      </c>
      <c r="C153" s="1742">
        <f t="shared" ca="1" si="6"/>
        <v>44697</v>
      </c>
      <c r="D153" s="1735" t="str">
        <f t="shared" ca="1" si="10"/>
        <v/>
      </c>
      <c r="E153" s="1743" t="str">
        <f t="shared" ca="1" si="11"/>
        <v/>
      </c>
      <c r="F153" s="1743" t="str">
        <f t="shared" ca="1" si="12"/>
        <v/>
      </c>
      <c r="G153" s="1753"/>
      <c r="H153" s="1737" t="str">
        <f t="shared" si="7"/>
        <v/>
      </c>
      <c r="I153" s="1738" t="str">
        <f t="shared" ref="I153:I184" ca="1" si="14">IFERROR(
        IF(C153="",
                "",
                IF(C153&gt;INDEX(C$121:C$220,60),
                        0,
                        ROUND(E153*MIN(1,H$90/H$89),2))),
        "")</f>
        <v/>
      </c>
      <c r="J153" s="1737" t="str">
        <f t="shared" ca="1" si="3"/>
        <v/>
      </c>
      <c r="K153" s="1735" t="str">
        <f t="shared" ref="K153:K184" ca="1" si="15">IFERROR(ROUNDUP(D153/(H$5*H$97*H$98),2),"")</f>
        <v/>
      </c>
      <c r="L153" s="1743" t="str">
        <f t="shared" ref="L153:L184" ca="1" si="16">IFERROR(
        MAX(0,ROUNDUP((D153-IF(B153=1,
                        0,
                        IFERROR(INDEX(I$121:I$220,(B153-H$95)^2/(B153-H$95)),0)))/
                       (H$5*H$97*H$98),
                2)),
        K153)</f>
        <v/>
      </c>
      <c r="M153" s="1743" t="str">
        <f t="shared" ca="1" si="13"/>
        <v/>
      </c>
      <c r="N153" s="1737" t="str">
        <f t="shared" ca="1" si="9"/>
        <v/>
      </c>
      <c r="O153" s="264"/>
      <c r="P153" s="264"/>
      <c r="Q153" s="1693">
        <f t="shared" ca="1" si="5"/>
        <v>0</v>
      </c>
      <c r="R153" s="264"/>
      <c r="S153" s="264"/>
      <c r="T153" s="264"/>
      <c r="U153" s="264"/>
      <c r="V153" s="264"/>
    </row>
    <row r="154" spans="1:22" x14ac:dyDescent="0.2">
      <c r="A154" s="264"/>
      <c r="B154" s="1741">
        <v>34</v>
      </c>
      <c r="C154" s="1742">
        <f t="shared" ref="C154:C185" ca="1" si="17">IFERROR(
        IF(EDATE(C153,1)&gt;EDATE(H$91,H$93),
                "",
                EDATE(C153,1)),
        "")</f>
        <v>44728</v>
      </c>
      <c r="D154" s="1735" t="str">
        <f t="shared" ca="1" si="10"/>
        <v/>
      </c>
      <c r="E154" s="1743" t="str">
        <f t="shared" ca="1" si="11"/>
        <v/>
      </c>
      <c r="F154" s="1743" t="str">
        <f t="shared" ca="1" si="12"/>
        <v/>
      </c>
      <c r="G154" s="1753"/>
      <c r="H154" s="1737" t="str">
        <f t="shared" si="7"/>
        <v/>
      </c>
      <c r="I154" s="1738" t="str">
        <f t="shared" ca="1" si="14"/>
        <v/>
      </c>
      <c r="J154" s="1737" t="str">
        <f t="shared" ca="1" si="3"/>
        <v/>
      </c>
      <c r="K154" s="1735" t="str">
        <f t="shared" ca="1" si="15"/>
        <v/>
      </c>
      <c r="L154" s="1743" t="str">
        <f t="shared" ca="1" si="16"/>
        <v/>
      </c>
      <c r="M154" s="1743" t="str">
        <f t="shared" ca="1" si="13"/>
        <v/>
      </c>
      <c r="N154" s="1737" t="str">
        <f t="shared" ref="N154:N185" ca="1" si="18">IFERROR(ROUND(M154*H$5*H$97*H$98-D154+IFERROR(INDEX(I$121:I$220,(B154-H$95)^2/(B154-H$95)),0)+N153,2),"")</f>
        <v/>
      </c>
      <c r="O154" s="264"/>
      <c r="P154" s="264"/>
      <c r="Q154" s="1693">
        <f t="shared" ca="1" si="5"/>
        <v>0</v>
      </c>
      <c r="R154" s="264"/>
      <c r="S154" s="264"/>
      <c r="T154" s="264"/>
      <c r="U154" s="264"/>
      <c r="V154" s="264"/>
    </row>
    <row r="155" spans="1:22" x14ac:dyDescent="0.2">
      <c r="A155" s="264"/>
      <c r="B155" s="1741">
        <v>35</v>
      </c>
      <c r="C155" s="1742">
        <f t="shared" ca="1" si="17"/>
        <v>44758</v>
      </c>
      <c r="D155" s="1735" t="str">
        <f t="shared" ca="1" si="10"/>
        <v/>
      </c>
      <c r="E155" s="1743" t="str">
        <f t="shared" ca="1" si="11"/>
        <v/>
      </c>
      <c r="F155" s="1743" t="str">
        <f t="shared" ca="1" si="12"/>
        <v/>
      </c>
      <c r="G155" s="1753"/>
      <c r="H155" s="1737" t="str">
        <f t="shared" si="7"/>
        <v/>
      </c>
      <c r="I155" s="1738" t="str">
        <f t="shared" ca="1" si="14"/>
        <v/>
      </c>
      <c r="J155" s="1737" t="str">
        <f t="shared" ca="1" si="3"/>
        <v/>
      </c>
      <c r="K155" s="1735" t="str">
        <f t="shared" ca="1" si="15"/>
        <v/>
      </c>
      <c r="L155" s="1743" t="str">
        <f t="shared" ca="1" si="16"/>
        <v/>
      </c>
      <c r="M155" s="1743" t="str">
        <f t="shared" ref="M155:M186" ca="1" si="19">IFERROR(ROUND(IF((B155+V$100-1)/V$100&lt;&gt;ROUND((B155+V$100-1)/V$100,0),
        M154,
       (INDEX(L$121:L$220,B155+V$100-1)+
        IF(V$100&lt;3,0,INDEX(L$121:L$220,B155+V$100-2))+
        IF(V$100&lt;3,0,INDEX(L$121:L$220,B155+V$100-3))+
        IF(V$100&lt;6,0,INDEX(L$121:L$220,B155+V$100-4))+
        IF(V$100&lt;6,0,INDEX(L$121:L$220,B155+V$100-5))+
        IF(V$100&lt;6,0,INDEX(L$121:L$220,B155+V$100-6))+
        IF(V$100&lt;12,0,INDEX(L$121:L$220,B155+V$100-7))+
        IF(V$100&lt;12,0,INDEX(L$121:L$220,B155+V$100-8))+
        IF(V$100&lt;12,0,INDEX(L$121:L$220,B155+V$100-9))+
        IF(V$100&lt;12,0,INDEX(L$121:L$220,B155+V$100-10))+
        IF(V$100&lt;12,0,INDEX(L$121:L$220,B155+V$100-11))+
        IF(V$100&lt;12,0,INDEX(L$121:L$220,B155+V$100-12)))/
        V$100),2),"")</f>
        <v/>
      </c>
      <c r="N155" s="1737" t="str">
        <f t="shared" ca="1" si="18"/>
        <v/>
      </c>
      <c r="O155" s="264"/>
      <c r="P155" s="264"/>
      <c r="Q155" s="1693">
        <f t="shared" ca="1" si="5"/>
        <v>0</v>
      </c>
      <c r="R155" s="264"/>
      <c r="S155" s="264"/>
      <c r="T155" s="264"/>
      <c r="U155" s="264"/>
      <c r="V155" s="264"/>
    </row>
    <row r="156" spans="1:22" x14ac:dyDescent="0.2">
      <c r="A156" s="264"/>
      <c r="B156" s="1741">
        <v>36</v>
      </c>
      <c r="C156" s="1742">
        <f t="shared" ca="1" si="17"/>
        <v>44789</v>
      </c>
      <c r="D156" s="1735" t="str">
        <f t="shared" ca="1" si="10"/>
        <v/>
      </c>
      <c r="E156" s="1743" t="str">
        <f t="shared" ca="1" si="11"/>
        <v/>
      </c>
      <c r="F156" s="1743" t="str">
        <f t="shared" ca="1" si="12"/>
        <v/>
      </c>
      <c r="G156" s="1753"/>
      <c r="H156" s="1737" t="str">
        <f t="shared" si="7"/>
        <v/>
      </c>
      <c r="I156" s="1738" t="str">
        <f t="shared" ca="1" si="14"/>
        <v/>
      </c>
      <c r="J156" s="1737" t="str">
        <f t="shared" ca="1" si="3"/>
        <v/>
      </c>
      <c r="K156" s="1735" t="str">
        <f t="shared" ca="1" si="15"/>
        <v/>
      </c>
      <c r="L156" s="1743" t="str">
        <f t="shared" ca="1" si="16"/>
        <v/>
      </c>
      <c r="M156" s="1743" t="str">
        <f t="shared" ca="1" si="19"/>
        <v/>
      </c>
      <c r="N156" s="1737" t="str">
        <f t="shared" ca="1" si="18"/>
        <v/>
      </c>
      <c r="O156" s="264"/>
      <c r="P156" s="264"/>
      <c r="Q156" s="1693">
        <f t="shared" ca="1" si="5"/>
        <v>0</v>
      </c>
      <c r="R156" s="264"/>
      <c r="S156" s="264"/>
      <c r="T156" s="264"/>
      <c r="U156" s="264"/>
      <c r="V156" s="264"/>
    </row>
    <row r="157" spans="1:22" x14ac:dyDescent="0.2">
      <c r="A157" s="264"/>
      <c r="B157" s="1741">
        <v>37</v>
      </c>
      <c r="C157" s="1742">
        <f t="shared" ca="1" si="17"/>
        <v>44820</v>
      </c>
      <c r="D157" s="1735" t="str">
        <f t="shared" ca="1" si="10"/>
        <v/>
      </c>
      <c r="E157" s="1743" t="str">
        <f t="shared" ca="1" si="11"/>
        <v/>
      </c>
      <c r="F157" s="1743" t="str">
        <f t="shared" ca="1" si="12"/>
        <v/>
      </c>
      <c r="G157" s="1753"/>
      <c r="H157" s="1737" t="str">
        <f t="shared" si="7"/>
        <v/>
      </c>
      <c r="I157" s="1738" t="str">
        <f t="shared" ca="1" si="14"/>
        <v/>
      </c>
      <c r="J157" s="1737" t="str">
        <f t="shared" ca="1" si="3"/>
        <v/>
      </c>
      <c r="K157" s="1735" t="str">
        <f t="shared" ca="1" si="15"/>
        <v/>
      </c>
      <c r="L157" s="1743" t="str">
        <f t="shared" ca="1" si="16"/>
        <v/>
      </c>
      <c r="M157" s="1743" t="str">
        <f t="shared" ca="1" si="19"/>
        <v/>
      </c>
      <c r="N157" s="1737" t="str">
        <f t="shared" ca="1" si="18"/>
        <v/>
      </c>
      <c r="O157" s="264"/>
      <c r="P157" s="264"/>
      <c r="Q157" s="1693">
        <f t="shared" ca="1" si="5"/>
        <v>0</v>
      </c>
      <c r="R157" s="264"/>
      <c r="S157" s="264"/>
      <c r="T157" s="264"/>
      <c r="U157" s="264"/>
      <c r="V157" s="264"/>
    </row>
    <row r="158" spans="1:22" x14ac:dyDescent="0.2">
      <c r="A158" s="264"/>
      <c r="B158" s="1741">
        <v>38</v>
      </c>
      <c r="C158" s="1742">
        <f t="shared" ca="1" si="17"/>
        <v>44850</v>
      </c>
      <c r="D158" s="1735" t="str">
        <f t="shared" ca="1" si="10"/>
        <v/>
      </c>
      <c r="E158" s="1743" t="str">
        <f t="shared" ca="1" si="11"/>
        <v/>
      </c>
      <c r="F158" s="1743" t="str">
        <f t="shared" ca="1" si="12"/>
        <v/>
      </c>
      <c r="G158" s="1753"/>
      <c r="H158" s="1737" t="str">
        <f t="shared" si="7"/>
        <v/>
      </c>
      <c r="I158" s="1738" t="str">
        <f t="shared" ca="1" si="14"/>
        <v/>
      </c>
      <c r="J158" s="1737" t="str">
        <f t="shared" ca="1" si="3"/>
        <v/>
      </c>
      <c r="K158" s="1735" t="str">
        <f t="shared" ca="1" si="15"/>
        <v/>
      </c>
      <c r="L158" s="1743" t="str">
        <f t="shared" ca="1" si="16"/>
        <v/>
      </c>
      <c r="M158" s="1743" t="str">
        <f t="shared" ca="1" si="19"/>
        <v/>
      </c>
      <c r="N158" s="1737" t="str">
        <f t="shared" ca="1" si="18"/>
        <v/>
      </c>
      <c r="O158" s="264"/>
      <c r="P158" s="264"/>
      <c r="Q158" s="1693">
        <f t="shared" ca="1" si="5"/>
        <v>0</v>
      </c>
      <c r="R158" s="264"/>
      <c r="S158" s="264"/>
      <c r="T158" s="264"/>
      <c r="U158" s="264"/>
      <c r="V158" s="264"/>
    </row>
    <row r="159" spans="1:22" x14ac:dyDescent="0.2">
      <c r="A159" s="264"/>
      <c r="B159" s="1741">
        <v>39</v>
      </c>
      <c r="C159" s="1742">
        <f t="shared" ca="1" si="17"/>
        <v>44881</v>
      </c>
      <c r="D159" s="1735" t="str">
        <f t="shared" ca="1" si="10"/>
        <v/>
      </c>
      <c r="E159" s="1743" t="str">
        <f t="shared" ca="1" si="11"/>
        <v/>
      </c>
      <c r="F159" s="1743" t="str">
        <f t="shared" ca="1" si="12"/>
        <v/>
      </c>
      <c r="G159" s="1753"/>
      <c r="H159" s="1737" t="str">
        <f t="shared" si="7"/>
        <v/>
      </c>
      <c r="I159" s="1738" t="str">
        <f t="shared" ca="1" si="14"/>
        <v/>
      </c>
      <c r="J159" s="1737" t="str">
        <f t="shared" ca="1" si="3"/>
        <v/>
      </c>
      <c r="K159" s="1735" t="str">
        <f t="shared" ca="1" si="15"/>
        <v/>
      </c>
      <c r="L159" s="1743" t="str">
        <f t="shared" ca="1" si="16"/>
        <v/>
      </c>
      <c r="M159" s="1743" t="str">
        <f t="shared" ca="1" si="19"/>
        <v/>
      </c>
      <c r="N159" s="1737" t="str">
        <f t="shared" ca="1" si="18"/>
        <v/>
      </c>
      <c r="O159" s="264"/>
      <c r="P159" s="264"/>
      <c r="Q159" s="1693">
        <f t="shared" ca="1" si="5"/>
        <v>0</v>
      </c>
      <c r="R159" s="264"/>
      <c r="S159" s="264"/>
      <c r="T159" s="264"/>
      <c r="U159" s="264"/>
      <c r="V159" s="264"/>
    </row>
    <row r="160" spans="1:22" x14ac:dyDescent="0.2">
      <c r="A160" s="264"/>
      <c r="B160" s="1741">
        <v>40</v>
      </c>
      <c r="C160" s="1742">
        <f t="shared" ca="1" si="17"/>
        <v>44911</v>
      </c>
      <c r="D160" s="1735" t="str">
        <f t="shared" ca="1" si="10"/>
        <v/>
      </c>
      <c r="E160" s="1743" t="str">
        <f t="shared" ca="1" si="11"/>
        <v/>
      </c>
      <c r="F160" s="1743" t="str">
        <f t="shared" ca="1" si="12"/>
        <v/>
      </c>
      <c r="G160" s="1753"/>
      <c r="H160" s="1737" t="str">
        <f t="shared" si="7"/>
        <v/>
      </c>
      <c r="I160" s="1738" t="str">
        <f t="shared" ca="1" si="14"/>
        <v/>
      </c>
      <c r="J160" s="1737" t="str">
        <f t="shared" ca="1" si="3"/>
        <v/>
      </c>
      <c r="K160" s="1735" t="str">
        <f t="shared" ca="1" si="15"/>
        <v/>
      </c>
      <c r="L160" s="1743" t="str">
        <f t="shared" ca="1" si="16"/>
        <v/>
      </c>
      <c r="M160" s="1743" t="str">
        <f t="shared" ca="1" si="19"/>
        <v/>
      </c>
      <c r="N160" s="1737" t="str">
        <f t="shared" ca="1" si="18"/>
        <v/>
      </c>
      <c r="O160" s="264"/>
      <c r="P160" s="264"/>
      <c r="Q160" s="1693">
        <f t="shared" ca="1" si="5"/>
        <v>0</v>
      </c>
      <c r="R160" s="264"/>
      <c r="S160" s="264"/>
      <c r="T160" s="264"/>
      <c r="U160" s="264"/>
      <c r="V160" s="264"/>
    </row>
    <row r="161" spans="1:22" x14ac:dyDescent="0.2">
      <c r="A161" s="264"/>
      <c r="B161" s="1741">
        <v>41</v>
      </c>
      <c r="C161" s="1742">
        <f t="shared" ca="1" si="17"/>
        <v>44942</v>
      </c>
      <c r="D161" s="1735" t="str">
        <f t="shared" ca="1" si="10"/>
        <v/>
      </c>
      <c r="E161" s="1743" t="str">
        <f t="shared" ca="1" si="11"/>
        <v/>
      </c>
      <c r="F161" s="1743" t="str">
        <f t="shared" ca="1" si="12"/>
        <v/>
      </c>
      <c r="G161" s="1753"/>
      <c r="H161" s="1737" t="str">
        <f t="shared" si="7"/>
        <v/>
      </c>
      <c r="I161" s="1738" t="str">
        <f t="shared" ca="1" si="14"/>
        <v/>
      </c>
      <c r="J161" s="1737" t="str">
        <f t="shared" ca="1" si="3"/>
        <v/>
      </c>
      <c r="K161" s="1735" t="str">
        <f t="shared" ca="1" si="15"/>
        <v/>
      </c>
      <c r="L161" s="1743" t="str">
        <f t="shared" ca="1" si="16"/>
        <v/>
      </c>
      <c r="M161" s="1743" t="str">
        <f t="shared" ca="1" si="19"/>
        <v/>
      </c>
      <c r="N161" s="1737" t="str">
        <f t="shared" ca="1" si="18"/>
        <v/>
      </c>
      <c r="O161" s="264"/>
      <c r="P161" s="264"/>
      <c r="Q161" s="1693">
        <f t="shared" ca="1" si="5"/>
        <v>0</v>
      </c>
      <c r="R161" s="264"/>
      <c r="S161" s="264"/>
      <c r="T161" s="264"/>
      <c r="U161" s="264"/>
      <c r="V161" s="264"/>
    </row>
    <row r="162" spans="1:22" x14ac:dyDescent="0.2">
      <c r="A162" s="264"/>
      <c r="B162" s="1741">
        <v>42</v>
      </c>
      <c r="C162" s="1742">
        <f t="shared" ca="1" si="17"/>
        <v>44973</v>
      </c>
      <c r="D162" s="1735" t="str">
        <f t="shared" ca="1" si="10"/>
        <v/>
      </c>
      <c r="E162" s="1743" t="str">
        <f t="shared" ca="1" si="11"/>
        <v/>
      </c>
      <c r="F162" s="1743" t="str">
        <f t="shared" ca="1" si="12"/>
        <v/>
      </c>
      <c r="G162" s="1753"/>
      <c r="H162" s="1737" t="str">
        <f t="shared" si="7"/>
        <v/>
      </c>
      <c r="I162" s="1738" t="str">
        <f t="shared" ca="1" si="14"/>
        <v/>
      </c>
      <c r="J162" s="1737" t="str">
        <f t="shared" ca="1" si="3"/>
        <v/>
      </c>
      <c r="K162" s="1735" t="str">
        <f t="shared" ca="1" si="15"/>
        <v/>
      </c>
      <c r="L162" s="1743" t="str">
        <f t="shared" ca="1" si="16"/>
        <v/>
      </c>
      <c r="M162" s="1743" t="str">
        <f t="shared" ca="1" si="19"/>
        <v/>
      </c>
      <c r="N162" s="1737" t="str">
        <f t="shared" ca="1" si="18"/>
        <v/>
      </c>
      <c r="O162" s="264"/>
      <c r="P162" s="264"/>
      <c r="Q162" s="1693">
        <f t="shared" ca="1" si="5"/>
        <v>0</v>
      </c>
      <c r="R162" s="264"/>
      <c r="S162" s="264"/>
      <c r="T162" s="264"/>
      <c r="U162" s="264"/>
      <c r="V162" s="264"/>
    </row>
    <row r="163" spans="1:22" x14ac:dyDescent="0.2">
      <c r="A163" s="264"/>
      <c r="B163" s="1741">
        <v>43</v>
      </c>
      <c r="C163" s="1742">
        <f t="shared" ca="1" si="17"/>
        <v>45001</v>
      </c>
      <c r="D163" s="1735" t="str">
        <f t="shared" ca="1" si="10"/>
        <v/>
      </c>
      <c r="E163" s="1743" t="str">
        <f t="shared" ca="1" si="11"/>
        <v/>
      </c>
      <c r="F163" s="1743" t="str">
        <f t="shared" ca="1" si="12"/>
        <v/>
      </c>
      <c r="G163" s="1753"/>
      <c r="H163" s="1737" t="str">
        <f t="shared" si="7"/>
        <v/>
      </c>
      <c r="I163" s="1738" t="str">
        <f t="shared" ca="1" si="14"/>
        <v/>
      </c>
      <c r="J163" s="1737" t="str">
        <f t="shared" ca="1" si="3"/>
        <v/>
      </c>
      <c r="K163" s="1735" t="str">
        <f t="shared" ca="1" si="15"/>
        <v/>
      </c>
      <c r="L163" s="1743" t="str">
        <f t="shared" ca="1" si="16"/>
        <v/>
      </c>
      <c r="M163" s="1743" t="str">
        <f t="shared" ca="1" si="19"/>
        <v/>
      </c>
      <c r="N163" s="1737" t="str">
        <f t="shared" ca="1" si="18"/>
        <v/>
      </c>
      <c r="O163" s="264"/>
      <c r="P163" s="264"/>
      <c r="Q163" s="1693">
        <f t="shared" ca="1" si="5"/>
        <v>0</v>
      </c>
      <c r="R163" s="264"/>
      <c r="S163" s="264"/>
      <c r="T163" s="264"/>
      <c r="U163" s="264"/>
      <c r="V163" s="264"/>
    </row>
    <row r="164" spans="1:22" x14ac:dyDescent="0.2">
      <c r="A164" s="264"/>
      <c r="B164" s="1741">
        <v>44</v>
      </c>
      <c r="C164" s="1742">
        <f t="shared" ca="1" si="17"/>
        <v>45032</v>
      </c>
      <c r="D164" s="1735" t="str">
        <f t="shared" ca="1" si="10"/>
        <v/>
      </c>
      <c r="E164" s="1743" t="str">
        <f t="shared" ca="1" si="11"/>
        <v/>
      </c>
      <c r="F164" s="1743" t="str">
        <f t="shared" ca="1" si="12"/>
        <v/>
      </c>
      <c r="G164" s="1753"/>
      <c r="H164" s="1737" t="str">
        <f t="shared" si="7"/>
        <v/>
      </c>
      <c r="I164" s="1738" t="str">
        <f t="shared" ca="1" si="14"/>
        <v/>
      </c>
      <c r="J164" s="1737" t="str">
        <f t="shared" ca="1" si="3"/>
        <v/>
      </c>
      <c r="K164" s="1735" t="str">
        <f t="shared" ca="1" si="15"/>
        <v/>
      </c>
      <c r="L164" s="1743" t="str">
        <f t="shared" ca="1" si="16"/>
        <v/>
      </c>
      <c r="M164" s="1743" t="str">
        <f t="shared" ca="1" si="19"/>
        <v/>
      </c>
      <c r="N164" s="1737" t="str">
        <f t="shared" ca="1" si="18"/>
        <v/>
      </c>
      <c r="O164" s="264"/>
      <c r="P164" s="264"/>
      <c r="Q164" s="1693">
        <f t="shared" ca="1" si="5"/>
        <v>0</v>
      </c>
      <c r="R164" s="264"/>
      <c r="S164" s="264"/>
      <c r="T164" s="264"/>
      <c r="U164" s="264"/>
      <c r="V164" s="264"/>
    </row>
    <row r="165" spans="1:22" x14ac:dyDescent="0.2">
      <c r="A165" s="264"/>
      <c r="B165" s="1741">
        <v>45</v>
      </c>
      <c r="C165" s="1742">
        <f t="shared" ca="1" si="17"/>
        <v>45062</v>
      </c>
      <c r="D165" s="1735" t="str">
        <f t="shared" ca="1" si="10"/>
        <v/>
      </c>
      <c r="E165" s="1743" t="str">
        <f t="shared" ca="1" si="11"/>
        <v/>
      </c>
      <c r="F165" s="1743" t="str">
        <f t="shared" ca="1" si="12"/>
        <v/>
      </c>
      <c r="G165" s="1753"/>
      <c r="H165" s="1737" t="str">
        <f t="shared" si="7"/>
        <v/>
      </c>
      <c r="I165" s="1738" t="str">
        <f t="shared" ca="1" si="14"/>
        <v/>
      </c>
      <c r="J165" s="1737" t="str">
        <f t="shared" ca="1" si="3"/>
        <v/>
      </c>
      <c r="K165" s="1735" t="str">
        <f t="shared" ca="1" si="15"/>
        <v/>
      </c>
      <c r="L165" s="1743" t="str">
        <f t="shared" ca="1" si="16"/>
        <v/>
      </c>
      <c r="M165" s="1743" t="str">
        <f t="shared" ca="1" si="19"/>
        <v/>
      </c>
      <c r="N165" s="1737" t="str">
        <f t="shared" ca="1" si="18"/>
        <v/>
      </c>
      <c r="O165" s="264"/>
      <c r="P165" s="264"/>
      <c r="Q165" s="1693">
        <f t="shared" ca="1" si="5"/>
        <v>0</v>
      </c>
      <c r="R165" s="264"/>
      <c r="S165" s="264"/>
      <c r="T165" s="264"/>
      <c r="U165" s="264"/>
      <c r="V165" s="264"/>
    </row>
    <row r="166" spans="1:22" x14ac:dyDescent="0.2">
      <c r="A166" s="264"/>
      <c r="B166" s="1741">
        <v>46</v>
      </c>
      <c r="C166" s="1742">
        <f t="shared" ca="1" si="17"/>
        <v>45093</v>
      </c>
      <c r="D166" s="1735" t="str">
        <f t="shared" ca="1" si="10"/>
        <v/>
      </c>
      <c r="E166" s="1743" t="str">
        <f t="shared" ca="1" si="11"/>
        <v/>
      </c>
      <c r="F166" s="1743" t="str">
        <f t="shared" ca="1" si="12"/>
        <v/>
      </c>
      <c r="G166" s="1753"/>
      <c r="H166" s="1737" t="str">
        <f t="shared" si="7"/>
        <v/>
      </c>
      <c r="I166" s="1738" t="str">
        <f t="shared" ca="1" si="14"/>
        <v/>
      </c>
      <c r="J166" s="1737" t="str">
        <f t="shared" ca="1" si="3"/>
        <v/>
      </c>
      <c r="K166" s="1735" t="str">
        <f t="shared" ca="1" si="15"/>
        <v/>
      </c>
      <c r="L166" s="1743" t="str">
        <f t="shared" ca="1" si="16"/>
        <v/>
      </c>
      <c r="M166" s="1743" t="str">
        <f t="shared" ca="1" si="19"/>
        <v/>
      </c>
      <c r="N166" s="1737" t="str">
        <f t="shared" ca="1" si="18"/>
        <v/>
      </c>
      <c r="O166" s="264"/>
      <c r="P166" s="264"/>
      <c r="Q166" s="1693">
        <f t="shared" ca="1" si="5"/>
        <v>0</v>
      </c>
      <c r="R166" s="264"/>
      <c r="S166" s="264"/>
      <c r="T166" s="264"/>
      <c r="U166" s="264"/>
      <c r="V166" s="264"/>
    </row>
    <row r="167" spans="1:22" x14ac:dyDescent="0.2">
      <c r="A167" s="264"/>
      <c r="B167" s="1741">
        <v>47</v>
      </c>
      <c r="C167" s="1742">
        <f t="shared" ca="1" si="17"/>
        <v>45123</v>
      </c>
      <c r="D167" s="1735" t="str">
        <f t="shared" ca="1" si="10"/>
        <v/>
      </c>
      <c r="E167" s="1743" t="str">
        <f t="shared" ca="1" si="11"/>
        <v/>
      </c>
      <c r="F167" s="1743" t="str">
        <f t="shared" ca="1" si="12"/>
        <v/>
      </c>
      <c r="G167" s="1753"/>
      <c r="H167" s="1737" t="str">
        <f t="shared" si="7"/>
        <v/>
      </c>
      <c r="I167" s="1738" t="str">
        <f t="shared" ca="1" si="14"/>
        <v/>
      </c>
      <c r="J167" s="1737" t="str">
        <f t="shared" ca="1" si="3"/>
        <v/>
      </c>
      <c r="K167" s="1735" t="str">
        <f t="shared" ca="1" si="15"/>
        <v/>
      </c>
      <c r="L167" s="1743" t="str">
        <f t="shared" ca="1" si="16"/>
        <v/>
      </c>
      <c r="M167" s="1743" t="str">
        <f t="shared" ca="1" si="19"/>
        <v/>
      </c>
      <c r="N167" s="1737" t="str">
        <f t="shared" ca="1" si="18"/>
        <v/>
      </c>
      <c r="O167" s="264"/>
      <c r="P167" s="264"/>
      <c r="Q167" s="1693">
        <f t="shared" ca="1" si="5"/>
        <v>0</v>
      </c>
      <c r="R167" s="264"/>
      <c r="S167" s="264"/>
      <c r="T167" s="264"/>
      <c r="U167" s="264"/>
      <c r="V167" s="264"/>
    </row>
    <row r="168" spans="1:22" x14ac:dyDescent="0.2">
      <c r="A168" s="264"/>
      <c r="B168" s="1741">
        <v>48</v>
      </c>
      <c r="C168" s="1742">
        <f t="shared" ca="1" si="17"/>
        <v>45154</v>
      </c>
      <c r="D168" s="1735" t="str">
        <f t="shared" ca="1" si="10"/>
        <v/>
      </c>
      <c r="E168" s="1743" t="str">
        <f t="shared" ca="1" si="11"/>
        <v/>
      </c>
      <c r="F168" s="1743" t="str">
        <f t="shared" ca="1" si="12"/>
        <v/>
      </c>
      <c r="G168" s="1753"/>
      <c r="H168" s="1737" t="str">
        <f t="shared" si="7"/>
        <v/>
      </c>
      <c r="I168" s="1738" t="str">
        <f t="shared" ca="1" si="14"/>
        <v/>
      </c>
      <c r="J168" s="1737" t="str">
        <f t="shared" ca="1" si="3"/>
        <v/>
      </c>
      <c r="K168" s="1735" t="str">
        <f t="shared" ca="1" si="15"/>
        <v/>
      </c>
      <c r="L168" s="1743" t="str">
        <f t="shared" ca="1" si="16"/>
        <v/>
      </c>
      <c r="M168" s="1743" t="str">
        <f t="shared" ca="1" si="19"/>
        <v/>
      </c>
      <c r="N168" s="1737" t="str">
        <f t="shared" ca="1" si="18"/>
        <v/>
      </c>
      <c r="O168" s="264"/>
      <c r="P168" s="264"/>
      <c r="Q168" s="1693">
        <f ca="1">IFERROR(IF(K168&gt;=0,H$6,""),"")</f>
        <v>0</v>
      </c>
      <c r="R168" s="264"/>
      <c r="S168" s="264"/>
      <c r="T168" s="264"/>
      <c r="U168" s="264"/>
      <c r="V168" s="264"/>
    </row>
    <row r="169" spans="1:22" x14ac:dyDescent="0.2">
      <c r="A169" s="264"/>
      <c r="B169" s="1741">
        <v>49</v>
      </c>
      <c r="C169" s="1742">
        <f t="shared" ca="1" si="17"/>
        <v>45185</v>
      </c>
      <c r="D169" s="1735" t="str">
        <f t="shared" ca="1" si="10"/>
        <v/>
      </c>
      <c r="E169" s="1743" t="str">
        <f t="shared" ca="1" si="11"/>
        <v/>
      </c>
      <c r="F169" s="1743" t="str">
        <f t="shared" ca="1" si="12"/>
        <v/>
      </c>
      <c r="G169" s="1753"/>
      <c r="H169" s="1737" t="str">
        <f t="shared" si="7"/>
        <v/>
      </c>
      <c r="I169" s="1738" t="str">
        <f t="shared" ca="1" si="14"/>
        <v/>
      </c>
      <c r="J169" s="1737" t="str">
        <f t="shared" ca="1" si="3"/>
        <v/>
      </c>
      <c r="K169" s="1735" t="str">
        <f t="shared" ca="1" si="15"/>
        <v/>
      </c>
      <c r="L169" s="1743" t="str">
        <f t="shared" ca="1" si="16"/>
        <v/>
      </c>
      <c r="M169" s="1743" t="str">
        <f t="shared" ca="1" si="19"/>
        <v/>
      </c>
      <c r="N169" s="1737" t="str">
        <f t="shared" ca="1" si="18"/>
        <v/>
      </c>
      <c r="O169" s="264"/>
      <c r="P169" s="264"/>
      <c r="Q169" s="1693">
        <f t="shared" ref="Q169:Q180" ca="1" si="20">IFERROR(IF(K169&gt;=0,H$6,""),"")</f>
        <v>0</v>
      </c>
      <c r="R169" s="264"/>
      <c r="S169" s="264"/>
      <c r="T169" s="264"/>
      <c r="U169" s="264"/>
      <c r="V169" s="264"/>
    </row>
    <row r="170" spans="1:22" x14ac:dyDescent="0.2">
      <c r="A170" s="264"/>
      <c r="B170" s="1741">
        <v>50</v>
      </c>
      <c r="C170" s="1742">
        <f t="shared" ca="1" si="17"/>
        <v>45215</v>
      </c>
      <c r="D170" s="1735" t="str">
        <f t="shared" ca="1" si="10"/>
        <v/>
      </c>
      <c r="E170" s="1743" t="str">
        <f t="shared" ca="1" si="11"/>
        <v/>
      </c>
      <c r="F170" s="1743" t="str">
        <f t="shared" ca="1" si="12"/>
        <v/>
      </c>
      <c r="G170" s="1753"/>
      <c r="H170" s="1737" t="str">
        <f t="shared" si="7"/>
        <v/>
      </c>
      <c r="I170" s="1738" t="str">
        <f t="shared" ca="1" si="14"/>
        <v/>
      </c>
      <c r="J170" s="1737" t="str">
        <f t="shared" ca="1" si="3"/>
        <v/>
      </c>
      <c r="K170" s="1735" t="str">
        <f t="shared" ca="1" si="15"/>
        <v/>
      </c>
      <c r="L170" s="1743" t="str">
        <f t="shared" ca="1" si="16"/>
        <v/>
      </c>
      <c r="M170" s="1743" t="str">
        <f t="shared" ca="1" si="19"/>
        <v/>
      </c>
      <c r="N170" s="1737" t="str">
        <f t="shared" ca="1" si="18"/>
        <v/>
      </c>
      <c r="O170" s="264"/>
      <c r="P170" s="264"/>
      <c r="Q170" s="1693">
        <f t="shared" ca="1" si="20"/>
        <v>0</v>
      </c>
      <c r="R170" s="264"/>
      <c r="S170" s="264"/>
      <c r="T170" s="264"/>
      <c r="U170" s="264"/>
      <c r="V170" s="264"/>
    </row>
    <row r="171" spans="1:22" x14ac:dyDescent="0.2">
      <c r="A171" s="264"/>
      <c r="B171" s="1741">
        <v>51</v>
      </c>
      <c r="C171" s="1742">
        <f t="shared" ca="1" si="17"/>
        <v>45246</v>
      </c>
      <c r="D171" s="1735" t="str">
        <f t="shared" ca="1" si="10"/>
        <v/>
      </c>
      <c r="E171" s="1743" t="str">
        <f t="shared" ca="1" si="11"/>
        <v/>
      </c>
      <c r="F171" s="1743" t="str">
        <f t="shared" ca="1" si="12"/>
        <v/>
      </c>
      <c r="G171" s="1753"/>
      <c r="H171" s="1737" t="str">
        <f t="shared" si="7"/>
        <v/>
      </c>
      <c r="I171" s="1738" t="str">
        <f t="shared" ca="1" si="14"/>
        <v/>
      </c>
      <c r="J171" s="1737" t="str">
        <f t="shared" ca="1" si="3"/>
        <v/>
      </c>
      <c r="K171" s="1735" t="str">
        <f t="shared" ca="1" si="15"/>
        <v/>
      </c>
      <c r="L171" s="1743" t="str">
        <f t="shared" ca="1" si="16"/>
        <v/>
      </c>
      <c r="M171" s="1743" t="str">
        <f t="shared" ca="1" si="19"/>
        <v/>
      </c>
      <c r="N171" s="1737" t="str">
        <f t="shared" ca="1" si="18"/>
        <v/>
      </c>
      <c r="O171" s="264"/>
      <c r="P171" s="264"/>
      <c r="Q171" s="1693">
        <f t="shared" ca="1" si="20"/>
        <v>0</v>
      </c>
      <c r="R171" s="264"/>
      <c r="S171" s="264"/>
      <c r="T171" s="264"/>
      <c r="U171" s="264"/>
      <c r="V171" s="264"/>
    </row>
    <row r="172" spans="1:22" x14ac:dyDescent="0.2">
      <c r="A172" s="264"/>
      <c r="B172" s="1741">
        <v>52</v>
      </c>
      <c r="C172" s="1742">
        <f t="shared" ca="1" si="17"/>
        <v>45276</v>
      </c>
      <c r="D172" s="1735" t="str">
        <f t="shared" ca="1" si="10"/>
        <v/>
      </c>
      <c r="E172" s="1743" t="str">
        <f t="shared" ca="1" si="11"/>
        <v/>
      </c>
      <c r="F172" s="1743" t="str">
        <f t="shared" ca="1" si="12"/>
        <v/>
      </c>
      <c r="G172" s="1753"/>
      <c r="H172" s="1737" t="str">
        <f t="shared" si="7"/>
        <v/>
      </c>
      <c r="I172" s="1738" t="str">
        <f t="shared" ca="1" si="14"/>
        <v/>
      </c>
      <c r="J172" s="1737" t="str">
        <f t="shared" ca="1" si="3"/>
        <v/>
      </c>
      <c r="K172" s="1735" t="str">
        <f t="shared" ca="1" si="15"/>
        <v/>
      </c>
      <c r="L172" s="1743" t="str">
        <f t="shared" ca="1" si="16"/>
        <v/>
      </c>
      <c r="M172" s="1743" t="str">
        <f t="shared" ca="1" si="19"/>
        <v/>
      </c>
      <c r="N172" s="1737" t="str">
        <f t="shared" ca="1" si="18"/>
        <v/>
      </c>
      <c r="O172" s="264"/>
      <c r="P172" s="264"/>
      <c r="Q172" s="1693">
        <f t="shared" ca="1" si="20"/>
        <v>0</v>
      </c>
      <c r="R172" s="264"/>
      <c r="S172" s="264"/>
      <c r="T172" s="264"/>
      <c r="U172" s="264"/>
      <c r="V172" s="264"/>
    </row>
    <row r="173" spans="1:22" x14ac:dyDescent="0.2">
      <c r="A173" s="264"/>
      <c r="B173" s="1741">
        <v>53</v>
      </c>
      <c r="C173" s="1742">
        <f t="shared" ca="1" si="17"/>
        <v>45307</v>
      </c>
      <c r="D173" s="1735" t="str">
        <f t="shared" ca="1" si="10"/>
        <v/>
      </c>
      <c r="E173" s="1743" t="str">
        <f t="shared" ca="1" si="11"/>
        <v/>
      </c>
      <c r="F173" s="1743" t="str">
        <f t="shared" ca="1" si="12"/>
        <v/>
      </c>
      <c r="G173" s="1753"/>
      <c r="H173" s="1737" t="str">
        <f t="shared" si="7"/>
        <v/>
      </c>
      <c r="I173" s="1738" t="str">
        <f t="shared" ca="1" si="14"/>
        <v/>
      </c>
      <c r="J173" s="1737" t="str">
        <f t="shared" ca="1" si="3"/>
        <v/>
      </c>
      <c r="K173" s="1735" t="str">
        <f t="shared" ca="1" si="15"/>
        <v/>
      </c>
      <c r="L173" s="1743" t="str">
        <f t="shared" ca="1" si="16"/>
        <v/>
      </c>
      <c r="M173" s="1743" t="str">
        <f t="shared" ca="1" si="19"/>
        <v/>
      </c>
      <c r="N173" s="1737" t="str">
        <f t="shared" ca="1" si="18"/>
        <v/>
      </c>
      <c r="O173" s="264"/>
      <c r="P173" s="264"/>
      <c r="Q173" s="1693">
        <f t="shared" ca="1" si="20"/>
        <v>0</v>
      </c>
      <c r="R173" s="264"/>
      <c r="S173" s="264"/>
      <c r="T173" s="264"/>
      <c r="U173" s="264"/>
      <c r="V173" s="264"/>
    </row>
    <row r="174" spans="1:22" x14ac:dyDescent="0.2">
      <c r="A174" s="264"/>
      <c r="B174" s="1741">
        <v>54</v>
      </c>
      <c r="C174" s="1742">
        <f t="shared" ca="1" si="17"/>
        <v>45338</v>
      </c>
      <c r="D174" s="1735" t="str">
        <f t="shared" ca="1" si="10"/>
        <v/>
      </c>
      <c r="E174" s="1743" t="str">
        <f t="shared" ca="1" si="11"/>
        <v/>
      </c>
      <c r="F174" s="1743" t="str">
        <f t="shared" ca="1" si="12"/>
        <v/>
      </c>
      <c r="G174" s="1753"/>
      <c r="H174" s="1737" t="str">
        <f t="shared" si="7"/>
        <v/>
      </c>
      <c r="I174" s="1738" t="str">
        <f t="shared" ca="1" si="14"/>
        <v/>
      </c>
      <c r="J174" s="1737" t="str">
        <f t="shared" ca="1" si="3"/>
        <v/>
      </c>
      <c r="K174" s="1735" t="str">
        <f t="shared" ca="1" si="15"/>
        <v/>
      </c>
      <c r="L174" s="1743" t="str">
        <f t="shared" ca="1" si="16"/>
        <v/>
      </c>
      <c r="M174" s="1743" t="str">
        <f t="shared" ca="1" si="19"/>
        <v/>
      </c>
      <c r="N174" s="1737" t="str">
        <f t="shared" ca="1" si="18"/>
        <v/>
      </c>
      <c r="O174" s="264"/>
      <c r="P174" s="264"/>
      <c r="Q174" s="1693">
        <f t="shared" ca="1" si="20"/>
        <v>0</v>
      </c>
      <c r="R174" s="264"/>
      <c r="S174" s="264"/>
      <c r="T174" s="264"/>
      <c r="U174" s="264"/>
      <c r="V174" s="264"/>
    </row>
    <row r="175" spans="1:22" x14ac:dyDescent="0.2">
      <c r="A175" s="264"/>
      <c r="B175" s="1741">
        <v>55</v>
      </c>
      <c r="C175" s="1742">
        <f t="shared" ca="1" si="17"/>
        <v>45367</v>
      </c>
      <c r="D175" s="1735" t="str">
        <f t="shared" ca="1" si="10"/>
        <v/>
      </c>
      <c r="E175" s="1743" t="str">
        <f t="shared" ca="1" si="11"/>
        <v/>
      </c>
      <c r="F175" s="1743" t="str">
        <f t="shared" ca="1" si="12"/>
        <v/>
      </c>
      <c r="G175" s="1753"/>
      <c r="H175" s="1737" t="str">
        <f t="shared" si="7"/>
        <v/>
      </c>
      <c r="I175" s="1738" t="str">
        <f t="shared" ca="1" si="14"/>
        <v/>
      </c>
      <c r="J175" s="1737" t="str">
        <f t="shared" ca="1" si="3"/>
        <v/>
      </c>
      <c r="K175" s="1735" t="str">
        <f t="shared" ca="1" si="15"/>
        <v/>
      </c>
      <c r="L175" s="1743" t="str">
        <f t="shared" ca="1" si="16"/>
        <v/>
      </c>
      <c r="M175" s="1743" t="str">
        <f t="shared" ca="1" si="19"/>
        <v/>
      </c>
      <c r="N175" s="1737" t="str">
        <f t="shared" ca="1" si="18"/>
        <v/>
      </c>
      <c r="O175" s="264"/>
      <c r="P175" s="264"/>
      <c r="Q175" s="1693">
        <f t="shared" ca="1" si="20"/>
        <v>0</v>
      </c>
      <c r="R175" s="264"/>
      <c r="S175" s="264"/>
      <c r="T175" s="264"/>
      <c r="U175" s="264"/>
      <c r="V175" s="264"/>
    </row>
    <row r="176" spans="1:22" x14ac:dyDescent="0.2">
      <c r="A176" s="264"/>
      <c r="B176" s="1741">
        <v>56</v>
      </c>
      <c r="C176" s="1742">
        <f t="shared" ca="1" si="17"/>
        <v>45398</v>
      </c>
      <c r="D176" s="1735" t="str">
        <f t="shared" ca="1" si="10"/>
        <v/>
      </c>
      <c r="E176" s="1743" t="str">
        <f t="shared" ca="1" si="11"/>
        <v/>
      </c>
      <c r="F176" s="1743" t="str">
        <f t="shared" ca="1" si="12"/>
        <v/>
      </c>
      <c r="G176" s="1753"/>
      <c r="H176" s="1737" t="str">
        <f t="shared" si="7"/>
        <v/>
      </c>
      <c r="I176" s="1738" t="str">
        <f t="shared" ca="1" si="14"/>
        <v/>
      </c>
      <c r="J176" s="1737" t="str">
        <f t="shared" ca="1" si="3"/>
        <v/>
      </c>
      <c r="K176" s="1735" t="str">
        <f t="shared" ca="1" si="15"/>
        <v/>
      </c>
      <c r="L176" s="1743" t="str">
        <f t="shared" ca="1" si="16"/>
        <v/>
      </c>
      <c r="M176" s="1743" t="str">
        <f t="shared" ca="1" si="19"/>
        <v/>
      </c>
      <c r="N176" s="1737" t="str">
        <f t="shared" ca="1" si="18"/>
        <v/>
      </c>
      <c r="O176" s="264"/>
      <c r="P176" s="264"/>
      <c r="Q176" s="1693">
        <f t="shared" ca="1" si="20"/>
        <v>0</v>
      </c>
      <c r="R176" s="264"/>
      <c r="S176" s="264"/>
      <c r="T176" s="264"/>
      <c r="U176" s="264"/>
      <c r="V176" s="264"/>
    </row>
    <row r="177" spans="1:22" x14ac:dyDescent="0.2">
      <c r="A177" s="264"/>
      <c r="B177" s="1741">
        <v>57</v>
      </c>
      <c r="C177" s="1742">
        <f t="shared" ca="1" si="17"/>
        <v>45428</v>
      </c>
      <c r="D177" s="1735" t="str">
        <f t="shared" ca="1" si="10"/>
        <v/>
      </c>
      <c r="E177" s="1743" t="str">
        <f t="shared" ca="1" si="11"/>
        <v/>
      </c>
      <c r="F177" s="1743" t="str">
        <f t="shared" ca="1" si="12"/>
        <v/>
      </c>
      <c r="G177" s="1753"/>
      <c r="H177" s="1737" t="str">
        <f t="shared" si="7"/>
        <v/>
      </c>
      <c r="I177" s="1738" t="str">
        <f t="shared" ca="1" si="14"/>
        <v/>
      </c>
      <c r="J177" s="1737" t="str">
        <f t="shared" ca="1" si="3"/>
        <v/>
      </c>
      <c r="K177" s="1735" t="str">
        <f t="shared" ca="1" si="15"/>
        <v/>
      </c>
      <c r="L177" s="1743" t="str">
        <f t="shared" ca="1" si="16"/>
        <v/>
      </c>
      <c r="M177" s="1743" t="str">
        <f t="shared" ca="1" si="19"/>
        <v/>
      </c>
      <c r="N177" s="1737" t="str">
        <f t="shared" ca="1" si="18"/>
        <v/>
      </c>
      <c r="O177" s="264"/>
      <c r="P177" s="264"/>
      <c r="Q177" s="1693">
        <f t="shared" ca="1" si="20"/>
        <v>0</v>
      </c>
      <c r="R177" s="264"/>
      <c r="S177" s="264"/>
      <c r="T177" s="264"/>
      <c r="U177" s="264"/>
      <c r="V177" s="264"/>
    </row>
    <row r="178" spans="1:22" x14ac:dyDescent="0.2">
      <c r="A178" s="264"/>
      <c r="B178" s="1741">
        <v>58</v>
      </c>
      <c r="C178" s="1742">
        <f t="shared" ca="1" si="17"/>
        <v>45459</v>
      </c>
      <c r="D178" s="1735" t="str">
        <f t="shared" ca="1" si="10"/>
        <v/>
      </c>
      <c r="E178" s="1743" t="str">
        <f t="shared" ca="1" si="11"/>
        <v/>
      </c>
      <c r="F178" s="1743" t="str">
        <f t="shared" ca="1" si="12"/>
        <v/>
      </c>
      <c r="G178" s="1753"/>
      <c r="H178" s="1737" t="str">
        <f t="shared" si="7"/>
        <v/>
      </c>
      <c r="I178" s="1738" t="str">
        <f t="shared" ca="1" si="14"/>
        <v/>
      </c>
      <c r="J178" s="1737" t="str">
        <f t="shared" ca="1" si="3"/>
        <v/>
      </c>
      <c r="K178" s="1735" t="str">
        <f t="shared" ca="1" si="15"/>
        <v/>
      </c>
      <c r="L178" s="1743" t="str">
        <f t="shared" ca="1" si="16"/>
        <v/>
      </c>
      <c r="M178" s="1743" t="str">
        <f t="shared" ca="1" si="19"/>
        <v/>
      </c>
      <c r="N178" s="1737" t="str">
        <f t="shared" ca="1" si="18"/>
        <v/>
      </c>
      <c r="O178" s="264"/>
      <c r="P178" s="264"/>
      <c r="Q178" s="1693">
        <f t="shared" ca="1" si="20"/>
        <v>0</v>
      </c>
      <c r="R178" s="264"/>
      <c r="S178" s="264"/>
      <c r="T178" s="264"/>
      <c r="U178" s="264"/>
      <c r="V178" s="264"/>
    </row>
    <row r="179" spans="1:22" x14ac:dyDescent="0.2">
      <c r="A179" s="264"/>
      <c r="B179" s="1741">
        <v>59</v>
      </c>
      <c r="C179" s="1742">
        <f t="shared" ca="1" si="17"/>
        <v>45489</v>
      </c>
      <c r="D179" s="1735" t="str">
        <f t="shared" ca="1" si="10"/>
        <v/>
      </c>
      <c r="E179" s="1743" t="str">
        <f t="shared" ca="1" si="11"/>
        <v/>
      </c>
      <c r="F179" s="1743" t="str">
        <f t="shared" ca="1" si="12"/>
        <v/>
      </c>
      <c r="G179" s="1753"/>
      <c r="H179" s="1737" t="str">
        <f t="shared" si="7"/>
        <v/>
      </c>
      <c r="I179" s="1738" t="str">
        <f t="shared" ca="1" si="14"/>
        <v/>
      </c>
      <c r="J179" s="1737" t="str">
        <f t="shared" ca="1" si="3"/>
        <v/>
      </c>
      <c r="K179" s="1735" t="str">
        <f t="shared" ca="1" si="15"/>
        <v/>
      </c>
      <c r="L179" s="1743" t="str">
        <f t="shared" ca="1" si="16"/>
        <v/>
      </c>
      <c r="M179" s="1743" t="str">
        <f t="shared" ca="1" si="19"/>
        <v/>
      </c>
      <c r="N179" s="1737" t="str">
        <f t="shared" ca="1" si="18"/>
        <v/>
      </c>
      <c r="O179" s="264"/>
      <c r="P179" s="264"/>
      <c r="Q179" s="1693">
        <f t="shared" ca="1" si="20"/>
        <v>0</v>
      </c>
      <c r="R179" s="264"/>
      <c r="S179" s="264"/>
      <c r="T179" s="264"/>
      <c r="U179" s="264"/>
      <c r="V179" s="264"/>
    </row>
    <row r="180" spans="1:22" x14ac:dyDescent="0.2">
      <c r="A180" s="264"/>
      <c r="B180" s="1744">
        <v>60</v>
      </c>
      <c r="C180" s="1745">
        <f t="shared" ca="1" si="17"/>
        <v>45520</v>
      </c>
      <c r="D180" s="1746" t="str">
        <f t="shared" ca="1" si="10"/>
        <v/>
      </c>
      <c r="E180" s="1747" t="str">
        <f t="shared" ca="1" si="11"/>
        <v/>
      </c>
      <c r="F180" s="1747" t="str">
        <f t="shared" ca="1" si="12"/>
        <v/>
      </c>
      <c r="G180" s="1754"/>
      <c r="H180" s="1748" t="str">
        <f t="shared" si="7"/>
        <v/>
      </c>
      <c r="I180" s="1746" t="str">
        <f t="shared" ca="1" si="14"/>
        <v/>
      </c>
      <c r="J180" s="1748" t="str">
        <f t="shared" ca="1" si="3"/>
        <v/>
      </c>
      <c r="K180" s="1746" t="str">
        <f t="shared" ca="1" si="15"/>
        <v/>
      </c>
      <c r="L180" s="1747" t="str">
        <f t="shared" ca="1" si="16"/>
        <v/>
      </c>
      <c r="M180" s="1747" t="str">
        <f t="shared" ca="1" si="19"/>
        <v/>
      </c>
      <c r="N180" s="1748" t="str">
        <f t="shared" ca="1" si="18"/>
        <v/>
      </c>
      <c r="O180" s="264"/>
      <c r="P180" s="264"/>
      <c r="Q180" s="1693">
        <f t="shared" ca="1" si="20"/>
        <v>0</v>
      </c>
      <c r="R180" s="264"/>
      <c r="S180" s="264"/>
      <c r="T180" s="264"/>
      <c r="U180" s="264"/>
      <c r="V180" s="264"/>
    </row>
    <row r="181" spans="1:22" x14ac:dyDescent="0.2">
      <c r="A181" s="264"/>
      <c r="B181" s="1749">
        <v>61</v>
      </c>
      <c r="C181" s="1750" t="str">
        <f t="shared" ca="1" si="17"/>
        <v/>
      </c>
      <c r="D181" s="1738" t="str">
        <f t="shared" ref="D181:D186" ca="1" si="21">IFERROR(IF(H$94&gt;=B181,
        E181,
        IF(C181="",
                "",
                IF(C182="",
                        E181+H180,
                        ROUND((H180*H$89/12)/(1-(1+H$89/12)^-(COUNTIF(C$121:C$480,"&gt;0")-B181+1)),
                               0)))),"")</f>
        <v/>
      </c>
      <c r="E181" s="1751" t="str">
        <f t="shared" ref="E181:E185" ca="1" si="22">IFERROR(
        ROUND(H180*(H$89*(DATEVALUE("01."&amp;MONTH(C181)&amp;"."&amp;YEAR(C181))-C180-1)/(DATEVALUE("01.01."&amp;YEAR(C180)+1)-DATEVALUE("01.01."&amp;YEAR(C180)))+
                    H$89*(C181-DATEVALUE("01."&amp;MONTH(C181)&amp;"."&amp;YEAR(C181))+1)/(DATEVALUE("01.01."&amp;YEAR(C181)+1)-DATEVALUE("01.01."&amp;YEAR(C181)))),
               2),
        "")</f>
        <v/>
      </c>
      <c r="F181" s="1751" t="str">
        <f t="shared" ca="1" si="12"/>
        <v/>
      </c>
      <c r="G181" s="1751"/>
      <c r="H181" s="1752" t="str">
        <f t="shared" ref="H181:H186" si="23">IF(OR(H180=0,H180=""),
        "",
        H180-F181-G181)</f>
        <v/>
      </c>
      <c r="I181" s="1738" t="str">
        <f t="shared" ca="1" si="14"/>
        <v/>
      </c>
      <c r="J181" s="1752" t="str">
        <f t="shared" ca="1" si="3"/>
        <v/>
      </c>
      <c r="K181" s="1738" t="str">
        <f t="shared" ca="1" si="15"/>
        <v/>
      </c>
      <c r="L181" s="1751" t="str">
        <f t="shared" ca="1" si="16"/>
        <v/>
      </c>
      <c r="M181" s="1751" t="str">
        <f t="shared" ca="1" si="19"/>
        <v/>
      </c>
      <c r="N181" s="1752" t="str">
        <f t="shared" ca="1" si="18"/>
        <v/>
      </c>
      <c r="O181" s="264"/>
      <c r="P181" s="264"/>
      <c r="Q181" s="1693">
        <f t="shared" ref="Q181:Q185" ca="1" si="24">IFERROR(IF(K181&gt;0,H$6,""),"")</f>
        <v>0</v>
      </c>
      <c r="R181" s="264"/>
      <c r="S181" s="264"/>
      <c r="T181" s="264"/>
      <c r="U181" s="264"/>
      <c r="V181" s="264"/>
    </row>
    <row r="182" spans="1:22" x14ac:dyDescent="0.2">
      <c r="A182" s="264"/>
      <c r="B182" s="1741">
        <v>62</v>
      </c>
      <c r="C182" s="1742" t="str">
        <f t="shared" ca="1" si="17"/>
        <v/>
      </c>
      <c r="D182" s="1735" t="str">
        <f t="shared" ca="1" si="21"/>
        <v/>
      </c>
      <c r="E182" s="1743" t="str">
        <f t="shared" ca="1" si="22"/>
        <v/>
      </c>
      <c r="F182" s="1743" t="str">
        <f t="shared" ca="1" si="12"/>
        <v/>
      </c>
      <c r="G182" s="1743"/>
      <c r="H182" s="1737" t="str">
        <f t="shared" si="23"/>
        <v/>
      </c>
      <c r="I182" s="1738" t="str">
        <f t="shared" ca="1" si="14"/>
        <v/>
      </c>
      <c r="J182" s="1737" t="str">
        <f t="shared" ca="1" si="3"/>
        <v/>
      </c>
      <c r="K182" s="1735" t="str">
        <f t="shared" ca="1" si="15"/>
        <v/>
      </c>
      <c r="L182" s="1751" t="str">
        <f t="shared" ca="1" si="16"/>
        <v/>
      </c>
      <c r="M182" s="1743" t="str">
        <f t="shared" ca="1" si="19"/>
        <v/>
      </c>
      <c r="N182" s="1737" t="str">
        <f t="shared" ca="1" si="18"/>
        <v/>
      </c>
      <c r="O182" s="264"/>
      <c r="P182" s="264"/>
      <c r="Q182" s="1693">
        <f t="shared" ca="1" si="24"/>
        <v>0</v>
      </c>
      <c r="R182" s="264"/>
      <c r="S182" s="264"/>
      <c r="T182" s="264"/>
      <c r="U182" s="264"/>
      <c r="V182" s="264"/>
    </row>
    <row r="183" spans="1:22" x14ac:dyDescent="0.2">
      <c r="A183" s="264"/>
      <c r="B183" s="1741">
        <v>63</v>
      </c>
      <c r="C183" s="1742" t="str">
        <f t="shared" ca="1" si="17"/>
        <v/>
      </c>
      <c r="D183" s="1735" t="str">
        <f t="shared" ca="1" si="21"/>
        <v/>
      </c>
      <c r="E183" s="1743" t="str">
        <f t="shared" ca="1" si="22"/>
        <v/>
      </c>
      <c r="F183" s="1743" t="str">
        <f t="shared" ca="1" si="12"/>
        <v/>
      </c>
      <c r="G183" s="1743"/>
      <c r="H183" s="1737" t="str">
        <f t="shared" si="23"/>
        <v/>
      </c>
      <c r="I183" s="1738" t="str">
        <f t="shared" ca="1" si="14"/>
        <v/>
      </c>
      <c r="J183" s="1737" t="str">
        <f t="shared" ca="1" si="3"/>
        <v/>
      </c>
      <c r="K183" s="1735" t="str">
        <f t="shared" ca="1" si="15"/>
        <v/>
      </c>
      <c r="L183" s="1751" t="str">
        <f t="shared" ca="1" si="16"/>
        <v/>
      </c>
      <c r="M183" s="1743" t="str">
        <f t="shared" ca="1" si="19"/>
        <v/>
      </c>
      <c r="N183" s="1737" t="str">
        <f t="shared" ca="1" si="18"/>
        <v/>
      </c>
      <c r="O183" s="264"/>
      <c r="P183" s="264"/>
      <c r="Q183" s="1693">
        <f t="shared" ca="1" si="24"/>
        <v>0</v>
      </c>
      <c r="R183" s="264"/>
      <c r="S183" s="264"/>
      <c r="T183" s="264"/>
      <c r="U183" s="264"/>
      <c r="V183" s="264"/>
    </row>
    <row r="184" spans="1:22" x14ac:dyDescent="0.2">
      <c r="A184" s="264"/>
      <c r="B184" s="1741">
        <v>64</v>
      </c>
      <c r="C184" s="1742" t="str">
        <f t="shared" ca="1" si="17"/>
        <v/>
      </c>
      <c r="D184" s="1735" t="str">
        <f t="shared" ca="1" si="21"/>
        <v/>
      </c>
      <c r="E184" s="1743" t="str">
        <f t="shared" ca="1" si="22"/>
        <v/>
      </c>
      <c r="F184" s="1743" t="str">
        <f t="shared" ca="1" si="12"/>
        <v/>
      </c>
      <c r="G184" s="1743"/>
      <c r="H184" s="1737" t="str">
        <f t="shared" si="23"/>
        <v/>
      </c>
      <c r="I184" s="1738" t="str">
        <f t="shared" ca="1" si="14"/>
        <v/>
      </c>
      <c r="J184" s="1737" t="str">
        <f t="shared" ca="1" si="3"/>
        <v/>
      </c>
      <c r="K184" s="1735" t="str">
        <f t="shared" ca="1" si="15"/>
        <v/>
      </c>
      <c r="L184" s="1751" t="str">
        <f t="shared" ca="1" si="16"/>
        <v/>
      </c>
      <c r="M184" s="1743" t="str">
        <f t="shared" ca="1" si="19"/>
        <v/>
      </c>
      <c r="N184" s="1737" t="str">
        <f t="shared" ca="1" si="18"/>
        <v/>
      </c>
      <c r="O184" s="264"/>
      <c r="P184" s="264"/>
      <c r="Q184" s="1693">
        <f t="shared" ca="1" si="24"/>
        <v>0</v>
      </c>
      <c r="R184" s="264"/>
      <c r="S184" s="264"/>
      <c r="T184" s="264"/>
      <c r="U184" s="264"/>
      <c r="V184" s="264"/>
    </row>
    <row r="185" spans="1:22" x14ac:dyDescent="0.2">
      <c r="A185" s="264"/>
      <c r="B185" s="1741">
        <v>65</v>
      </c>
      <c r="C185" s="1742" t="str">
        <f t="shared" ca="1" si="17"/>
        <v/>
      </c>
      <c r="D185" s="1735" t="str">
        <f t="shared" ca="1" si="21"/>
        <v/>
      </c>
      <c r="E185" s="1743" t="str">
        <f t="shared" ca="1" si="22"/>
        <v/>
      </c>
      <c r="F185" s="1743" t="str">
        <f t="shared" ref="F185:F220" ca="1" si="25">IFERROR(D185-E185,"")</f>
        <v/>
      </c>
      <c r="G185" s="1743"/>
      <c r="H185" s="1737" t="str">
        <f t="shared" si="23"/>
        <v/>
      </c>
      <c r="I185" s="1738" t="str">
        <f t="shared" ref="I185:I216" ca="1" si="26">IFERROR(
        IF(C185="",
                "",
                IF(C185&gt;INDEX(C$121:C$220,60),
                        0,
                        ROUND(E185*MIN(1,H$90/H$89),2))),
        "")</f>
        <v/>
      </c>
      <c r="J185" s="1737" t="str">
        <f t="shared" ref="J185:J220" ca="1" si="27">IFERROR(E185-I185,"")</f>
        <v/>
      </c>
      <c r="K185" s="1735" t="str">
        <f t="shared" ref="K185:K220" ca="1" si="28">IFERROR(ROUNDUP(D185/(H$5*H$97*H$98),2),"")</f>
        <v/>
      </c>
      <c r="L185" s="1751" t="str">
        <f t="shared" ref="L185:L216" ca="1" si="29">IFERROR(
        MAX(0,ROUNDUP((D185-IF(B185=1,
                        0,
                        IFERROR(INDEX(I$121:I$220,(B185-H$95)^2/(B185-H$95)),0)))/
                       (H$5*H$97*H$98),
                2)),
        K185)</f>
        <v/>
      </c>
      <c r="M185" s="1743" t="str">
        <f t="shared" ca="1" si="19"/>
        <v/>
      </c>
      <c r="N185" s="1737" t="str">
        <f t="shared" ca="1" si="18"/>
        <v/>
      </c>
      <c r="O185" s="264"/>
      <c r="P185" s="264"/>
      <c r="Q185" s="1693">
        <f t="shared" ca="1" si="24"/>
        <v>0</v>
      </c>
      <c r="R185" s="264"/>
      <c r="S185" s="264"/>
      <c r="T185" s="264"/>
      <c r="U185" s="264"/>
      <c r="V185" s="264"/>
    </row>
    <row r="186" spans="1:22" x14ac:dyDescent="0.2">
      <c r="A186" s="264"/>
      <c r="B186" s="1741">
        <v>66</v>
      </c>
      <c r="C186" s="1742" t="str">
        <f t="shared" ref="C186:C220" ca="1" si="30">IFERROR(
        IF(EDATE(C185,1)&gt;EDATE(H$91,H$93),
                "",
                EDATE(C185,1)),
        "")</f>
        <v/>
      </c>
      <c r="D186" s="1735" t="str">
        <f t="shared" ca="1" si="21"/>
        <v/>
      </c>
      <c r="E186" s="1743" t="str">
        <f t="shared" ref="E186:E220" ca="1" si="31">IFERROR(
        ROUND(H185*(H$89*(DATEVALUE("01."&amp;MONTH(C186)&amp;"."&amp;YEAR(C186))-C185-1)/(DATEVALUE("01.01."&amp;YEAR(C185)+1)-DATEVALUE("01.01."&amp;YEAR(C185)))+
                    H$89*(C186-DATEVALUE("01."&amp;MONTH(C186)&amp;"."&amp;YEAR(C186))+1)/(DATEVALUE("01.01."&amp;YEAR(C186)+1)-DATEVALUE("01.01."&amp;YEAR(C186)))),
               2),
        "")</f>
        <v/>
      </c>
      <c r="F186" s="1743" t="str">
        <f t="shared" ca="1" si="25"/>
        <v/>
      </c>
      <c r="G186" s="1743"/>
      <c r="H186" s="1737" t="str">
        <f t="shared" si="23"/>
        <v/>
      </c>
      <c r="I186" s="1738" t="str">
        <f t="shared" ca="1" si="26"/>
        <v/>
      </c>
      <c r="J186" s="1737" t="str">
        <f t="shared" ca="1" si="27"/>
        <v/>
      </c>
      <c r="K186" s="1735" t="str">
        <f t="shared" ca="1" si="28"/>
        <v/>
      </c>
      <c r="L186" s="1751" t="str">
        <f t="shared" ca="1" si="29"/>
        <v/>
      </c>
      <c r="M186" s="1743" t="str">
        <f t="shared" ca="1" si="19"/>
        <v/>
      </c>
      <c r="N186" s="1737" t="str">
        <f t="shared" ref="N186:N217" ca="1" si="32">IFERROR(ROUND(M186*H$5*H$97*H$98-D186+IFERROR(INDEX(I$121:I$220,(B186-H$95)^2/(B186-H$95)),0)+N185,2),"")</f>
        <v/>
      </c>
      <c r="O186" s="264"/>
      <c r="P186" s="264"/>
      <c r="Q186" s="1693">
        <f t="shared" ref="Q186:Q220" ca="1" si="33">IFERROR(IF(K186&gt;0,H$6,""),"")</f>
        <v>0</v>
      </c>
      <c r="R186" s="264"/>
      <c r="S186" s="264"/>
      <c r="T186" s="264"/>
      <c r="U186" s="264"/>
      <c r="V186" s="264"/>
    </row>
    <row r="187" spans="1:22" x14ac:dyDescent="0.2">
      <c r="A187" s="264"/>
      <c r="B187" s="1741">
        <v>67</v>
      </c>
      <c r="C187" s="1742" t="str">
        <f t="shared" ca="1" si="30"/>
        <v/>
      </c>
      <c r="D187" s="1735" t="str">
        <f t="shared" ref="D187:D220" ca="1" si="34">IFERROR(IF(H$94&gt;=B187,
        E187,
        IF(C187="",
                "",
                IF(C188="",
                        E187+H186,
                        ROUND((H186*H$89/12)/(1-(1+H$89/12)^-(COUNTIF(C$121:C$480,"&gt;0")-B187+1)),
                               0)))),"")</f>
        <v/>
      </c>
      <c r="E187" s="1743" t="str">
        <f t="shared" ca="1" si="31"/>
        <v/>
      </c>
      <c r="F187" s="1743" t="str">
        <f t="shared" ca="1" si="25"/>
        <v/>
      </c>
      <c r="G187" s="1743"/>
      <c r="H187" s="1737" t="str">
        <f t="shared" ref="H187:H220" si="35">IF(OR(H186=0,H186=""),
        "",
        H186-F187-G187)</f>
        <v/>
      </c>
      <c r="I187" s="1738" t="str">
        <f t="shared" ca="1" si="26"/>
        <v/>
      </c>
      <c r="J187" s="1737" t="str">
        <f t="shared" ca="1" si="27"/>
        <v/>
      </c>
      <c r="K187" s="1735" t="str">
        <f t="shared" ca="1" si="28"/>
        <v/>
      </c>
      <c r="L187" s="1751" t="str">
        <f t="shared" ca="1" si="29"/>
        <v/>
      </c>
      <c r="M187" s="1743" t="str">
        <f t="shared" ref="M187:M218" ca="1" si="36">IFERROR(ROUND(IF((B187+V$100-1)/V$100&lt;&gt;ROUND((B187+V$100-1)/V$100,0),
        M186,
       (INDEX(L$121:L$220,B187+V$100-1)+
        IF(V$100&lt;3,0,INDEX(L$121:L$220,B187+V$100-2))+
        IF(V$100&lt;3,0,INDEX(L$121:L$220,B187+V$100-3))+
        IF(V$100&lt;6,0,INDEX(L$121:L$220,B187+V$100-4))+
        IF(V$100&lt;6,0,INDEX(L$121:L$220,B187+V$100-5))+
        IF(V$100&lt;6,0,INDEX(L$121:L$220,B187+V$100-6))+
        IF(V$100&lt;12,0,INDEX(L$121:L$220,B187+V$100-7))+
        IF(V$100&lt;12,0,INDEX(L$121:L$220,B187+V$100-8))+
        IF(V$100&lt;12,0,INDEX(L$121:L$220,B187+V$100-9))+
        IF(V$100&lt;12,0,INDEX(L$121:L$220,B187+V$100-10))+
        IF(V$100&lt;12,0,INDEX(L$121:L$220,B187+V$100-11))+
        IF(V$100&lt;12,0,INDEX(L$121:L$220,B187+V$100-12)))/
        V$100),2),"")</f>
        <v/>
      </c>
      <c r="N187" s="1737" t="str">
        <f t="shared" ca="1" si="32"/>
        <v/>
      </c>
      <c r="O187" s="264"/>
      <c r="P187" s="264"/>
      <c r="Q187" s="1693">
        <f t="shared" ca="1" si="33"/>
        <v>0</v>
      </c>
      <c r="R187" s="264"/>
      <c r="S187" s="264"/>
      <c r="T187" s="264"/>
      <c r="U187" s="264"/>
      <c r="V187" s="264"/>
    </row>
    <row r="188" spans="1:22" x14ac:dyDescent="0.2">
      <c r="A188" s="264"/>
      <c r="B188" s="1741">
        <v>68</v>
      </c>
      <c r="C188" s="1742" t="str">
        <f t="shared" ca="1" si="30"/>
        <v/>
      </c>
      <c r="D188" s="1735" t="str">
        <f t="shared" ca="1" si="34"/>
        <v/>
      </c>
      <c r="E188" s="1743" t="str">
        <f t="shared" ca="1" si="31"/>
        <v/>
      </c>
      <c r="F188" s="1743" t="str">
        <f t="shared" ca="1" si="25"/>
        <v/>
      </c>
      <c r="G188" s="1743"/>
      <c r="H188" s="1737" t="str">
        <f t="shared" si="35"/>
        <v/>
      </c>
      <c r="I188" s="1738" t="str">
        <f t="shared" ca="1" si="26"/>
        <v/>
      </c>
      <c r="J188" s="1737" t="str">
        <f t="shared" ca="1" si="27"/>
        <v/>
      </c>
      <c r="K188" s="1735" t="str">
        <f t="shared" ca="1" si="28"/>
        <v/>
      </c>
      <c r="L188" s="1751" t="str">
        <f t="shared" ca="1" si="29"/>
        <v/>
      </c>
      <c r="M188" s="1743" t="str">
        <f t="shared" ca="1" si="36"/>
        <v/>
      </c>
      <c r="N188" s="1737" t="str">
        <f t="shared" ca="1" si="32"/>
        <v/>
      </c>
      <c r="O188" s="264"/>
      <c r="P188" s="264"/>
      <c r="Q188" s="1693">
        <f t="shared" ca="1" si="33"/>
        <v>0</v>
      </c>
      <c r="R188" s="264"/>
      <c r="S188" s="264"/>
      <c r="T188" s="264"/>
      <c r="U188" s="264"/>
      <c r="V188" s="264"/>
    </row>
    <row r="189" spans="1:22" x14ac:dyDescent="0.2">
      <c r="A189" s="264"/>
      <c r="B189" s="1741">
        <v>69</v>
      </c>
      <c r="C189" s="1742" t="str">
        <f t="shared" ca="1" si="30"/>
        <v/>
      </c>
      <c r="D189" s="1735" t="str">
        <f t="shared" ca="1" si="34"/>
        <v/>
      </c>
      <c r="E189" s="1743" t="str">
        <f t="shared" ca="1" si="31"/>
        <v/>
      </c>
      <c r="F189" s="1743" t="str">
        <f t="shared" ca="1" si="25"/>
        <v/>
      </c>
      <c r="G189" s="1743"/>
      <c r="H189" s="1737" t="str">
        <f t="shared" si="35"/>
        <v/>
      </c>
      <c r="I189" s="1738" t="str">
        <f t="shared" ca="1" si="26"/>
        <v/>
      </c>
      <c r="J189" s="1737" t="str">
        <f t="shared" ca="1" si="27"/>
        <v/>
      </c>
      <c r="K189" s="1735" t="str">
        <f t="shared" ca="1" si="28"/>
        <v/>
      </c>
      <c r="L189" s="1751" t="str">
        <f t="shared" ca="1" si="29"/>
        <v/>
      </c>
      <c r="M189" s="1743" t="str">
        <f t="shared" ca="1" si="36"/>
        <v/>
      </c>
      <c r="N189" s="1737" t="str">
        <f t="shared" ca="1" si="32"/>
        <v/>
      </c>
      <c r="O189" s="264"/>
      <c r="P189" s="264"/>
      <c r="Q189" s="1693">
        <f t="shared" ca="1" si="33"/>
        <v>0</v>
      </c>
      <c r="R189" s="264"/>
      <c r="S189" s="264"/>
      <c r="T189" s="264"/>
      <c r="U189" s="264"/>
      <c r="V189" s="264"/>
    </row>
    <row r="190" spans="1:22" x14ac:dyDescent="0.2">
      <c r="A190" s="264"/>
      <c r="B190" s="1741">
        <v>70</v>
      </c>
      <c r="C190" s="1742" t="str">
        <f t="shared" ca="1" si="30"/>
        <v/>
      </c>
      <c r="D190" s="1735" t="str">
        <f t="shared" ca="1" si="34"/>
        <v/>
      </c>
      <c r="E190" s="1743" t="str">
        <f t="shared" ca="1" si="31"/>
        <v/>
      </c>
      <c r="F190" s="1743" t="str">
        <f t="shared" ca="1" si="25"/>
        <v/>
      </c>
      <c r="G190" s="1743"/>
      <c r="H190" s="1737" t="str">
        <f t="shared" si="35"/>
        <v/>
      </c>
      <c r="I190" s="1738" t="str">
        <f t="shared" ca="1" si="26"/>
        <v/>
      </c>
      <c r="J190" s="1737" t="str">
        <f t="shared" ca="1" si="27"/>
        <v/>
      </c>
      <c r="K190" s="1735" t="str">
        <f t="shared" ca="1" si="28"/>
        <v/>
      </c>
      <c r="L190" s="1751" t="str">
        <f t="shared" ca="1" si="29"/>
        <v/>
      </c>
      <c r="M190" s="1743" t="str">
        <f t="shared" ca="1" si="36"/>
        <v/>
      </c>
      <c r="N190" s="1737" t="str">
        <f t="shared" ca="1" si="32"/>
        <v/>
      </c>
      <c r="O190" s="264"/>
      <c r="P190" s="264"/>
      <c r="Q190" s="1693">
        <f t="shared" ca="1" si="33"/>
        <v>0</v>
      </c>
      <c r="R190" s="264"/>
      <c r="S190" s="264"/>
      <c r="T190" s="264"/>
      <c r="U190" s="264"/>
      <c r="V190" s="264"/>
    </row>
    <row r="191" spans="1:22" x14ac:dyDescent="0.2">
      <c r="A191" s="264"/>
      <c r="B191" s="1741">
        <v>71</v>
      </c>
      <c r="C191" s="1742" t="str">
        <f t="shared" ca="1" si="30"/>
        <v/>
      </c>
      <c r="D191" s="1735" t="str">
        <f t="shared" ca="1" si="34"/>
        <v/>
      </c>
      <c r="E191" s="1743" t="str">
        <f t="shared" ca="1" si="31"/>
        <v/>
      </c>
      <c r="F191" s="1743" t="str">
        <f t="shared" ca="1" si="25"/>
        <v/>
      </c>
      <c r="G191" s="1743"/>
      <c r="H191" s="1737" t="str">
        <f t="shared" si="35"/>
        <v/>
      </c>
      <c r="I191" s="1738" t="str">
        <f t="shared" ca="1" si="26"/>
        <v/>
      </c>
      <c r="J191" s="1737" t="str">
        <f t="shared" ca="1" si="27"/>
        <v/>
      </c>
      <c r="K191" s="1735" t="str">
        <f t="shared" ca="1" si="28"/>
        <v/>
      </c>
      <c r="L191" s="1751" t="str">
        <f t="shared" ca="1" si="29"/>
        <v/>
      </c>
      <c r="M191" s="1743" t="str">
        <f t="shared" ca="1" si="36"/>
        <v/>
      </c>
      <c r="N191" s="1737" t="str">
        <f t="shared" ca="1" si="32"/>
        <v/>
      </c>
      <c r="O191" s="264"/>
      <c r="P191" s="264"/>
      <c r="Q191" s="1693">
        <f t="shared" ca="1" si="33"/>
        <v>0</v>
      </c>
      <c r="R191" s="264"/>
      <c r="S191" s="264"/>
      <c r="T191" s="264"/>
      <c r="U191" s="264"/>
      <c r="V191" s="264"/>
    </row>
    <row r="192" spans="1:22" x14ac:dyDescent="0.2">
      <c r="A192" s="264"/>
      <c r="B192" s="1741">
        <v>72</v>
      </c>
      <c r="C192" s="1742" t="str">
        <f t="shared" ca="1" si="30"/>
        <v/>
      </c>
      <c r="D192" s="1735" t="str">
        <f t="shared" ca="1" si="34"/>
        <v/>
      </c>
      <c r="E192" s="1743" t="str">
        <f t="shared" ca="1" si="31"/>
        <v/>
      </c>
      <c r="F192" s="1743" t="str">
        <f t="shared" ca="1" si="25"/>
        <v/>
      </c>
      <c r="G192" s="1743"/>
      <c r="H192" s="1737" t="str">
        <f t="shared" si="35"/>
        <v/>
      </c>
      <c r="I192" s="1738" t="str">
        <f t="shared" ca="1" si="26"/>
        <v/>
      </c>
      <c r="J192" s="1737" t="str">
        <f t="shared" ca="1" si="27"/>
        <v/>
      </c>
      <c r="K192" s="1735" t="str">
        <f t="shared" ca="1" si="28"/>
        <v/>
      </c>
      <c r="L192" s="1751" t="str">
        <f t="shared" ca="1" si="29"/>
        <v/>
      </c>
      <c r="M192" s="1743" t="str">
        <f t="shared" ca="1" si="36"/>
        <v/>
      </c>
      <c r="N192" s="1737" t="str">
        <f t="shared" ca="1" si="32"/>
        <v/>
      </c>
      <c r="O192" s="264"/>
      <c r="P192" s="264"/>
      <c r="Q192" s="1693">
        <f t="shared" ca="1" si="33"/>
        <v>0</v>
      </c>
      <c r="R192" s="264"/>
      <c r="S192" s="264"/>
      <c r="T192" s="264"/>
      <c r="U192" s="264"/>
      <c r="V192" s="264"/>
    </row>
    <row r="193" spans="1:22" x14ac:dyDescent="0.2">
      <c r="A193" s="264"/>
      <c r="B193" s="1741">
        <v>73</v>
      </c>
      <c r="C193" s="1742" t="str">
        <f t="shared" ca="1" si="30"/>
        <v/>
      </c>
      <c r="D193" s="1735" t="str">
        <f t="shared" ca="1" si="34"/>
        <v/>
      </c>
      <c r="E193" s="1743" t="str">
        <f t="shared" ca="1" si="31"/>
        <v/>
      </c>
      <c r="F193" s="1743" t="str">
        <f t="shared" ca="1" si="25"/>
        <v/>
      </c>
      <c r="G193" s="1743"/>
      <c r="H193" s="1737" t="str">
        <f t="shared" si="35"/>
        <v/>
      </c>
      <c r="I193" s="1738" t="str">
        <f t="shared" ca="1" si="26"/>
        <v/>
      </c>
      <c r="J193" s="1737" t="str">
        <f t="shared" ca="1" si="27"/>
        <v/>
      </c>
      <c r="K193" s="1735" t="str">
        <f t="shared" ca="1" si="28"/>
        <v/>
      </c>
      <c r="L193" s="1751" t="str">
        <f t="shared" ca="1" si="29"/>
        <v/>
      </c>
      <c r="M193" s="1743" t="str">
        <f t="shared" ca="1" si="36"/>
        <v/>
      </c>
      <c r="N193" s="1737" t="str">
        <f t="shared" ca="1" si="32"/>
        <v/>
      </c>
      <c r="O193" s="264"/>
      <c r="P193" s="264"/>
      <c r="Q193" s="1693">
        <f t="shared" ca="1" si="33"/>
        <v>0</v>
      </c>
      <c r="R193" s="264"/>
      <c r="S193" s="264"/>
      <c r="T193" s="264"/>
      <c r="U193" s="264"/>
      <c r="V193" s="264"/>
    </row>
    <row r="194" spans="1:22" x14ac:dyDescent="0.2">
      <c r="A194" s="264"/>
      <c r="B194" s="1741">
        <v>74</v>
      </c>
      <c r="C194" s="1742" t="str">
        <f t="shared" ca="1" si="30"/>
        <v/>
      </c>
      <c r="D194" s="1735" t="str">
        <f t="shared" ca="1" si="34"/>
        <v/>
      </c>
      <c r="E194" s="1743" t="str">
        <f t="shared" ca="1" si="31"/>
        <v/>
      </c>
      <c r="F194" s="1743" t="str">
        <f t="shared" ca="1" si="25"/>
        <v/>
      </c>
      <c r="G194" s="1743"/>
      <c r="H194" s="1737" t="str">
        <f t="shared" si="35"/>
        <v/>
      </c>
      <c r="I194" s="1738" t="str">
        <f t="shared" ca="1" si="26"/>
        <v/>
      </c>
      <c r="J194" s="1737" t="str">
        <f t="shared" ca="1" si="27"/>
        <v/>
      </c>
      <c r="K194" s="1735" t="str">
        <f t="shared" ca="1" si="28"/>
        <v/>
      </c>
      <c r="L194" s="1751" t="str">
        <f t="shared" ca="1" si="29"/>
        <v/>
      </c>
      <c r="M194" s="1743" t="str">
        <f t="shared" ca="1" si="36"/>
        <v/>
      </c>
      <c r="N194" s="1737" t="str">
        <f t="shared" ca="1" si="32"/>
        <v/>
      </c>
      <c r="O194" s="264"/>
      <c r="P194" s="264"/>
      <c r="Q194" s="1693">
        <f t="shared" ca="1" si="33"/>
        <v>0</v>
      </c>
      <c r="R194" s="264"/>
      <c r="S194" s="264"/>
      <c r="T194" s="264"/>
      <c r="U194" s="264"/>
      <c r="V194" s="264"/>
    </row>
    <row r="195" spans="1:22" x14ac:dyDescent="0.2">
      <c r="A195" s="264"/>
      <c r="B195" s="1741">
        <v>75</v>
      </c>
      <c r="C195" s="1742" t="str">
        <f t="shared" ca="1" si="30"/>
        <v/>
      </c>
      <c r="D195" s="1735" t="str">
        <f t="shared" ca="1" si="34"/>
        <v/>
      </c>
      <c r="E195" s="1743" t="str">
        <f t="shared" ca="1" si="31"/>
        <v/>
      </c>
      <c r="F195" s="1743" t="str">
        <f t="shared" ca="1" si="25"/>
        <v/>
      </c>
      <c r="G195" s="1743"/>
      <c r="H195" s="1737" t="str">
        <f t="shared" si="35"/>
        <v/>
      </c>
      <c r="I195" s="1738" t="str">
        <f t="shared" ca="1" si="26"/>
        <v/>
      </c>
      <c r="J195" s="1737" t="str">
        <f t="shared" ca="1" si="27"/>
        <v/>
      </c>
      <c r="K195" s="1735" t="str">
        <f t="shared" ca="1" si="28"/>
        <v/>
      </c>
      <c r="L195" s="1751" t="str">
        <f t="shared" ca="1" si="29"/>
        <v/>
      </c>
      <c r="M195" s="1743" t="str">
        <f t="shared" ca="1" si="36"/>
        <v/>
      </c>
      <c r="N195" s="1737" t="str">
        <f t="shared" ca="1" si="32"/>
        <v/>
      </c>
      <c r="O195" s="264"/>
      <c r="P195" s="264"/>
      <c r="Q195" s="1693">
        <f t="shared" ca="1" si="33"/>
        <v>0</v>
      </c>
      <c r="R195" s="264"/>
      <c r="S195" s="264"/>
      <c r="T195" s="264"/>
      <c r="U195" s="264"/>
      <c r="V195" s="264"/>
    </row>
    <row r="196" spans="1:22" x14ac:dyDescent="0.2">
      <c r="A196" s="264"/>
      <c r="B196" s="1741">
        <v>76</v>
      </c>
      <c r="C196" s="1742" t="str">
        <f t="shared" ca="1" si="30"/>
        <v/>
      </c>
      <c r="D196" s="1735" t="str">
        <f t="shared" ca="1" si="34"/>
        <v/>
      </c>
      <c r="E196" s="1743" t="str">
        <f t="shared" ca="1" si="31"/>
        <v/>
      </c>
      <c r="F196" s="1743" t="str">
        <f t="shared" ca="1" si="25"/>
        <v/>
      </c>
      <c r="G196" s="1743"/>
      <c r="H196" s="1737" t="str">
        <f t="shared" si="35"/>
        <v/>
      </c>
      <c r="I196" s="1738" t="str">
        <f t="shared" ca="1" si="26"/>
        <v/>
      </c>
      <c r="J196" s="1737" t="str">
        <f t="shared" ca="1" si="27"/>
        <v/>
      </c>
      <c r="K196" s="1735" t="str">
        <f t="shared" ca="1" si="28"/>
        <v/>
      </c>
      <c r="L196" s="1751" t="str">
        <f t="shared" ca="1" si="29"/>
        <v/>
      </c>
      <c r="M196" s="1743" t="str">
        <f t="shared" ca="1" si="36"/>
        <v/>
      </c>
      <c r="N196" s="1737" t="str">
        <f t="shared" ca="1" si="32"/>
        <v/>
      </c>
      <c r="O196" s="264"/>
      <c r="P196" s="264"/>
      <c r="Q196" s="1693">
        <f t="shared" ca="1" si="33"/>
        <v>0</v>
      </c>
      <c r="R196" s="264"/>
      <c r="S196" s="264"/>
      <c r="T196" s="264"/>
      <c r="U196" s="264"/>
      <c r="V196" s="264"/>
    </row>
    <row r="197" spans="1:22" x14ac:dyDescent="0.2">
      <c r="A197" s="264"/>
      <c r="B197" s="1741">
        <v>77</v>
      </c>
      <c r="C197" s="1742" t="str">
        <f t="shared" ca="1" si="30"/>
        <v/>
      </c>
      <c r="D197" s="1735" t="str">
        <f t="shared" ca="1" si="34"/>
        <v/>
      </c>
      <c r="E197" s="1743" t="str">
        <f t="shared" ca="1" si="31"/>
        <v/>
      </c>
      <c r="F197" s="1743" t="str">
        <f t="shared" ca="1" si="25"/>
        <v/>
      </c>
      <c r="G197" s="1743"/>
      <c r="H197" s="1737" t="str">
        <f t="shared" si="35"/>
        <v/>
      </c>
      <c r="I197" s="1738" t="str">
        <f t="shared" ca="1" si="26"/>
        <v/>
      </c>
      <c r="J197" s="1737" t="str">
        <f t="shared" ca="1" si="27"/>
        <v/>
      </c>
      <c r="K197" s="1735" t="str">
        <f t="shared" ca="1" si="28"/>
        <v/>
      </c>
      <c r="L197" s="1751" t="str">
        <f t="shared" ca="1" si="29"/>
        <v/>
      </c>
      <c r="M197" s="1743" t="str">
        <f t="shared" ca="1" si="36"/>
        <v/>
      </c>
      <c r="N197" s="1737" t="str">
        <f t="shared" ca="1" si="32"/>
        <v/>
      </c>
      <c r="O197" s="264"/>
      <c r="P197" s="264"/>
      <c r="Q197" s="1693">
        <f t="shared" ca="1" si="33"/>
        <v>0</v>
      </c>
      <c r="R197" s="264"/>
      <c r="S197" s="264"/>
      <c r="T197" s="264"/>
      <c r="U197" s="264"/>
      <c r="V197" s="264"/>
    </row>
    <row r="198" spans="1:22" x14ac:dyDescent="0.2">
      <c r="A198" s="264"/>
      <c r="B198" s="1741">
        <v>78</v>
      </c>
      <c r="C198" s="1742" t="str">
        <f t="shared" ca="1" si="30"/>
        <v/>
      </c>
      <c r="D198" s="1735" t="str">
        <f t="shared" ca="1" si="34"/>
        <v/>
      </c>
      <c r="E198" s="1743" t="str">
        <f t="shared" ca="1" si="31"/>
        <v/>
      </c>
      <c r="F198" s="1743" t="str">
        <f t="shared" ca="1" si="25"/>
        <v/>
      </c>
      <c r="G198" s="1743"/>
      <c r="H198" s="1737" t="str">
        <f t="shared" si="35"/>
        <v/>
      </c>
      <c r="I198" s="1738" t="str">
        <f t="shared" ca="1" si="26"/>
        <v/>
      </c>
      <c r="J198" s="1737" t="str">
        <f t="shared" ca="1" si="27"/>
        <v/>
      </c>
      <c r="K198" s="1735" t="str">
        <f t="shared" ca="1" si="28"/>
        <v/>
      </c>
      <c r="L198" s="1751" t="str">
        <f t="shared" ca="1" si="29"/>
        <v/>
      </c>
      <c r="M198" s="1743" t="str">
        <f t="shared" ca="1" si="36"/>
        <v/>
      </c>
      <c r="N198" s="1737" t="str">
        <f t="shared" ca="1" si="32"/>
        <v/>
      </c>
      <c r="O198" s="264"/>
      <c r="P198" s="264"/>
      <c r="Q198" s="1693">
        <f t="shared" ca="1" si="33"/>
        <v>0</v>
      </c>
      <c r="R198" s="264"/>
      <c r="S198" s="264"/>
      <c r="T198" s="264"/>
      <c r="U198" s="264"/>
      <c r="V198" s="264"/>
    </row>
    <row r="199" spans="1:22" x14ac:dyDescent="0.2">
      <c r="A199" s="264"/>
      <c r="B199" s="1741">
        <v>79</v>
      </c>
      <c r="C199" s="1742" t="str">
        <f t="shared" ca="1" si="30"/>
        <v/>
      </c>
      <c r="D199" s="1735" t="str">
        <f t="shared" ca="1" si="34"/>
        <v/>
      </c>
      <c r="E199" s="1743" t="str">
        <f t="shared" ca="1" si="31"/>
        <v/>
      </c>
      <c r="F199" s="1743" t="str">
        <f t="shared" ca="1" si="25"/>
        <v/>
      </c>
      <c r="G199" s="1743"/>
      <c r="H199" s="1737" t="str">
        <f t="shared" si="35"/>
        <v/>
      </c>
      <c r="I199" s="1738" t="str">
        <f t="shared" ca="1" si="26"/>
        <v/>
      </c>
      <c r="J199" s="1737" t="str">
        <f t="shared" ca="1" si="27"/>
        <v/>
      </c>
      <c r="K199" s="1735" t="str">
        <f t="shared" ca="1" si="28"/>
        <v/>
      </c>
      <c r="L199" s="1751" t="str">
        <f t="shared" ca="1" si="29"/>
        <v/>
      </c>
      <c r="M199" s="1743" t="str">
        <f t="shared" ca="1" si="36"/>
        <v/>
      </c>
      <c r="N199" s="1737" t="str">
        <f t="shared" ca="1" si="32"/>
        <v/>
      </c>
      <c r="O199" s="264"/>
      <c r="P199" s="264"/>
      <c r="Q199" s="1693">
        <f t="shared" ca="1" si="33"/>
        <v>0</v>
      </c>
      <c r="R199" s="264"/>
      <c r="S199" s="264"/>
      <c r="T199" s="264"/>
      <c r="U199" s="264"/>
      <c r="V199" s="264"/>
    </row>
    <row r="200" spans="1:22" x14ac:dyDescent="0.2">
      <c r="A200" s="264"/>
      <c r="B200" s="1741">
        <v>80</v>
      </c>
      <c r="C200" s="1742" t="str">
        <f t="shared" ca="1" si="30"/>
        <v/>
      </c>
      <c r="D200" s="1735" t="str">
        <f t="shared" ca="1" si="34"/>
        <v/>
      </c>
      <c r="E200" s="1743" t="str">
        <f t="shared" ca="1" si="31"/>
        <v/>
      </c>
      <c r="F200" s="1743" t="str">
        <f t="shared" ca="1" si="25"/>
        <v/>
      </c>
      <c r="G200" s="1743"/>
      <c r="H200" s="1737" t="str">
        <f t="shared" si="35"/>
        <v/>
      </c>
      <c r="I200" s="1738" t="str">
        <f t="shared" ca="1" si="26"/>
        <v/>
      </c>
      <c r="J200" s="1737" t="str">
        <f t="shared" ca="1" si="27"/>
        <v/>
      </c>
      <c r="K200" s="1735" t="str">
        <f t="shared" ca="1" si="28"/>
        <v/>
      </c>
      <c r="L200" s="1751" t="str">
        <f t="shared" ca="1" si="29"/>
        <v/>
      </c>
      <c r="M200" s="1743" t="str">
        <f t="shared" ca="1" si="36"/>
        <v/>
      </c>
      <c r="N200" s="1737" t="str">
        <f t="shared" ca="1" si="32"/>
        <v/>
      </c>
      <c r="O200" s="264"/>
      <c r="P200" s="264"/>
      <c r="Q200" s="1693">
        <f t="shared" ca="1" si="33"/>
        <v>0</v>
      </c>
      <c r="R200" s="264"/>
      <c r="S200" s="264"/>
      <c r="T200" s="264"/>
      <c r="U200" s="264"/>
      <c r="V200" s="264"/>
    </row>
    <row r="201" spans="1:22" x14ac:dyDescent="0.2">
      <c r="A201" s="264"/>
      <c r="B201" s="1741">
        <v>81</v>
      </c>
      <c r="C201" s="1742" t="str">
        <f t="shared" ca="1" si="30"/>
        <v/>
      </c>
      <c r="D201" s="1735" t="str">
        <f t="shared" ca="1" si="34"/>
        <v/>
      </c>
      <c r="E201" s="1743" t="str">
        <f t="shared" ca="1" si="31"/>
        <v/>
      </c>
      <c r="F201" s="1743" t="str">
        <f t="shared" ca="1" si="25"/>
        <v/>
      </c>
      <c r="G201" s="1743"/>
      <c r="H201" s="1737" t="str">
        <f t="shared" si="35"/>
        <v/>
      </c>
      <c r="I201" s="1738" t="str">
        <f t="shared" ca="1" si="26"/>
        <v/>
      </c>
      <c r="J201" s="1737" t="str">
        <f t="shared" ca="1" si="27"/>
        <v/>
      </c>
      <c r="K201" s="1735" t="str">
        <f t="shared" ca="1" si="28"/>
        <v/>
      </c>
      <c r="L201" s="1751" t="str">
        <f t="shared" ca="1" si="29"/>
        <v/>
      </c>
      <c r="M201" s="1743" t="str">
        <f t="shared" ca="1" si="36"/>
        <v/>
      </c>
      <c r="N201" s="1737" t="str">
        <f t="shared" ca="1" si="32"/>
        <v/>
      </c>
      <c r="O201" s="264"/>
      <c r="P201" s="264"/>
      <c r="Q201" s="1693">
        <f t="shared" ca="1" si="33"/>
        <v>0</v>
      </c>
      <c r="R201" s="264"/>
      <c r="S201" s="264"/>
      <c r="T201" s="264"/>
      <c r="U201" s="264"/>
      <c r="V201" s="264"/>
    </row>
    <row r="202" spans="1:22" x14ac:dyDescent="0.2">
      <c r="A202" s="264"/>
      <c r="B202" s="1741">
        <v>82</v>
      </c>
      <c r="C202" s="1742" t="str">
        <f t="shared" ca="1" si="30"/>
        <v/>
      </c>
      <c r="D202" s="1735" t="str">
        <f t="shared" ca="1" si="34"/>
        <v/>
      </c>
      <c r="E202" s="1743" t="str">
        <f t="shared" ca="1" si="31"/>
        <v/>
      </c>
      <c r="F202" s="1743" t="str">
        <f t="shared" ca="1" si="25"/>
        <v/>
      </c>
      <c r="G202" s="1743"/>
      <c r="H202" s="1737" t="str">
        <f t="shared" si="35"/>
        <v/>
      </c>
      <c r="I202" s="1738" t="str">
        <f t="shared" ca="1" si="26"/>
        <v/>
      </c>
      <c r="J202" s="1737" t="str">
        <f t="shared" ca="1" si="27"/>
        <v/>
      </c>
      <c r="K202" s="1735" t="str">
        <f t="shared" ca="1" si="28"/>
        <v/>
      </c>
      <c r="L202" s="1751" t="str">
        <f t="shared" ca="1" si="29"/>
        <v/>
      </c>
      <c r="M202" s="1743" t="str">
        <f t="shared" ca="1" si="36"/>
        <v/>
      </c>
      <c r="N202" s="1737" t="str">
        <f t="shared" ca="1" si="32"/>
        <v/>
      </c>
      <c r="O202" s="264"/>
      <c r="P202" s="264"/>
      <c r="Q202" s="1693">
        <f t="shared" ca="1" si="33"/>
        <v>0</v>
      </c>
      <c r="R202" s="264"/>
      <c r="S202" s="264"/>
      <c r="T202" s="264"/>
      <c r="U202" s="264"/>
      <c r="V202" s="264"/>
    </row>
    <row r="203" spans="1:22" x14ac:dyDescent="0.2">
      <c r="A203" s="264"/>
      <c r="B203" s="1741">
        <v>83</v>
      </c>
      <c r="C203" s="1742" t="str">
        <f t="shared" ca="1" si="30"/>
        <v/>
      </c>
      <c r="D203" s="1735" t="str">
        <f t="shared" ca="1" si="34"/>
        <v/>
      </c>
      <c r="E203" s="1743" t="str">
        <f t="shared" ca="1" si="31"/>
        <v/>
      </c>
      <c r="F203" s="1743" t="str">
        <f t="shared" ca="1" si="25"/>
        <v/>
      </c>
      <c r="G203" s="1743"/>
      <c r="H203" s="1737" t="str">
        <f t="shared" si="35"/>
        <v/>
      </c>
      <c r="I203" s="1738" t="str">
        <f t="shared" ca="1" si="26"/>
        <v/>
      </c>
      <c r="J203" s="1737" t="str">
        <f t="shared" ca="1" si="27"/>
        <v/>
      </c>
      <c r="K203" s="1735" t="str">
        <f t="shared" ca="1" si="28"/>
        <v/>
      </c>
      <c r="L203" s="1751" t="str">
        <f t="shared" ca="1" si="29"/>
        <v/>
      </c>
      <c r="M203" s="1743" t="str">
        <f t="shared" ca="1" si="36"/>
        <v/>
      </c>
      <c r="N203" s="1737" t="str">
        <f t="shared" ca="1" si="32"/>
        <v/>
      </c>
      <c r="O203" s="264"/>
      <c r="P203" s="264"/>
      <c r="Q203" s="1693">
        <f t="shared" ca="1" si="33"/>
        <v>0</v>
      </c>
      <c r="R203" s="264"/>
      <c r="S203" s="264"/>
      <c r="T203" s="264"/>
      <c r="U203" s="264"/>
      <c r="V203" s="264"/>
    </row>
    <row r="204" spans="1:22" x14ac:dyDescent="0.2">
      <c r="A204" s="264"/>
      <c r="B204" s="1741">
        <v>84</v>
      </c>
      <c r="C204" s="1742" t="str">
        <f t="shared" ca="1" si="30"/>
        <v/>
      </c>
      <c r="D204" s="1735" t="str">
        <f t="shared" ca="1" si="34"/>
        <v/>
      </c>
      <c r="E204" s="1743" t="str">
        <f t="shared" ca="1" si="31"/>
        <v/>
      </c>
      <c r="F204" s="1743" t="str">
        <f t="shared" ca="1" si="25"/>
        <v/>
      </c>
      <c r="G204" s="1743"/>
      <c r="H204" s="1737" t="str">
        <f t="shared" si="35"/>
        <v/>
      </c>
      <c r="I204" s="1738" t="str">
        <f t="shared" ca="1" si="26"/>
        <v/>
      </c>
      <c r="J204" s="1737" t="str">
        <f t="shared" ca="1" si="27"/>
        <v/>
      </c>
      <c r="K204" s="1735" t="str">
        <f t="shared" ca="1" si="28"/>
        <v/>
      </c>
      <c r="L204" s="1751" t="str">
        <f t="shared" ca="1" si="29"/>
        <v/>
      </c>
      <c r="M204" s="1743" t="str">
        <f t="shared" ca="1" si="36"/>
        <v/>
      </c>
      <c r="N204" s="1737" t="str">
        <f t="shared" ca="1" si="32"/>
        <v/>
      </c>
      <c r="O204" s="264"/>
      <c r="P204" s="264"/>
      <c r="Q204" s="1693">
        <f t="shared" ca="1" si="33"/>
        <v>0</v>
      </c>
      <c r="R204" s="264"/>
      <c r="S204" s="264"/>
      <c r="T204" s="264"/>
      <c r="U204" s="264"/>
      <c r="V204" s="264"/>
    </row>
    <row r="205" spans="1:22" x14ac:dyDescent="0.2">
      <c r="A205" s="264"/>
      <c r="B205" s="1741">
        <v>85</v>
      </c>
      <c r="C205" s="1742" t="str">
        <f t="shared" ca="1" si="30"/>
        <v/>
      </c>
      <c r="D205" s="1735" t="str">
        <f t="shared" ca="1" si="34"/>
        <v/>
      </c>
      <c r="E205" s="1743" t="str">
        <f t="shared" ca="1" si="31"/>
        <v/>
      </c>
      <c r="F205" s="1743" t="str">
        <f t="shared" ca="1" si="25"/>
        <v/>
      </c>
      <c r="G205" s="1743"/>
      <c r="H205" s="1737" t="str">
        <f t="shared" si="35"/>
        <v/>
      </c>
      <c r="I205" s="1738" t="str">
        <f t="shared" ca="1" si="26"/>
        <v/>
      </c>
      <c r="J205" s="1737" t="str">
        <f t="shared" ca="1" si="27"/>
        <v/>
      </c>
      <c r="K205" s="1735" t="str">
        <f t="shared" ca="1" si="28"/>
        <v/>
      </c>
      <c r="L205" s="1751" t="str">
        <f t="shared" ca="1" si="29"/>
        <v/>
      </c>
      <c r="M205" s="1743" t="str">
        <f t="shared" ca="1" si="36"/>
        <v/>
      </c>
      <c r="N205" s="1737" t="str">
        <f t="shared" ca="1" si="32"/>
        <v/>
      </c>
      <c r="O205" s="264"/>
      <c r="P205" s="264"/>
      <c r="Q205" s="1693">
        <f t="shared" ca="1" si="33"/>
        <v>0</v>
      </c>
      <c r="R205" s="264"/>
      <c r="S205" s="264"/>
      <c r="T205" s="264"/>
      <c r="U205" s="264"/>
      <c r="V205" s="264"/>
    </row>
    <row r="206" spans="1:22" x14ac:dyDescent="0.2">
      <c r="A206" s="264"/>
      <c r="B206" s="1741">
        <v>86</v>
      </c>
      <c r="C206" s="1742" t="str">
        <f t="shared" ca="1" si="30"/>
        <v/>
      </c>
      <c r="D206" s="1735" t="str">
        <f t="shared" ca="1" si="34"/>
        <v/>
      </c>
      <c r="E206" s="1743" t="str">
        <f t="shared" ca="1" si="31"/>
        <v/>
      </c>
      <c r="F206" s="1743" t="str">
        <f t="shared" ca="1" si="25"/>
        <v/>
      </c>
      <c r="G206" s="1743"/>
      <c r="H206" s="1737" t="str">
        <f t="shared" si="35"/>
        <v/>
      </c>
      <c r="I206" s="1738" t="str">
        <f t="shared" ca="1" si="26"/>
        <v/>
      </c>
      <c r="J206" s="1737" t="str">
        <f t="shared" ca="1" si="27"/>
        <v/>
      </c>
      <c r="K206" s="1735" t="str">
        <f t="shared" ca="1" si="28"/>
        <v/>
      </c>
      <c r="L206" s="1751" t="str">
        <f t="shared" ca="1" si="29"/>
        <v/>
      </c>
      <c r="M206" s="1743" t="str">
        <f t="shared" ca="1" si="36"/>
        <v/>
      </c>
      <c r="N206" s="1737" t="str">
        <f t="shared" ca="1" si="32"/>
        <v/>
      </c>
      <c r="O206" s="264"/>
      <c r="P206" s="264"/>
      <c r="Q206" s="1693">
        <f t="shared" ca="1" si="33"/>
        <v>0</v>
      </c>
      <c r="R206" s="264"/>
      <c r="S206" s="264"/>
      <c r="T206" s="264"/>
      <c r="U206" s="264"/>
      <c r="V206" s="264"/>
    </row>
    <row r="207" spans="1:22" x14ac:dyDescent="0.2">
      <c r="A207" s="264"/>
      <c r="B207" s="1741">
        <v>87</v>
      </c>
      <c r="C207" s="1742" t="str">
        <f t="shared" ca="1" si="30"/>
        <v/>
      </c>
      <c r="D207" s="1735" t="str">
        <f t="shared" ca="1" si="34"/>
        <v/>
      </c>
      <c r="E207" s="1743" t="str">
        <f t="shared" ca="1" si="31"/>
        <v/>
      </c>
      <c r="F207" s="1743" t="str">
        <f t="shared" ca="1" si="25"/>
        <v/>
      </c>
      <c r="G207" s="1743"/>
      <c r="H207" s="1737" t="str">
        <f t="shared" si="35"/>
        <v/>
      </c>
      <c r="I207" s="1738" t="str">
        <f t="shared" ca="1" si="26"/>
        <v/>
      </c>
      <c r="J207" s="1737" t="str">
        <f t="shared" ca="1" si="27"/>
        <v/>
      </c>
      <c r="K207" s="1735" t="str">
        <f t="shared" ca="1" si="28"/>
        <v/>
      </c>
      <c r="L207" s="1751" t="str">
        <f t="shared" ca="1" si="29"/>
        <v/>
      </c>
      <c r="M207" s="1743" t="str">
        <f t="shared" ca="1" si="36"/>
        <v/>
      </c>
      <c r="N207" s="1737" t="str">
        <f t="shared" ca="1" si="32"/>
        <v/>
      </c>
      <c r="O207" s="264"/>
      <c r="P207" s="264"/>
      <c r="Q207" s="1693">
        <f t="shared" ca="1" si="33"/>
        <v>0</v>
      </c>
      <c r="R207" s="264"/>
      <c r="S207" s="264"/>
      <c r="T207" s="264"/>
      <c r="U207" s="264"/>
      <c r="V207" s="264"/>
    </row>
    <row r="208" spans="1:22" x14ac:dyDescent="0.2">
      <c r="A208" s="264"/>
      <c r="B208" s="1741">
        <v>88</v>
      </c>
      <c r="C208" s="1742" t="str">
        <f t="shared" ca="1" si="30"/>
        <v/>
      </c>
      <c r="D208" s="1735" t="str">
        <f t="shared" ca="1" si="34"/>
        <v/>
      </c>
      <c r="E208" s="1743" t="str">
        <f t="shared" ca="1" si="31"/>
        <v/>
      </c>
      <c r="F208" s="1743" t="str">
        <f t="shared" ca="1" si="25"/>
        <v/>
      </c>
      <c r="G208" s="1743"/>
      <c r="H208" s="1737" t="str">
        <f t="shared" si="35"/>
        <v/>
      </c>
      <c r="I208" s="1738" t="str">
        <f t="shared" ca="1" si="26"/>
        <v/>
      </c>
      <c r="J208" s="1737" t="str">
        <f t="shared" ca="1" si="27"/>
        <v/>
      </c>
      <c r="K208" s="1735" t="str">
        <f t="shared" ca="1" si="28"/>
        <v/>
      </c>
      <c r="L208" s="1751" t="str">
        <f t="shared" ca="1" si="29"/>
        <v/>
      </c>
      <c r="M208" s="1743" t="str">
        <f t="shared" ca="1" si="36"/>
        <v/>
      </c>
      <c r="N208" s="1737" t="str">
        <f t="shared" ca="1" si="32"/>
        <v/>
      </c>
      <c r="O208" s="264"/>
      <c r="P208" s="264"/>
      <c r="Q208" s="1693">
        <f t="shared" ca="1" si="33"/>
        <v>0</v>
      </c>
      <c r="R208" s="264"/>
      <c r="S208" s="264"/>
      <c r="T208" s="264"/>
      <c r="U208" s="264"/>
      <c r="V208" s="264"/>
    </row>
    <row r="209" spans="1:22" x14ac:dyDescent="0.2">
      <c r="A209" s="264"/>
      <c r="B209" s="1741">
        <v>89</v>
      </c>
      <c r="C209" s="1742" t="str">
        <f t="shared" ca="1" si="30"/>
        <v/>
      </c>
      <c r="D209" s="1735" t="str">
        <f t="shared" ca="1" si="34"/>
        <v/>
      </c>
      <c r="E209" s="1743" t="str">
        <f t="shared" ca="1" si="31"/>
        <v/>
      </c>
      <c r="F209" s="1743" t="str">
        <f t="shared" ca="1" si="25"/>
        <v/>
      </c>
      <c r="G209" s="1743"/>
      <c r="H209" s="1737" t="str">
        <f t="shared" si="35"/>
        <v/>
      </c>
      <c r="I209" s="1738" t="str">
        <f t="shared" ca="1" si="26"/>
        <v/>
      </c>
      <c r="J209" s="1737" t="str">
        <f t="shared" ca="1" si="27"/>
        <v/>
      </c>
      <c r="K209" s="1735" t="str">
        <f t="shared" ca="1" si="28"/>
        <v/>
      </c>
      <c r="L209" s="1751" t="str">
        <f t="shared" ca="1" si="29"/>
        <v/>
      </c>
      <c r="M209" s="1743" t="str">
        <f t="shared" ca="1" si="36"/>
        <v/>
      </c>
      <c r="N209" s="1737" t="str">
        <f t="shared" ca="1" si="32"/>
        <v/>
      </c>
      <c r="O209" s="264"/>
      <c r="P209" s="264"/>
      <c r="Q209" s="1693">
        <f t="shared" ca="1" si="33"/>
        <v>0</v>
      </c>
      <c r="R209" s="264"/>
      <c r="S209" s="264"/>
      <c r="T209" s="264"/>
      <c r="U209" s="264"/>
      <c r="V209" s="264"/>
    </row>
    <row r="210" spans="1:22" x14ac:dyDescent="0.2">
      <c r="A210" s="264"/>
      <c r="B210" s="1741">
        <v>90</v>
      </c>
      <c r="C210" s="1742" t="str">
        <f t="shared" ca="1" si="30"/>
        <v/>
      </c>
      <c r="D210" s="1735" t="str">
        <f t="shared" ca="1" si="34"/>
        <v/>
      </c>
      <c r="E210" s="1743" t="str">
        <f t="shared" ca="1" si="31"/>
        <v/>
      </c>
      <c r="F210" s="1743" t="str">
        <f t="shared" ca="1" si="25"/>
        <v/>
      </c>
      <c r="G210" s="1743"/>
      <c r="H210" s="1737" t="str">
        <f t="shared" si="35"/>
        <v/>
      </c>
      <c r="I210" s="1738" t="str">
        <f t="shared" ca="1" si="26"/>
        <v/>
      </c>
      <c r="J210" s="1737" t="str">
        <f t="shared" ca="1" si="27"/>
        <v/>
      </c>
      <c r="K210" s="1735" t="str">
        <f t="shared" ca="1" si="28"/>
        <v/>
      </c>
      <c r="L210" s="1751" t="str">
        <f t="shared" ca="1" si="29"/>
        <v/>
      </c>
      <c r="M210" s="1743" t="str">
        <f t="shared" ca="1" si="36"/>
        <v/>
      </c>
      <c r="N210" s="1737" t="str">
        <f t="shared" ca="1" si="32"/>
        <v/>
      </c>
      <c r="O210" s="264"/>
      <c r="P210" s="264"/>
      <c r="Q210" s="1693">
        <f t="shared" ca="1" si="33"/>
        <v>0</v>
      </c>
      <c r="R210" s="264"/>
      <c r="S210" s="264"/>
      <c r="T210" s="264"/>
      <c r="U210" s="264"/>
      <c r="V210" s="264"/>
    </row>
    <row r="211" spans="1:22" x14ac:dyDescent="0.2">
      <c r="A211" s="264"/>
      <c r="B211" s="1741">
        <v>91</v>
      </c>
      <c r="C211" s="1742" t="str">
        <f t="shared" ca="1" si="30"/>
        <v/>
      </c>
      <c r="D211" s="1735" t="str">
        <f t="shared" ca="1" si="34"/>
        <v/>
      </c>
      <c r="E211" s="1743" t="str">
        <f t="shared" ca="1" si="31"/>
        <v/>
      </c>
      <c r="F211" s="1743" t="str">
        <f t="shared" ca="1" si="25"/>
        <v/>
      </c>
      <c r="G211" s="1743"/>
      <c r="H211" s="1737" t="str">
        <f t="shared" si="35"/>
        <v/>
      </c>
      <c r="I211" s="1738" t="str">
        <f t="shared" ca="1" si="26"/>
        <v/>
      </c>
      <c r="J211" s="1737" t="str">
        <f t="shared" ca="1" si="27"/>
        <v/>
      </c>
      <c r="K211" s="1735" t="str">
        <f t="shared" ca="1" si="28"/>
        <v/>
      </c>
      <c r="L211" s="1751" t="str">
        <f t="shared" ca="1" si="29"/>
        <v/>
      </c>
      <c r="M211" s="1743" t="str">
        <f t="shared" ca="1" si="36"/>
        <v/>
      </c>
      <c r="N211" s="1737" t="str">
        <f t="shared" ca="1" si="32"/>
        <v/>
      </c>
      <c r="O211" s="264"/>
      <c r="P211" s="264"/>
      <c r="Q211" s="1693">
        <f t="shared" ca="1" si="33"/>
        <v>0</v>
      </c>
      <c r="R211" s="264"/>
      <c r="S211" s="264"/>
      <c r="T211" s="264"/>
      <c r="U211" s="264"/>
      <c r="V211" s="264"/>
    </row>
    <row r="212" spans="1:22" x14ac:dyDescent="0.2">
      <c r="A212" s="264"/>
      <c r="B212" s="1741">
        <v>92</v>
      </c>
      <c r="C212" s="1742" t="str">
        <f t="shared" ca="1" si="30"/>
        <v/>
      </c>
      <c r="D212" s="1735" t="str">
        <f t="shared" ca="1" si="34"/>
        <v/>
      </c>
      <c r="E212" s="1743" t="str">
        <f t="shared" ca="1" si="31"/>
        <v/>
      </c>
      <c r="F212" s="1743" t="str">
        <f t="shared" ca="1" si="25"/>
        <v/>
      </c>
      <c r="G212" s="1743"/>
      <c r="H212" s="1737" t="str">
        <f>IF(OR(H211=0,H211=""),
        "",
        H211-F212-G212)</f>
        <v/>
      </c>
      <c r="I212" s="1738" t="str">
        <f t="shared" ca="1" si="26"/>
        <v/>
      </c>
      <c r="J212" s="1737" t="str">
        <f t="shared" ca="1" si="27"/>
        <v/>
      </c>
      <c r="K212" s="1735" t="str">
        <f t="shared" ca="1" si="28"/>
        <v/>
      </c>
      <c r="L212" s="1751" t="str">
        <f t="shared" ca="1" si="29"/>
        <v/>
      </c>
      <c r="M212" s="1743" t="str">
        <f t="shared" ca="1" si="36"/>
        <v/>
      </c>
      <c r="N212" s="1737" t="str">
        <f t="shared" ca="1" si="32"/>
        <v/>
      </c>
      <c r="O212" s="264"/>
      <c r="P212" s="264"/>
      <c r="Q212" s="1693">
        <f t="shared" ca="1" si="33"/>
        <v>0</v>
      </c>
      <c r="R212" s="264"/>
      <c r="S212" s="264"/>
      <c r="T212" s="264"/>
      <c r="U212" s="264"/>
      <c r="V212" s="264"/>
    </row>
    <row r="213" spans="1:22" x14ac:dyDescent="0.2">
      <c r="A213" s="264"/>
      <c r="B213" s="1741">
        <v>93</v>
      </c>
      <c r="C213" s="1742" t="str">
        <f t="shared" ca="1" si="30"/>
        <v/>
      </c>
      <c r="D213" s="1735" t="str">
        <f t="shared" ca="1" si="34"/>
        <v/>
      </c>
      <c r="E213" s="1743" t="str">
        <f t="shared" ca="1" si="31"/>
        <v/>
      </c>
      <c r="F213" s="1743" t="str">
        <f t="shared" ca="1" si="25"/>
        <v/>
      </c>
      <c r="G213" s="1743"/>
      <c r="H213" s="1737" t="str">
        <f t="shared" si="35"/>
        <v/>
      </c>
      <c r="I213" s="1738" t="str">
        <f t="shared" ca="1" si="26"/>
        <v/>
      </c>
      <c r="J213" s="1737" t="str">
        <f t="shared" ca="1" si="27"/>
        <v/>
      </c>
      <c r="K213" s="1735" t="str">
        <f t="shared" ca="1" si="28"/>
        <v/>
      </c>
      <c r="L213" s="1751" t="str">
        <f t="shared" ca="1" si="29"/>
        <v/>
      </c>
      <c r="M213" s="1743" t="str">
        <f t="shared" ca="1" si="36"/>
        <v/>
      </c>
      <c r="N213" s="1737" t="str">
        <f t="shared" ca="1" si="32"/>
        <v/>
      </c>
      <c r="O213" s="264"/>
      <c r="P213" s="264"/>
      <c r="Q213" s="1693">
        <f t="shared" ca="1" si="33"/>
        <v>0</v>
      </c>
      <c r="R213" s="264"/>
      <c r="S213" s="264"/>
      <c r="T213" s="264"/>
      <c r="U213" s="264"/>
      <c r="V213" s="264"/>
    </row>
    <row r="214" spans="1:22" x14ac:dyDescent="0.2">
      <c r="A214" s="264"/>
      <c r="B214" s="1741">
        <v>94</v>
      </c>
      <c r="C214" s="1742" t="str">
        <f t="shared" ca="1" si="30"/>
        <v/>
      </c>
      <c r="D214" s="1735" t="str">
        <f t="shared" ca="1" si="34"/>
        <v/>
      </c>
      <c r="E214" s="1743" t="str">
        <f t="shared" ca="1" si="31"/>
        <v/>
      </c>
      <c r="F214" s="1743" t="str">
        <f t="shared" ca="1" si="25"/>
        <v/>
      </c>
      <c r="G214" s="1743"/>
      <c r="H214" s="1737" t="str">
        <f t="shared" si="35"/>
        <v/>
      </c>
      <c r="I214" s="1738" t="str">
        <f t="shared" ca="1" si="26"/>
        <v/>
      </c>
      <c r="J214" s="1737" t="str">
        <f t="shared" ca="1" si="27"/>
        <v/>
      </c>
      <c r="K214" s="1735" t="str">
        <f t="shared" ca="1" si="28"/>
        <v/>
      </c>
      <c r="L214" s="1751" t="str">
        <f t="shared" ca="1" si="29"/>
        <v/>
      </c>
      <c r="M214" s="1743" t="str">
        <f t="shared" ca="1" si="36"/>
        <v/>
      </c>
      <c r="N214" s="1737" t="str">
        <f t="shared" ca="1" si="32"/>
        <v/>
      </c>
      <c r="O214" s="264"/>
      <c r="P214" s="264"/>
      <c r="Q214" s="1693">
        <f t="shared" ca="1" si="33"/>
        <v>0</v>
      </c>
      <c r="R214" s="264"/>
      <c r="S214" s="264"/>
      <c r="T214" s="264"/>
      <c r="U214" s="264"/>
      <c r="V214" s="264"/>
    </row>
    <row r="215" spans="1:22" x14ac:dyDescent="0.2">
      <c r="A215" s="264"/>
      <c r="B215" s="1741">
        <v>95</v>
      </c>
      <c r="C215" s="1742" t="str">
        <f t="shared" ca="1" si="30"/>
        <v/>
      </c>
      <c r="D215" s="1735" t="str">
        <f t="shared" ca="1" si="34"/>
        <v/>
      </c>
      <c r="E215" s="1743" t="str">
        <f t="shared" ca="1" si="31"/>
        <v/>
      </c>
      <c r="F215" s="1743" t="str">
        <f t="shared" ca="1" si="25"/>
        <v/>
      </c>
      <c r="G215" s="1743"/>
      <c r="H215" s="1737" t="str">
        <f t="shared" si="35"/>
        <v/>
      </c>
      <c r="I215" s="1738" t="str">
        <f t="shared" ca="1" si="26"/>
        <v/>
      </c>
      <c r="J215" s="1737" t="str">
        <f t="shared" ca="1" si="27"/>
        <v/>
      </c>
      <c r="K215" s="1735" t="str">
        <f t="shared" ca="1" si="28"/>
        <v/>
      </c>
      <c r="L215" s="1751" t="str">
        <f t="shared" ca="1" si="29"/>
        <v/>
      </c>
      <c r="M215" s="1743" t="str">
        <f t="shared" ca="1" si="36"/>
        <v/>
      </c>
      <c r="N215" s="1737" t="str">
        <f t="shared" ca="1" si="32"/>
        <v/>
      </c>
      <c r="O215" s="264"/>
      <c r="P215" s="264"/>
      <c r="Q215" s="1693">
        <f t="shared" ca="1" si="33"/>
        <v>0</v>
      </c>
      <c r="R215" s="264"/>
      <c r="S215" s="264"/>
      <c r="T215" s="264"/>
      <c r="U215" s="264"/>
      <c r="V215" s="264"/>
    </row>
    <row r="216" spans="1:22" x14ac:dyDescent="0.2">
      <c r="A216" s="264"/>
      <c r="B216" s="1741">
        <v>96</v>
      </c>
      <c r="C216" s="1742" t="str">
        <f t="shared" ca="1" si="30"/>
        <v/>
      </c>
      <c r="D216" s="1735" t="str">
        <f t="shared" ca="1" si="34"/>
        <v/>
      </c>
      <c r="E216" s="1743" t="str">
        <f t="shared" ca="1" si="31"/>
        <v/>
      </c>
      <c r="F216" s="1743" t="str">
        <f t="shared" ca="1" si="25"/>
        <v/>
      </c>
      <c r="G216" s="1743"/>
      <c r="H216" s="1737" t="str">
        <f t="shared" si="35"/>
        <v/>
      </c>
      <c r="I216" s="1738" t="str">
        <f t="shared" ca="1" si="26"/>
        <v/>
      </c>
      <c r="J216" s="1737" t="str">
        <f t="shared" ca="1" si="27"/>
        <v/>
      </c>
      <c r="K216" s="1735" t="str">
        <f t="shared" ca="1" si="28"/>
        <v/>
      </c>
      <c r="L216" s="1751" t="str">
        <f t="shared" ca="1" si="29"/>
        <v/>
      </c>
      <c r="M216" s="1743" t="str">
        <f t="shared" ca="1" si="36"/>
        <v/>
      </c>
      <c r="N216" s="1737" t="str">
        <f t="shared" ca="1" si="32"/>
        <v/>
      </c>
      <c r="O216" s="264"/>
      <c r="P216" s="264"/>
      <c r="Q216" s="1693">
        <f t="shared" ca="1" si="33"/>
        <v>0</v>
      </c>
      <c r="R216" s="264"/>
      <c r="S216" s="264"/>
      <c r="T216" s="264"/>
      <c r="U216" s="264"/>
      <c r="V216" s="264"/>
    </row>
    <row r="217" spans="1:22" x14ac:dyDescent="0.2">
      <c r="A217" s="264"/>
      <c r="B217" s="1741">
        <v>97</v>
      </c>
      <c r="C217" s="1742" t="str">
        <f t="shared" ca="1" si="30"/>
        <v/>
      </c>
      <c r="D217" s="1735" t="str">
        <f t="shared" ca="1" si="34"/>
        <v/>
      </c>
      <c r="E217" s="1743" t="str">
        <f t="shared" ca="1" si="31"/>
        <v/>
      </c>
      <c r="F217" s="1743" t="str">
        <f t="shared" ca="1" si="25"/>
        <v/>
      </c>
      <c r="G217" s="1743"/>
      <c r="H217" s="1737" t="str">
        <f t="shared" si="35"/>
        <v/>
      </c>
      <c r="I217" s="1738" t="str">
        <f t="shared" ref="I217:I220" ca="1" si="37">IFERROR(
        IF(C217="",
                "",
                IF(C217&gt;INDEX(C$121:C$220,60),
                        0,
                        ROUND(E217*MIN(1,H$90/H$89),2))),
        "")</f>
        <v/>
      </c>
      <c r="J217" s="1737" t="str">
        <f t="shared" ca="1" si="27"/>
        <v/>
      </c>
      <c r="K217" s="1735" t="str">
        <f t="shared" ca="1" si="28"/>
        <v/>
      </c>
      <c r="L217" s="1751" t="str">
        <f t="shared" ref="L217:L220" ca="1" si="38">IFERROR(
        MAX(0,ROUNDUP((D217-IF(B217=1,
                        0,
                        IFERROR(INDEX(I$121:I$220,(B217-H$95)^2/(B217-H$95)),0)))/
                       (H$5*H$97*H$98),
                2)),
        K217)</f>
        <v/>
      </c>
      <c r="M217" s="1743" t="str">
        <f t="shared" ca="1" si="36"/>
        <v/>
      </c>
      <c r="N217" s="1737" t="str">
        <f t="shared" ca="1" si="32"/>
        <v/>
      </c>
      <c r="O217" s="264"/>
      <c r="P217" s="264"/>
      <c r="Q217" s="1693">
        <f t="shared" ca="1" si="33"/>
        <v>0</v>
      </c>
      <c r="R217" s="264"/>
      <c r="S217" s="264"/>
      <c r="T217" s="264"/>
      <c r="U217" s="264"/>
      <c r="V217" s="264"/>
    </row>
    <row r="218" spans="1:22" x14ac:dyDescent="0.2">
      <c r="A218" s="264"/>
      <c r="B218" s="1741">
        <v>98</v>
      </c>
      <c r="C218" s="1742" t="str">
        <f t="shared" ca="1" si="30"/>
        <v/>
      </c>
      <c r="D218" s="1735" t="str">
        <f t="shared" ca="1" si="34"/>
        <v/>
      </c>
      <c r="E218" s="1743" t="str">
        <f t="shared" ca="1" si="31"/>
        <v/>
      </c>
      <c r="F218" s="1743" t="str">
        <f t="shared" ca="1" si="25"/>
        <v/>
      </c>
      <c r="G218" s="1743"/>
      <c r="H218" s="1737" t="str">
        <f t="shared" si="35"/>
        <v/>
      </c>
      <c r="I218" s="1738" t="str">
        <f t="shared" ca="1" si="37"/>
        <v/>
      </c>
      <c r="J218" s="1737" t="str">
        <f t="shared" ca="1" si="27"/>
        <v/>
      </c>
      <c r="K218" s="1735" t="str">
        <f t="shared" ca="1" si="28"/>
        <v/>
      </c>
      <c r="L218" s="1751" t="str">
        <f t="shared" ca="1" si="38"/>
        <v/>
      </c>
      <c r="M218" s="1743" t="str">
        <f t="shared" ca="1" si="36"/>
        <v/>
      </c>
      <c r="N218" s="1737" t="str">
        <f t="shared" ref="N218:N220" ca="1" si="39">IFERROR(ROUND(M218*H$5*H$97*H$98-D218+IFERROR(INDEX(I$121:I$220,(B218-H$95)^2/(B218-H$95)),0)+N217,2),"")</f>
        <v/>
      </c>
      <c r="O218" s="264"/>
      <c r="P218" s="264"/>
      <c r="Q218" s="1693">
        <f t="shared" ca="1" si="33"/>
        <v>0</v>
      </c>
      <c r="R218" s="264"/>
      <c r="S218" s="264"/>
      <c r="T218" s="264"/>
      <c r="U218" s="264"/>
      <c r="V218" s="264"/>
    </row>
    <row r="219" spans="1:22" x14ac:dyDescent="0.2">
      <c r="A219" s="264"/>
      <c r="B219" s="1741">
        <v>99</v>
      </c>
      <c r="C219" s="1742" t="str">
        <f t="shared" ca="1" si="30"/>
        <v/>
      </c>
      <c r="D219" s="1735" t="str">
        <f t="shared" ca="1" si="34"/>
        <v/>
      </c>
      <c r="E219" s="1743" t="str">
        <f t="shared" ca="1" si="31"/>
        <v/>
      </c>
      <c r="F219" s="1743" t="str">
        <f t="shared" ca="1" si="25"/>
        <v/>
      </c>
      <c r="G219" s="1743"/>
      <c r="H219" s="1737" t="str">
        <f t="shared" si="35"/>
        <v/>
      </c>
      <c r="I219" s="1738" t="str">
        <f t="shared" ca="1" si="37"/>
        <v/>
      </c>
      <c r="J219" s="1737" t="str">
        <f t="shared" ca="1" si="27"/>
        <v/>
      </c>
      <c r="K219" s="1735" t="str">
        <f t="shared" ca="1" si="28"/>
        <v/>
      </c>
      <c r="L219" s="1751" t="str">
        <f t="shared" ca="1" si="38"/>
        <v/>
      </c>
      <c r="M219" s="1743" t="str">
        <f t="shared" ref="M219:M220" ca="1" si="40">IFERROR(ROUND(IF((B219+V$100-1)/V$100&lt;&gt;ROUND((B219+V$100-1)/V$100,0),
        M218,
       (INDEX(L$121:L$220,B219+V$100-1)+
        IF(V$100&lt;3,0,INDEX(L$121:L$220,B219+V$100-2))+
        IF(V$100&lt;3,0,INDEX(L$121:L$220,B219+V$100-3))+
        IF(V$100&lt;6,0,INDEX(L$121:L$220,B219+V$100-4))+
        IF(V$100&lt;6,0,INDEX(L$121:L$220,B219+V$100-5))+
        IF(V$100&lt;6,0,INDEX(L$121:L$220,B219+V$100-6))+
        IF(V$100&lt;12,0,INDEX(L$121:L$220,B219+V$100-7))+
        IF(V$100&lt;12,0,INDEX(L$121:L$220,B219+V$100-8))+
        IF(V$100&lt;12,0,INDEX(L$121:L$220,B219+V$100-9))+
        IF(V$100&lt;12,0,INDEX(L$121:L$220,B219+V$100-10))+
        IF(V$100&lt;12,0,INDEX(L$121:L$220,B219+V$100-11))+
        IF(V$100&lt;12,0,INDEX(L$121:L$220,B219+V$100-12)))/
        V$100),2),"")</f>
        <v/>
      </c>
      <c r="N219" s="1737" t="str">
        <f t="shared" ca="1" si="39"/>
        <v/>
      </c>
      <c r="O219" s="264"/>
      <c r="P219" s="264"/>
      <c r="Q219" s="1693">
        <f t="shared" ca="1" si="33"/>
        <v>0</v>
      </c>
      <c r="R219" s="264"/>
      <c r="S219" s="264"/>
      <c r="T219" s="264"/>
      <c r="U219" s="264"/>
      <c r="V219" s="264"/>
    </row>
    <row r="220" spans="1:22" x14ac:dyDescent="0.2">
      <c r="A220" s="264"/>
      <c r="B220" s="1744">
        <v>100</v>
      </c>
      <c r="C220" s="1745" t="str">
        <f t="shared" ca="1" si="30"/>
        <v/>
      </c>
      <c r="D220" s="1746" t="str">
        <f t="shared" ca="1" si="34"/>
        <v/>
      </c>
      <c r="E220" s="1747" t="str">
        <f t="shared" ca="1" si="31"/>
        <v/>
      </c>
      <c r="F220" s="1747" t="str">
        <f t="shared" ca="1" si="25"/>
        <v/>
      </c>
      <c r="G220" s="1747"/>
      <c r="H220" s="1748" t="str">
        <f t="shared" si="35"/>
        <v/>
      </c>
      <c r="I220" s="1746" t="str">
        <f t="shared" ca="1" si="37"/>
        <v/>
      </c>
      <c r="J220" s="1748" t="str">
        <f t="shared" ca="1" si="27"/>
        <v/>
      </c>
      <c r="K220" s="1746" t="str">
        <f t="shared" ca="1" si="28"/>
        <v/>
      </c>
      <c r="L220" s="1747" t="str">
        <f t="shared" ca="1" si="38"/>
        <v/>
      </c>
      <c r="M220" s="1747" t="str">
        <f t="shared" ca="1" si="40"/>
        <v/>
      </c>
      <c r="N220" s="1748" t="str">
        <f t="shared" ca="1" si="39"/>
        <v/>
      </c>
      <c r="O220" s="264"/>
      <c r="P220" s="264"/>
      <c r="Q220" s="1693">
        <f t="shared" ca="1" si="33"/>
        <v>0</v>
      </c>
      <c r="R220" s="264"/>
      <c r="S220" s="264"/>
      <c r="T220" s="264"/>
      <c r="U220" s="264"/>
      <c r="V220" s="264"/>
    </row>
    <row r="221" spans="1:22" x14ac:dyDescent="0.2">
      <c r="A221" s="264"/>
      <c r="B221" s="264"/>
      <c r="C221" s="264"/>
      <c r="D221" s="264"/>
      <c r="E221" s="264"/>
      <c r="F221" s="264"/>
      <c r="G221" s="264"/>
      <c r="H221" s="264"/>
      <c r="I221" s="264"/>
      <c r="J221" s="264"/>
      <c r="K221" s="264"/>
      <c r="L221" s="264"/>
      <c r="M221" s="264"/>
      <c r="N221" s="264"/>
      <c r="O221" s="264"/>
      <c r="P221" s="264"/>
      <c r="Q221" s="264"/>
      <c r="R221" s="264"/>
      <c r="S221" s="264"/>
      <c r="T221" s="264"/>
      <c r="U221" s="264"/>
      <c r="V221" s="264"/>
    </row>
    <row r="222" spans="1:22" x14ac:dyDescent="0.2">
      <c r="A222" s="264"/>
      <c r="B222" s="264"/>
      <c r="C222" s="264"/>
      <c r="D222" s="264"/>
      <c r="E222" s="264"/>
      <c r="F222" s="264"/>
      <c r="G222" s="264"/>
      <c r="H222" s="264"/>
      <c r="I222" s="264"/>
      <c r="J222" s="264"/>
      <c r="K222" s="264"/>
      <c r="L222" s="264"/>
      <c r="M222" s="264"/>
      <c r="N222" s="264"/>
      <c r="O222" s="264"/>
      <c r="P222" s="264"/>
      <c r="Q222" s="264"/>
      <c r="R222" s="264"/>
      <c r="S222" s="264"/>
      <c r="T222" s="264"/>
      <c r="U222" s="264"/>
      <c r="V222" s="264"/>
    </row>
    <row r="223" spans="1:22" x14ac:dyDescent="0.2">
      <c r="A223" s="264"/>
      <c r="B223" s="264"/>
      <c r="C223" s="264"/>
      <c r="D223" s="264"/>
      <c r="E223" s="264"/>
      <c r="F223" s="264"/>
      <c r="G223" s="264"/>
      <c r="H223" s="264"/>
      <c r="I223" s="264"/>
      <c r="J223" s="264"/>
      <c r="K223" s="264"/>
      <c r="L223" s="264"/>
      <c r="M223" s="264"/>
      <c r="N223" s="264"/>
      <c r="O223" s="264"/>
      <c r="P223" s="264"/>
      <c r="Q223" s="264"/>
      <c r="R223" s="264"/>
      <c r="S223" s="264"/>
      <c r="T223" s="264"/>
      <c r="U223" s="264"/>
      <c r="V223" s="264"/>
    </row>
    <row r="224" spans="1:22" x14ac:dyDescent="0.2">
      <c r="A224" s="264"/>
      <c r="B224" s="264"/>
      <c r="C224" s="264"/>
      <c r="D224" s="264"/>
      <c r="E224" s="264"/>
      <c r="F224" s="264"/>
      <c r="G224" s="264"/>
      <c r="H224" s="264"/>
      <c r="I224" s="264"/>
      <c r="J224" s="264"/>
      <c r="K224" s="264"/>
      <c r="L224" s="264"/>
      <c r="M224" s="264"/>
      <c r="N224" s="264"/>
      <c r="O224" s="264"/>
      <c r="P224" s="264"/>
      <c r="Q224" s="264"/>
      <c r="R224" s="264"/>
      <c r="S224" s="264"/>
      <c r="T224" s="264"/>
      <c r="U224" s="264"/>
      <c r="V224" s="264"/>
    </row>
    <row r="225" spans="1:22" hidden="1" x14ac:dyDescent="0.2">
      <c r="A225" s="264"/>
      <c r="B225" s="264"/>
      <c r="C225" s="264"/>
      <c r="D225" s="264"/>
      <c r="E225" s="264"/>
      <c r="F225" s="264"/>
      <c r="G225" s="264"/>
      <c r="H225" s="264"/>
      <c r="I225" s="264"/>
      <c r="J225" s="264"/>
      <c r="K225" s="264"/>
      <c r="L225" s="264"/>
      <c r="M225" s="264"/>
      <c r="N225" s="264"/>
      <c r="O225" s="264"/>
      <c r="P225" s="264"/>
      <c r="Q225" s="264"/>
      <c r="R225" s="264"/>
      <c r="S225" s="264"/>
      <c r="T225" s="264"/>
      <c r="U225" s="264"/>
      <c r="V225" s="264"/>
    </row>
    <row r="226" spans="1:22" hidden="1" x14ac:dyDescent="0.2">
      <c r="A226" s="264"/>
      <c r="B226" s="264"/>
      <c r="C226" s="264"/>
      <c r="D226" s="264"/>
      <c r="E226" s="264"/>
      <c r="F226" s="264"/>
      <c r="G226" s="264"/>
      <c r="H226" s="264"/>
      <c r="I226" s="264"/>
      <c r="J226" s="264"/>
      <c r="K226" s="264"/>
      <c r="L226" s="264"/>
      <c r="M226" s="264"/>
      <c r="N226" s="264"/>
      <c r="O226" s="264"/>
      <c r="P226" s="264"/>
      <c r="Q226" s="264"/>
      <c r="R226" s="264"/>
      <c r="S226" s="264"/>
      <c r="T226" s="264"/>
      <c r="U226" s="264"/>
      <c r="V226" s="264"/>
    </row>
    <row r="227" spans="1:22" hidden="1" x14ac:dyDescent="0.2">
      <c r="A227" s="264"/>
      <c r="B227" s="264"/>
      <c r="C227" s="264"/>
      <c r="D227" s="264"/>
      <c r="E227" s="264"/>
      <c r="F227" s="264"/>
      <c r="G227" s="264"/>
      <c r="H227" s="264"/>
      <c r="I227" s="264"/>
      <c r="J227" s="264"/>
      <c r="K227" s="264"/>
      <c r="L227" s="264"/>
      <c r="M227" s="264"/>
      <c r="N227" s="264"/>
      <c r="O227" s="264"/>
      <c r="P227" s="264"/>
      <c r="Q227" s="264"/>
      <c r="R227" s="264"/>
      <c r="S227" s="264"/>
      <c r="T227" s="264"/>
      <c r="U227" s="264"/>
      <c r="V227" s="264"/>
    </row>
    <row r="228" spans="1:22" hidden="1" x14ac:dyDescent="0.2">
      <c r="A228" s="264"/>
      <c r="B228" s="264"/>
      <c r="C228" s="264"/>
      <c r="D228" s="264"/>
      <c r="E228" s="264"/>
      <c r="F228" s="264"/>
      <c r="G228" s="264"/>
      <c r="H228" s="264"/>
      <c r="I228" s="264"/>
      <c r="J228" s="264"/>
      <c r="K228" s="264"/>
      <c r="L228" s="264"/>
      <c r="M228" s="264"/>
      <c r="N228" s="264"/>
      <c r="O228" s="264"/>
      <c r="P228" s="264"/>
      <c r="Q228" s="264"/>
      <c r="R228" s="264"/>
      <c r="S228" s="264"/>
      <c r="T228" s="264"/>
      <c r="U228" s="264"/>
      <c r="V228" s="264"/>
    </row>
    <row r="229" spans="1:22" hidden="1" x14ac:dyDescent="0.2">
      <c r="A229" s="264"/>
      <c r="B229" s="264"/>
      <c r="C229" s="264"/>
      <c r="D229" s="264"/>
      <c r="E229" s="264"/>
      <c r="F229" s="264"/>
      <c r="G229" s="264"/>
      <c r="H229" s="264"/>
      <c r="I229" s="264"/>
      <c r="J229" s="264"/>
      <c r="K229" s="264"/>
      <c r="L229" s="264"/>
      <c r="M229" s="264"/>
      <c r="N229" s="264"/>
      <c r="O229" s="264"/>
      <c r="P229" s="264"/>
      <c r="Q229" s="264"/>
      <c r="R229" s="264"/>
      <c r="S229" s="264"/>
      <c r="T229" s="264"/>
      <c r="U229" s="264"/>
      <c r="V229" s="264"/>
    </row>
    <row r="230" spans="1:22" hidden="1" x14ac:dyDescent="0.2">
      <c r="A230" s="264"/>
      <c r="B230" s="264"/>
      <c r="C230" s="264"/>
      <c r="D230" s="264"/>
      <c r="E230" s="264"/>
      <c r="F230" s="264"/>
      <c r="G230" s="264"/>
      <c r="H230" s="264"/>
      <c r="I230" s="264"/>
      <c r="J230" s="264"/>
      <c r="K230" s="264"/>
      <c r="L230" s="264"/>
      <c r="M230" s="264"/>
      <c r="N230" s="264"/>
      <c r="O230" s="264"/>
      <c r="P230" s="264"/>
      <c r="Q230" s="264"/>
      <c r="R230" s="264"/>
      <c r="S230" s="264"/>
      <c r="T230" s="264"/>
      <c r="U230" s="264"/>
      <c r="V230" s="264"/>
    </row>
    <row r="231" spans="1:22" hidden="1" x14ac:dyDescent="0.2">
      <c r="A231" s="264"/>
      <c r="B231" s="264"/>
      <c r="C231" s="264"/>
      <c r="D231" s="264"/>
      <c r="E231" s="264"/>
      <c r="F231" s="264"/>
      <c r="G231" s="264"/>
      <c r="H231" s="264"/>
      <c r="I231" s="264"/>
      <c r="J231" s="264"/>
      <c r="K231" s="264"/>
      <c r="L231" s="264"/>
      <c r="M231" s="264"/>
      <c r="N231" s="264"/>
      <c r="O231" s="264"/>
      <c r="P231" s="264"/>
      <c r="Q231" s="264"/>
      <c r="R231" s="264"/>
      <c r="S231" s="264"/>
      <c r="T231" s="264"/>
      <c r="U231" s="264"/>
      <c r="V231" s="264"/>
    </row>
    <row r="232" spans="1:22" hidden="1" x14ac:dyDescent="0.2">
      <c r="A232" s="264"/>
      <c r="B232" s="264"/>
      <c r="C232" s="264"/>
      <c r="D232" s="264"/>
      <c r="E232" s="264"/>
      <c r="F232" s="264"/>
      <c r="G232" s="264"/>
      <c r="H232" s="264"/>
      <c r="I232" s="264"/>
      <c r="J232" s="264"/>
      <c r="K232" s="264"/>
      <c r="L232" s="264"/>
      <c r="M232" s="264"/>
      <c r="N232" s="264"/>
      <c r="O232" s="264"/>
      <c r="P232" s="264"/>
      <c r="Q232" s="264"/>
      <c r="R232" s="264"/>
      <c r="S232" s="264"/>
      <c r="T232" s="264"/>
      <c r="U232" s="264"/>
      <c r="V232" s="264"/>
    </row>
    <row r="233" spans="1:22" hidden="1" x14ac:dyDescent="0.2">
      <c r="A233" s="264"/>
      <c r="B233" s="264"/>
      <c r="C233" s="264"/>
      <c r="D233" s="264"/>
      <c r="E233" s="264"/>
      <c r="F233" s="264"/>
      <c r="G233" s="264"/>
      <c r="H233" s="264"/>
      <c r="I233" s="264"/>
      <c r="J233" s="264"/>
      <c r="K233" s="264"/>
      <c r="L233" s="264"/>
      <c r="M233" s="264"/>
      <c r="N233" s="264"/>
      <c r="O233" s="264"/>
      <c r="P233" s="264"/>
      <c r="Q233" s="264"/>
      <c r="R233" s="264"/>
      <c r="S233" s="264"/>
      <c r="T233" s="264"/>
      <c r="U233" s="264"/>
      <c r="V233" s="264"/>
    </row>
    <row r="234" spans="1:22" hidden="1" x14ac:dyDescent="0.2">
      <c r="A234" s="264"/>
      <c r="B234" s="264"/>
      <c r="C234" s="264"/>
      <c r="D234" s="264"/>
      <c r="E234" s="264"/>
      <c r="F234" s="264"/>
      <c r="G234" s="264"/>
      <c r="H234" s="264"/>
      <c r="I234" s="264"/>
      <c r="J234" s="264"/>
      <c r="K234" s="264"/>
      <c r="L234" s="264"/>
      <c r="M234" s="264"/>
      <c r="N234" s="264"/>
      <c r="O234" s="264"/>
      <c r="P234" s="264"/>
      <c r="Q234" s="264"/>
      <c r="R234" s="264"/>
      <c r="S234" s="264"/>
      <c r="T234" s="264"/>
      <c r="U234" s="264"/>
      <c r="V234" s="264"/>
    </row>
    <row r="235" spans="1:22" hidden="1" x14ac:dyDescent="0.2">
      <c r="P235" s="264"/>
      <c r="Q235" s="264"/>
      <c r="R235" s="264"/>
      <c r="S235" s="264"/>
      <c r="T235" s="264"/>
      <c r="U235" s="264"/>
      <c r="V235" s="264"/>
    </row>
  </sheetData>
  <sheetProtection password="ECB1" sheet="1" objects="1" scenarios="1"/>
  <mergeCells count="113">
    <mergeCell ref="B1:E1"/>
    <mergeCell ref="J6:K6"/>
    <mergeCell ref="J8:K8"/>
    <mergeCell ref="J5:K5"/>
    <mergeCell ref="B6:G6"/>
    <mergeCell ref="B7:G7"/>
    <mergeCell ref="B8:G8"/>
    <mergeCell ref="B9:G9"/>
    <mergeCell ref="H25:I25"/>
    <mergeCell ref="J25:K25"/>
    <mergeCell ref="B15:G15"/>
    <mergeCell ref="H16:I16"/>
    <mergeCell ref="H17:I17"/>
    <mergeCell ref="H18:I18"/>
    <mergeCell ref="H19:I19"/>
    <mergeCell ref="B18:G18"/>
    <mergeCell ref="B19:G19"/>
    <mergeCell ref="H24:I24"/>
    <mergeCell ref="J24:K24"/>
    <mergeCell ref="H21:I21"/>
    <mergeCell ref="J21:K21"/>
    <mergeCell ref="J15:K15"/>
    <mergeCell ref="H15:I15"/>
    <mergeCell ref="J16:K16"/>
    <mergeCell ref="H26:I26"/>
    <mergeCell ref="J26:K26"/>
    <mergeCell ref="B32:G32"/>
    <mergeCell ref="B33:G33"/>
    <mergeCell ref="B34:G34"/>
    <mergeCell ref="E26:G26"/>
    <mergeCell ref="B79:H79"/>
    <mergeCell ref="B28:G28"/>
    <mergeCell ref="B29:G29"/>
    <mergeCell ref="I33:O33"/>
    <mergeCell ref="I30:K30"/>
    <mergeCell ref="J17:K17"/>
    <mergeCell ref="J18:K18"/>
    <mergeCell ref="J19:K19"/>
    <mergeCell ref="B21:G21"/>
    <mergeCell ref="H22:I22"/>
    <mergeCell ref="J22:K22"/>
    <mergeCell ref="H23:I23"/>
    <mergeCell ref="J23:K23"/>
    <mergeCell ref="E23:G23"/>
    <mergeCell ref="E24:G24"/>
    <mergeCell ref="E25:G25"/>
    <mergeCell ref="B80:G80"/>
    <mergeCell ref="B81:G81"/>
    <mergeCell ref="B82:G82"/>
    <mergeCell ref="B86:G86"/>
    <mergeCell ref="B87:G87"/>
    <mergeCell ref="B16:G16"/>
    <mergeCell ref="B17:G17"/>
    <mergeCell ref="B30:G30"/>
    <mergeCell ref="B83:G83"/>
    <mergeCell ref="E22:G22"/>
    <mergeCell ref="N119:N120"/>
    <mergeCell ref="B118:C118"/>
    <mergeCell ref="D118:H118"/>
    <mergeCell ref="I118:I119"/>
    <mergeCell ref="J118:J119"/>
    <mergeCell ref="K118:N118"/>
    <mergeCell ref="B119:B120"/>
    <mergeCell ref="C119:C120"/>
    <mergeCell ref="H119:H120"/>
    <mergeCell ref="K119:K120"/>
    <mergeCell ref="L119:M119"/>
    <mergeCell ref="D119:D120"/>
    <mergeCell ref="I90:K91"/>
    <mergeCell ref="B39:E39"/>
    <mergeCell ref="B40:E40"/>
    <mergeCell ref="B41:E41"/>
    <mergeCell ref="B42:E42"/>
    <mergeCell ref="B43:E43"/>
    <mergeCell ref="B44:E44"/>
    <mergeCell ref="B45:E45"/>
    <mergeCell ref="B46:E46"/>
    <mergeCell ref="B47:E47"/>
    <mergeCell ref="B48:E48"/>
    <mergeCell ref="B95:G95"/>
    <mergeCell ref="B96:G96"/>
    <mergeCell ref="B97:G97"/>
    <mergeCell ref="B90:G90"/>
    <mergeCell ref="B91:G91"/>
    <mergeCell ref="B92:G92"/>
    <mergeCell ref="B93:G93"/>
    <mergeCell ref="B94:G94"/>
    <mergeCell ref="B88:G88"/>
    <mergeCell ref="B89:G89"/>
    <mergeCell ref="B98:G98"/>
    <mergeCell ref="G2:L2"/>
    <mergeCell ref="N1:R1"/>
    <mergeCell ref="B35:G35"/>
    <mergeCell ref="J7:K7"/>
    <mergeCell ref="J9:K9"/>
    <mergeCell ref="H1:K1"/>
    <mergeCell ref="I81:K81"/>
    <mergeCell ref="I82:L84"/>
    <mergeCell ref="M79:R79"/>
    <mergeCell ref="N80:R80"/>
    <mergeCell ref="M81:P81"/>
    <mergeCell ref="Q81:R81"/>
    <mergeCell ref="Q82:R82"/>
    <mergeCell ref="J28:K29"/>
    <mergeCell ref="M82:P82"/>
    <mergeCell ref="B12:G12"/>
    <mergeCell ref="B13:G13"/>
    <mergeCell ref="B5:G5"/>
    <mergeCell ref="B36:G36"/>
    <mergeCell ref="B38:E38"/>
    <mergeCell ref="B11:H11"/>
    <mergeCell ref="B4:H4"/>
    <mergeCell ref="B22:D26"/>
  </mergeCells>
  <conditionalFormatting sqref="N121:N220">
    <cfRule type="cellIs" dxfId="70" priority="24" operator="lessThan">
      <formula>0</formula>
    </cfRule>
  </conditionalFormatting>
  <conditionalFormatting sqref="I82:L85">
    <cfRule type="expression" dxfId="69" priority="20">
      <formula>OR($H$82=0,$H$82="")</formula>
    </cfRule>
  </conditionalFormatting>
  <conditionalFormatting sqref="M82:R82">
    <cfRule type="expression" dxfId="68" priority="1">
      <formula>$H$32=0</formula>
    </cfRule>
  </conditionalFormatting>
  <dataValidations count="8">
    <dataValidation type="list" operator="equal" allowBlank="1" showInputMessage="1" showErrorMessage="1" sqref="H94">
      <formula1>"0,1,2,3"</formula1>
    </dataValidation>
    <dataValidation type="list" allowBlank="1" showInputMessage="1" showErrorMessage="1" sqref="H95">
      <formula1>"0,1,2,3"</formula1>
    </dataValidation>
    <dataValidation type="whole" allowBlank="1" showInputMessage="1" showErrorMessage="1" sqref="H93">
      <formula1>1</formula1>
      <formula2>100</formula2>
    </dataValidation>
    <dataValidation type="whole" allowBlank="1" showInputMessage="1" showErrorMessage="1" sqref="H92">
      <formula1>1</formula1>
      <formula2>31</formula2>
    </dataValidation>
    <dataValidation type="list" operator="equal" allowBlank="1" showInputMessage="1" showErrorMessage="1" sqref="E100 E104:E116">
      <formula1>$Q$98:$Q$99</formula1>
    </dataValidation>
    <dataValidation operator="equal" allowBlank="1" showInputMessage="1" showErrorMessage="1" sqref="E117"/>
    <dataValidation type="list" allowBlank="1" showInputMessage="1" showErrorMessage="1" sqref="H96">
      <formula1>$U$96:$U$99</formula1>
    </dataValidation>
    <dataValidation type="list" allowBlank="1" showInputMessage="1" showErrorMessage="1" sqref="M80">
      <formula1>$U$79:$U$88</formula1>
    </dataValidation>
  </dataValidations>
  <hyperlinks>
    <hyperlink ref="N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H1" location="'Титульный лист'!A1" display="&lt;&lt; вернуться на титульный лист"/>
    <hyperlink ref="H1:J1" location="'Титульный лист'!A1" tooltip="перейти ..." display="&lt;&lt; вернуться на титульный лист"/>
    <hyperlink ref="H1:K1" location="'Экономический расчет'!B98" tooltip="перейти ..." display="к расчету финансовой поддержки..."/>
  </hyperlinks>
  <printOptions horizontalCentered="1" verticalCentered="1"/>
  <pageMargins left="0.23622047244094491" right="0.23622047244094491" top="0.35433070866141736" bottom="0.35433070866141736" header="0.11811023622047245" footer="0.11811023622047245"/>
  <pageSetup paperSize="9" scale="74" fitToHeight="0" orientation="landscape" r:id="rId2"/>
  <headerFooter>
    <oddFooter>&amp;Rстраница &amp;P из &amp;N</oddFooter>
  </headerFooter>
  <rowBreaks count="3" manualBreakCount="3">
    <brk id="36" min="1" max="17" man="1"/>
    <brk id="78" min="1" max="17" man="1"/>
    <brk id="117" max="16383" man="1"/>
  </rowBreaks>
  <drawing r:id="rId3"/>
  <extLst>
    <ext xmlns:x14="http://schemas.microsoft.com/office/spreadsheetml/2009/9/main" uri="{78C0D931-6437-407d-A8EE-F0AAD7539E65}">
      <x14:conditionalFormattings>
        <x14:conditionalFormatting xmlns:xm="http://schemas.microsoft.com/office/excel/2006/main">
          <x14:cfRule type="expression" priority="22" id="{5E5A1C8C-4C15-47E2-9A4A-63516E4C705C}">
            <xm:f>'Ввод исходных данных'!D42=INDEX(SposobRascheta,3)</xm:f>
            <x14:dxf>
              <font>
                <strike/>
                <color theme="0" tint="-4.9989318521683403E-2"/>
              </font>
            </x14:dxf>
          </x14:cfRule>
          <xm:sqref>H81</xm:sqref>
        </x14:conditionalFormatting>
        <x14:conditionalFormatting xmlns:xm="http://schemas.microsoft.com/office/excel/2006/main">
          <x14:cfRule type="expression" priority="21" id="{EAE41F3D-9163-49A9-8101-793B37620197}">
            <xm:f>'Ввод исходных данных'!D42=INDEX(SposobRascheta,3)</xm:f>
            <x14:dxf>
              <font>
                <strike val="0"/>
                <color rgb="FFFF0000"/>
              </font>
              <border>
                <right/>
              </border>
            </x14:dxf>
          </x14:cfRule>
          <xm:sqref>B81:G81</xm:sqref>
        </x14:conditionalFormatting>
        <x14:conditionalFormatting xmlns:xm="http://schemas.microsoft.com/office/excel/2006/main">
          <x14:cfRule type="expression" priority="2" id="{05201C23-D228-4FF4-9AE6-CEDA5A1A1E36}">
            <xm:f>'классы ЭЭ и выбросы ПГ'!$D$34=1</xm:f>
            <x14:dxf>
              <fill>
                <patternFill>
                  <bgColor theme="0" tint="-0.14996795556505021"/>
                </patternFill>
              </fill>
            </x14:dxf>
          </x14:cfRule>
          <x14:cfRule type="expression" priority="11" id="{DDCFE43C-4174-4648-9DAE-BF765A98B6E5}">
            <xm:f>'классы ЭЭ и выбросы ПГ'!$E$34=1</xm:f>
            <x14:dxf>
              <fill>
                <patternFill>
                  <bgColor theme="1"/>
                </patternFill>
              </fill>
            </x14:dxf>
          </x14:cfRule>
          <xm:sqref>B47</xm:sqref>
        </x14:conditionalFormatting>
        <x14:conditionalFormatting xmlns:xm="http://schemas.microsoft.com/office/excel/2006/main">
          <x14:cfRule type="expression" priority="10" id="{5A045FD2-4416-4EE3-9996-774AA6629075}">
            <xm:f>'классы ЭЭ и выбросы ПГ'!$D$26=1</xm:f>
            <x14:dxf>
              <fill>
                <patternFill>
                  <bgColor theme="0" tint="-0.14996795556505021"/>
                </patternFill>
              </fill>
            </x14:dxf>
          </x14:cfRule>
          <x14:cfRule type="expression" priority="19" id="{F7CD4421-2AD8-4A3C-B0DA-2D326C38390C}">
            <xm:f>'классы ЭЭ и выбросы ПГ'!$E$26=1</xm:f>
            <x14:dxf>
              <fill>
                <patternFill>
                  <bgColor theme="1"/>
                </patternFill>
              </fill>
            </x14:dxf>
          </x14:cfRule>
          <xm:sqref>B39</xm:sqref>
        </x14:conditionalFormatting>
        <x14:conditionalFormatting xmlns:xm="http://schemas.microsoft.com/office/excel/2006/main">
          <x14:cfRule type="expression" priority="9" id="{893CEA03-62A7-4AF5-8A47-920EA864517D}">
            <xm:f>'классы ЭЭ и выбросы ПГ'!$D$27=1</xm:f>
            <x14:dxf>
              <fill>
                <patternFill>
                  <bgColor theme="0" tint="-0.14996795556505021"/>
                </patternFill>
              </fill>
            </x14:dxf>
          </x14:cfRule>
          <x14:cfRule type="expression" priority="18" id="{086AA6D5-E04B-43E3-9BBC-31129A81601E}">
            <xm:f>'классы ЭЭ и выбросы ПГ'!$E$27=1</xm:f>
            <x14:dxf>
              <fill>
                <patternFill>
                  <bgColor theme="1"/>
                </patternFill>
              </fill>
            </x14:dxf>
          </x14:cfRule>
          <xm:sqref>B40</xm:sqref>
        </x14:conditionalFormatting>
        <x14:conditionalFormatting xmlns:xm="http://schemas.microsoft.com/office/excel/2006/main">
          <x14:cfRule type="expression" priority="8" id="{8EE16D87-B81F-4A4A-868E-FEF89D89D019}">
            <xm:f>'классы ЭЭ и выбросы ПГ'!$D$28=1</xm:f>
            <x14:dxf>
              <fill>
                <patternFill>
                  <bgColor theme="0" tint="-0.14996795556505021"/>
                </patternFill>
              </fill>
            </x14:dxf>
          </x14:cfRule>
          <x14:cfRule type="expression" priority="17" id="{F81BA8AE-9512-4FB9-9256-8CDB6876ECC4}">
            <xm:f>'классы ЭЭ и выбросы ПГ'!$E$28=1</xm:f>
            <x14:dxf>
              <fill>
                <patternFill>
                  <bgColor theme="1"/>
                </patternFill>
              </fill>
            </x14:dxf>
          </x14:cfRule>
          <xm:sqref>B41</xm:sqref>
        </x14:conditionalFormatting>
        <x14:conditionalFormatting xmlns:xm="http://schemas.microsoft.com/office/excel/2006/main">
          <x14:cfRule type="expression" priority="7" id="{7A888172-8B9F-467F-BBB3-E16156B60633}">
            <xm:f>'классы ЭЭ и выбросы ПГ'!$D$29=1</xm:f>
            <x14:dxf>
              <fill>
                <patternFill>
                  <bgColor theme="0" tint="-0.14996795556505021"/>
                </patternFill>
              </fill>
            </x14:dxf>
          </x14:cfRule>
          <x14:cfRule type="expression" priority="16" id="{799E0C32-728B-4452-84BD-1BFC55EF65AD}">
            <xm:f>'классы ЭЭ и выбросы ПГ'!$E$29=1</xm:f>
            <x14:dxf>
              <fill>
                <patternFill>
                  <bgColor theme="1"/>
                </patternFill>
              </fill>
            </x14:dxf>
          </x14:cfRule>
          <xm:sqref>B42</xm:sqref>
        </x14:conditionalFormatting>
        <x14:conditionalFormatting xmlns:xm="http://schemas.microsoft.com/office/excel/2006/main">
          <x14:cfRule type="expression" priority="6" id="{0A68A5C3-F4F4-44AE-A5F7-81430D8B56D8}">
            <xm:f>'классы ЭЭ и выбросы ПГ'!$D$30=1</xm:f>
            <x14:dxf>
              <fill>
                <patternFill>
                  <bgColor theme="0" tint="-0.14996795556505021"/>
                </patternFill>
              </fill>
            </x14:dxf>
          </x14:cfRule>
          <x14:cfRule type="expression" priority="15" id="{FD12880A-5155-4B3B-8275-B7CF7DF4C0CE}">
            <xm:f>'классы ЭЭ и выбросы ПГ'!$E$30=1</xm:f>
            <x14:dxf>
              <fill>
                <patternFill>
                  <bgColor theme="1"/>
                </patternFill>
              </fill>
            </x14:dxf>
          </x14:cfRule>
          <xm:sqref>B43</xm:sqref>
        </x14:conditionalFormatting>
        <x14:conditionalFormatting xmlns:xm="http://schemas.microsoft.com/office/excel/2006/main">
          <x14:cfRule type="expression" priority="5" id="{E972C057-37B3-4411-96A5-A1DC3D8E767D}">
            <xm:f>'классы ЭЭ и выбросы ПГ'!$D$31=1</xm:f>
            <x14:dxf>
              <fill>
                <patternFill>
                  <bgColor theme="0" tint="-0.14996795556505021"/>
                </patternFill>
              </fill>
            </x14:dxf>
          </x14:cfRule>
          <x14:cfRule type="expression" priority="14" id="{45632A66-C2A3-4520-8747-51AECB7D16BE}">
            <xm:f>'классы ЭЭ и выбросы ПГ'!$E$31=1</xm:f>
            <x14:dxf>
              <fill>
                <patternFill>
                  <bgColor theme="1"/>
                </patternFill>
              </fill>
            </x14:dxf>
          </x14:cfRule>
          <xm:sqref>B44</xm:sqref>
        </x14:conditionalFormatting>
        <x14:conditionalFormatting xmlns:xm="http://schemas.microsoft.com/office/excel/2006/main">
          <x14:cfRule type="expression" priority="4" id="{7CDA8D81-7D6E-418C-8A96-996DE2A88750}">
            <xm:f>'классы ЭЭ и выбросы ПГ'!$D$32=1</xm:f>
            <x14:dxf>
              <fill>
                <patternFill>
                  <bgColor theme="0" tint="-0.14996795556505021"/>
                </patternFill>
              </fill>
            </x14:dxf>
          </x14:cfRule>
          <x14:cfRule type="expression" priority="13" id="{B8103A05-FEAB-490A-BCA3-6F55E3726EFA}">
            <xm:f>'классы ЭЭ и выбросы ПГ'!$E$32=1</xm:f>
            <x14:dxf>
              <fill>
                <patternFill>
                  <bgColor theme="1"/>
                </patternFill>
              </fill>
            </x14:dxf>
          </x14:cfRule>
          <xm:sqref>B45</xm:sqref>
        </x14:conditionalFormatting>
        <x14:conditionalFormatting xmlns:xm="http://schemas.microsoft.com/office/excel/2006/main">
          <x14:cfRule type="expression" priority="3" id="{208DC700-3EB1-4E55-BEA6-4D85CC432D78}">
            <xm:f>'классы ЭЭ и выбросы ПГ'!$D$33=1</xm:f>
            <x14:dxf>
              <fill>
                <patternFill>
                  <bgColor theme="0" tint="-0.14996795556505021"/>
                </patternFill>
              </fill>
            </x14:dxf>
          </x14:cfRule>
          <x14:cfRule type="expression" priority="12" id="{7BE696A6-279C-4CDD-BAEE-63E641CA3638}">
            <xm:f>'классы ЭЭ и выбросы ПГ'!$E$33=1</xm:f>
            <x14:dxf>
              <fill>
                <patternFill>
                  <bgColor theme="1"/>
                </patternFill>
              </fill>
            </x14:dxf>
          </x14:cfRule>
          <xm:sqref>B46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7030A0"/>
    <pageSetUpPr fitToPage="1"/>
  </sheetPr>
  <dimension ref="A1:AC217"/>
  <sheetViews>
    <sheetView zoomScale="90" zoomScaleNormal="90" zoomScaleSheetLayoutView="85" workbookViewId="0">
      <pane ySplit="1" topLeftCell="A2" activePane="bottomLeft" state="frozen"/>
      <selection pane="bottomLeft" activeCell="M7" sqref="M7:O7"/>
    </sheetView>
  </sheetViews>
  <sheetFormatPr defaultColWidth="0" defaultRowHeight="15" zeroHeight="1" x14ac:dyDescent="0.25"/>
  <cols>
    <col min="1" max="1" width="2.7109375" style="1539" customWidth="1"/>
    <col min="2" max="2" width="5" style="1689" customWidth="1"/>
    <col min="3" max="3" width="28.5703125" style="1690" customWidth="1"/>
    <col min="4" max="4" width="14.28515625" style="1691" customWidth="1"/>
    <col min="5" max="6" width="14.28515625" style="1689" customWidth="1"/>
    <col min="7" max="7" width="14.28515625" style="1691" customWidth="1"/>
    <col min="8" max="15" width="14.28515625" style="1539" customWidth="1"/>
    <col min="16" max="16" width="9.140625" style="1539" customWidth="1"/>
    <col min="17" max="29" width="0" style="1539" hidden="1" customWidth="1"/>
    <col min="30" max="16384" width="9.140625" style="1539" hidden="1"/>
  </cols>
  <sheetData>
    <row r="1" spans="1:29" s="1713" customFormat="1" ht="15" customHeight="1" x14ac:dyDescent="0.2">
      <c r="A1" s="22"/>
      <c r="B1" s="2170" t="s">
        <v>1573</v>
      </c>
      <c r="C1" s="2170"/>
      <c r="D1" s="2170"/>
      <c r="E1" s="2170"/>
      <c r="F1" s="2294"/>
      <c r="G1" s="2294"/>
      <c r="H1" s="2294"/>
      <c r="I1" s="2294"/>
      <c r="J1" s="2294"/>
      <c r="K1" s="2170" t="s">
        <v>1571</v>
      </c>
      <c r="L1" s="2170"/>
      <c r="M1" s="2170"/>
      <c r="N1" s="2170"/>
      <c r="O1" s="2170"/>
      <c r="P1" s="1712"/>
      <c r="Q1" s="1712"/>
      <c r="U1" s="1712"/>
      <c r="V1" s="1712"/>
    </row>
    <row r="2" spans="1:29" x14ac:dyDescent="0.25">
      <c r="A2" s="1649"/>
      <c r="B2" s="1649"/>
      <c r="C2" s="1649"/>
      <c r="D2" s="1649"/>
      <c r="E2" s="1649"/>
      <c r="F2" s="1649"/>
      <c r="G2" s="1649"/>
      <c r="H2" s="1649"/>
      <c r="I2" s="1649"/>
      <c r="J2" s="1649"/>
      <c r="K2" s="1649"/>
      <c r="L2" s="1649"/>
      <c r="M2" s="1649"/>
      <c r="N2" s="1649"/>
      <c r="O2" s="1649"/>
      <c r="P2" s="1649"/>
      <c r="Q2" s="1649"/>
      <c r="R2" s="1649"/>
      <c r="S2" s="1649"/>
      <c r="T2" s="1649"/>
      <c r="U2" s="1649"/>
      <c r="V2" s="1649"/>
      <c r="W2" s="1649"/>
      <c r="X2" s="1649"/>
      <c r="Y2" s="1649"/>
      <c r="Z2" s="1649"/>
      <c r="AA2" s="1649"/>
      <c r="AB2" s="1649"/>
      <c r="AC2" s="1649"/>
    </row>
    <row r="3" spans="1:29" s="1684" customFormat="1" ht="110.25" customHeight="1" x14ac:dyDescent="0.25">
      <c r="A3" s="1649"/>
      <c r="B3" s="1671"/>
      <c r="C3" s="2382"/>
      <c r="D3" s="2382"/>
      <c r="E3" s="2382"/>
      <c r="F3" s="2382"/>
      <c r="G3" s="2382"/>
      <c r="H3" s="2382"/>
      <c r="I3" s="2382"/>
      <c r="J3" s="2382"/>
      <c r="K3" s="2382"/>
      <c r="L3" s="2383" t="s">
        <v>2352</v>
      </c>
      <c r="M3" s="2383"/>
      <c r="N3" s="2383"/>
      <c r="O3" s="2383"/>
      <c r="P3" s="1649"/>
      <c r="Q3" s="1649"/>
      <c r="R3" s="1649"/>
      <c r="S3" s="1649"/>
      <c r="T3" s="1649"/>
      <c r="U3" s="1649"/>
      <c r="V3" s="1649"/>
      <c r="W3" s="1649"/>
      <c r="X3" s="1649"/>
      <c r="Y3" s="1649"/>
      <c r="Z3" s="1649"/>
      <c r="AA3" s="1649"/>
      <c r="AB3" s="1649"/>
      <c r="AC3" s="1649"/>
    </row>
    <row r="4" spans="1:29" s="1684" customFormat="1" ht="31.5" customHeight="1" x14ac:dyDescent="0.25">
      <c r="A4" s="1649"/>
      <c r="B4" s="1650"/>
      <c r="C4" s="2384" t="s">
        <v>2169</v>
      </c>
      <c r="D4" s="2384"/>
      <c r="E4" s="2384"/>
      <c r="F4" s="2384"/>
      <c r="G4" s="2384"/>
      <c r="H4" s="2384"/>
      <c r="I4" s="2384"/>
      <c r="J4" s="2384"/>
      <c r="K4" s="2384"/>
      <c r="L4" s="2385"/>
      <c r="M4" s="2385"/>
      <c r="N4" s="2385"/>
      <c r="O4" s="2385"/>
      <c r="P4" s="1649"/>
      <c r="Q4" s="1649"/>
      <c r="R4" s="1649"/>
      <c r="S4" s="1649"/>
      <c r="T4" s="1649"/>
      <c r="U4" s="1649"/>
      <c r="V4" s="1649"/>
      <c r="W4" s="1649"/>
      <c r="X4" s="1649"/>
      <c r="Y4" s="1649"/>
      <c r="Z4" s="1649"/>
      <c r="AA4" s="1649"/>
      <c r="AB4" s="1649"/>
      <c r="AC4" s="1649"/>
    </row>
    <row r="5" spans="1:29" s="1684" customFormat="1" ht="31.5" customHeight="1" x14ac:dyDescent="0.25">
      <c r="A5" s="1649"/>
      <c r="B5" s="2386" t="s">
        <v>2170</v>
      </c>
      <c r="C5" s="2387"/>
      <c r="D5" s="2387"/>
      <c r="E5" s="2387"/>
      <c r="F5" s="2387"/>
      <c r="G5" s="2387"/>
      <c r="H5" s="2387"/>
      <c r="I5" s="2387"/>
      <c r="J5" s="2387"/>
      <c r="K5" s="2387"/>
      <c r="L5" s="2387"/>
      <c r="M5" s="2387"/>
      <c r="N5" s="2387"/>
      <c r="O5" s="2388"/>
      <c r="P5" s="1649"/>
      <c r="Q5" s="1649"/>
      <c r="R5" s="1649"/>
      <c r="S5" s="1649"/>
      <c r="T5" s="1649"/>
      <c r="U5" s="1649"/>
      <c r="V5" s="1649"/>
      <c r="W5" s="1649"/>
      <c r="X5" s="1649"/>
      <c r="Y5" s="1649"/>
      <c r="Z5" s="1649"/>
      <c r="AA5" s="1649"/>
      <c r="AB5" s="1649"/>
      <c r="AC5" s="1649"/>
    </row>
    <row r="6" spans="1:29" s="1684" customFormat="1" ht="31.5" customHeight="1" x14ac:dyDescent="0.25">
      <c r="A6" s="1649"/>
      <c r="B6" s="1670" t="s">
        <v>2152</v>
      </c>
      <c r="C6" s="2345" t="s">
        <v>829</v>
      </c>
      <c r="D6" s="2345"/>
      <c r="E6" s="2345"/>
      <c r="F6" s="2345"/>
      <c r="G6" s="2345"/>
      <c r="H6" s="2345"/>
      <c r="I6" s="2345"/>
      <c r="J6" s="2345"/>
      <c r="K6" s="2345"/>
      <c r="L6" s="1670" t="s">
        <v>2171</v>
      </c>
      <c r="M6" s="2349" t="s">
        <v>862</v>
      </c>
      <c r="N6" s="2350"/>
      <c r="O6" s="2351"/>
      <c r="P6" s="1649"/>
      <c r="Q6" s="1649"/>
      <c r="R6" s="1649"/>
      <c r="S6" s="1649"/>
      <c r="T6" s="1649"/>
      <c r="U6" s="1649"/>
      <c r="V6" s="1649"/>
      <c r="W6" s="1649"/>
      <c r="X6" s="1649"/>
      <c r="Y6" s="1649"/>
      <c r="Z6" s="1649"/>
      <c r="AA6" s="1649"/>
      <c r="AB6" s="1649"/>
      <c r="AC6" s="1649"/>
    </row>
    <row r="7" spans="1:29" x14ac:dyDescent="0.25">
      <c r="A7" s="264"/>
      <c r="B7" s="1666">
        <v>1</v>
      </c>
      <c r="C7" s="2298" t="s">
        <v>1711</v>
      </c>
      <c r="D7" s="2298"/>
      <c r="E7" s="2298"/>
      <c r="F7" s="2298"/>
      <c r="G7" s="2298"/>
      <c r="H7" s="2298"/>
      <c r="I7" s="2298"/>
      <c r="J7" s="2298"/>
      <c r="K7" s="2298"/>
      <c r="L7" s="1666" t="s">
        <v>746</v>
      </c>
      <c r="M7" s="2373" t="str">
        <f>IF(OR(ISBLANK('Ввод исходных данных'!$D$9),ISBLANK('Ввод исходных данных'!$D$11)),"-",'Ввод исходных данных'!$D$11&amp;", "&amp;'Ввод исходных данных'!$D$9)</f>
        <v>-</v>
      </c>
      <c r="N7" s="2374"/>
      <c r="O7" s="2375"/>
      <c r="P7" s="264"/>
      <c r="Q7" s="264"/>
      <c r="R7" s="264"/>
      <c r="S7" s="264"/>
      <c r="T7" s="264"/>
      <c r="U7" s="264"/>
      <c r="V7" s="264"/>
      <c r="W7" s="264"/>
      <c r="X7" s="264"/>
      <c r="Y7" s="264"/>
      <c r="Z7" s="264"/>
      <c r="AA7" s="264"/>
      <c r="AB7" s="264"/>
      <c r="AC7" s="264"/>
    </row>
    <row r="8" spans="1:29" x14ac:dyDescent="0.25">
      <c r="A8" s="264"/>
      <c r="B8" s="1669">
        <v>2</v>
      </c>
      <c r="C8" s="2298" t="s">
        <v>805</v>
      </c>
      <c r="D8" s="2298"/>
      <c r="E8" s="2298"/>
      <c r="F8" s="2298"/>
      <c r="G8" s="2298"/>
      <c r="H8" s="2298"/>
      <c r="I8" s="2298"/>
      <c r="J8" s="2298"/>
      <c r="K8" s="2298"/>
      <c r="L8" s="1669" t="s">
        <v>746</v>
      </c>
      <c r="M8" s="2373" t="str">
        <f>IF(ISBLANK('Ввод исходных данных'!$D$12),"-",'Ввод исходных данных'!$D$12)</f>
        <v>-</v>
      </c>
      <c r="N8" s="2374"/>
      <c r="O8" s="2375"/>
      <c r="P8" s="264"/>
      <c r="Q8" s="264"/>
      <c r="R8" s="264"/>
      <c r="S8" s="264"/>
      <c r="T8" s="264"/>
      <c r="U8" s="264"/>
      <c r="V8" s="264"/>
      <c r="W8" s="264"/>
      <c r="X8" s="264"/>
      <c r="Y8" s="264"/>
      <c r="Z8" s="264"/>
      <c r="AA8" s="264"/>
      <c r="AB8" s="264"/>
      <c r="AC8" s="264"/>
    </row>
    <row r="9" spans="1:29" ht="14.25" customHeight="1" x14ac:dyDescent="0.25">
      <c r="A9" s="264"/>
      <c r="B9" s="1669">
        <v>3</v>
      </c>
      <c r="C9" s="2298" t="s">
        <v>2172</v>
      </c>
      <c r="D9" s="2298"/>
      <c r="E9" s="2298"/>
      <c r="F9" s="2298"/>
      <c r="G9" s="2298"/>
      <c r="H9" s="2298"/>
      <c r="I9" s="2298"/>
      <c r="J9" s="2298"/>
      <c r="K9" s="2298"/>
      <c r="L9" s="1669" t="s">
        <v>746</v>
      </c>
      <c r="M9" s="2373" t="str">
        <f>IF(ISBLANK('Ввод исходных данных'!$D$13),"-",'Ввод исходных данных'!$D$13)</f>
        <v>Пожалуйста, выберите</v>
      </c>
      <c r="N9" s="2374"/>
      <c r="O9" s="2375"/>
      <c r="P9" s="264"/>
      <c r="Q9" s="264"/>
      <c r="R9" s="264"/>
      <c r="S9" s="264"/>
      <c r="T9" s="264"/>
      <c r="U9" s="264"/>
      <c r="V9" s="264"/>
      <c r="W9" s="264"/>
      <c r="X9" s="264"/>
      <c r="Y9" s="264"/>
      <c r="Z9" s="264"/>
      <c r="AA9" s="264"/>
      <c r="AB9" s="264"/>
      <c r="AC9" s="264"/>
    </row>
    <row r="10" spans="1:29" x14ac:dyDescent="0.25">
      <c r="A10" s="264"/>
      <c r="B10" s="1669">
        <v>4</v>
      </c>
      <c r="C10" s="2298" t="s">
        <v>756</v>
      </c>
      <c r="D10" s="2298"/>
      <c r="E10" s="2298"/>
      <c r="F10" s="2298"/>
      <c r="G10" s="2298"/>
      <c r="H10" s="2298"/>
      <c r="I10" s="2298"/>
      <c r="J10" s="2298"/>
      <c r="K10" s="2298"/>
      <c r="L10" s="1669" t="s">
        <v>746</v>
      </c>
      <c r="M10" s="2373" t="str">
        <f>IF(ISBLANK('Ввод исходных данных'!$D$14),"-",'Ввод исходных данных'!$D$14)</f>
        <v>Нет в списке</v>
      </c>
      <c r="N10" s="2374"/>
      <c r="O10" s="2375"/>
      <c r="P10" s="264"/>
      <c r="Q10" s="264"/>
      <c r="R10" s="264"/>
      <c r="S10" s="264"/>
      <c r="T10" s="264"/>
      <c r="U10" s="264"/>
      <c r="V10" s="264"/>
      <c r="W10" s="264"/>
      <c r="X10" s="264"/>
      <c r="Y10" s="264"/>
      <c r="Z10" s="264"/>
      <c r="AA10" s="264"/>
      <c r="AB10" s="264"/>
      <c r="AC10" s="264"/>
    </row>
    <row r="11" spans="1:29" ht="15" customHeight="1" x14ac:dyDescent="0.25">
      <c r="A11" s="264"/>
      <c r="B11" s="1669">
        <v>5</v>
      </c>
      <c r="C11" s="2298" t="s">
        <v>1151</v>
      </c>
      <c r="D11" s="2298"/>
      <c r="E11" s="2298"/>
      <c r="F11" s="2298"/>
      <c r="G11" s="2298"/>
      <c r="H11" s="2298"/>
      <c r="I11" s="2298"/>
      <c r="J11" s="2298"/>
      <c r="K11" s="2298"/>
      <c r="L11" s="1669" t="s">
        <v>746</v>
      </c>
      <c r="M11" s="2373" t="str">
        <f>IF(ISBLANK('Ввод исходных данных'!$D$16),"-",'Ввод исходных данных'!$D$16)</f>
        <v>железобетонная панель</v>
      </c>
      <c r="N11" s="2374"/>
      <c r="O11" s="2375"/>
      <c r="P11" s="264"/>
      <c r="Q11" s="264"/>
      <c r="R11" s="264"/>
      <c r="S11" s="264"/>
      <c r="T11" s="264"/>
      <c r="U11" s="264"/>
      <c r="V11" s="264"/>
      <c r="W11" s="264"/>
      <c r="X11" s="264"/>
      <c r="Y11" s="264"/>
      <c r="Z11" s="264"/>
      <c r="AA11" s="264"/>
      <c r="AB11" s="264"/>
      <c r="AC11" s="264"/>
    </row>
    <row r="12" spans="1:29" ht="15" customHeight="1" x14ac:dyDescent="0.25">
      <c r="A12" s="264"/>
      <c r="B12" s="1669">
        <v>6</v>
      </c>
      <c r="C12" s="2335" t="s">
        <v>2173</v>
      </c>
      <c r="D12" s="2335"/>
      <c r="E12" s="2335"/>
      <c r="F12" s="2335"/>
      <c r="G12" s="2335"/>
      <c r="H12" s="2335"/>
      <c r="I12" s="2335"/>
      <c r="J12" s="2335"/>
      <c r="K12" s="2335"/>
      <c r="L12" s="1685" t="s">
        <v>1771</v>
      </c>
      <c r="M12" s="2373" t="str">
        <f>IF(ISBLANK('Ввод исходных данных'!$D$17),"-",'Ввод исходных данных'!$D$17)</f>
        <v>-</v>
      </c>
      <c r="N12" s="2374"/>
      <c r="O12" s="2375"/>
      <c r="P12" s="264"/>
      <c r="Q12" s="264"/>
      <c r="R12" s="264"/>
      <c r="S12" s="264"/>
      <c r="T12" s="264"/>
      <c r="U12" s="264"/>
      <c r="V12" s="264"/>
      <c r="W12" s="264"/>
      <c r="X12" s="264"/>
      <c r="Y12" s="264"/>
      <c r="Z12" s="264"/>
      <c r="AA12" s="264"/>
      <c r="AB12" s="264"/>
      <c r="AC12" s="264"/>
    </row>
    <row r="13" spans="1:29" ht="15" customHeight="1" x14ac:dyDescent="0.25">
      <c r="A13" s="264"/>
      <c r="B13" s="1669">
        <v>7</v>
      </c>
      <c r="C13" s="2298" t="s">
        <v>2174</v>
      </c>
      <c r="D13" s="2298"/>
      <c r="E13" s="2335" t="s">
        <v>2175</v>
      </c>
      <c r="F13" s="2335"/>
      <c r="G13" s="2335"/>
      <c r="H13" s="2335"/>
      <c r="I13" s="2335"/>
      <c r="J13" s="2335"/>
      <c r="K13" s="2335"/>
      <c r="L13" s="1685" t="s">
        <v>1771</v>
      </c>
      <c r="M13" s="2373" t="str">
        <f>IF(ISBLANK('Ввод исходных данных'!$D$19),"-",'Ввод исходных данных'!$D$19)</f>
        <v>-</v>
      </c>
      <c r="N13" s="2374"/>
      <c r="O13" s="2375"/>
      <c r="P13" s="264"/>
      <c r="Q13" s="264"/>
      <c r="R13" s="264"/>
      <c r="S13" s="264"/>
      <c r="T13" s="264"/>
      <c r="U13" s="264"/>
      <c r="V13" s="264"/>
      <c r="W13" s="264"/>
      <c r="X13" s="264"/>
      <c r="Y13" s="264"/>
      <c r="Z13" s="264"/>
      <c r="AA13" s="264"/>
      <c r="AB13" s="264"/>
      <c r="AC13" s="264"/>
    </row>
    <row r="14" spans="1:29" ht="15" customHeight="1" x14ac:dyDescent="0.25">
      <c r="A14" s="264"/>
      <c r="B14" s="1669">
        <v>8</v>
      </c>
      <c r="C14" s="2298"/>
      <c r="D14" s="2298"/>
      <c r="E14" s="2298" t="s">
        <v>2176</v>
      </c>
      <c r="F14" s="2298"/>
      <c r="G14" s="2298"/>
      <c r="H14" s="2298"/>
      <c r="I14" s="2298"/>
      <c r="J14" s="2298"/>
      <c r="K14" s="2298"/>
      <c r="L14" s="1666" t="s">
        <v>2177</v>
      </c>
      <c r="M14" s="2373" t="str">
        <f>IF(списки!$C$40,"да","нет")</f>
        <v>нет</v>
      </c>
      <c r="N14" s="2374"/>
      <c r="O14" s="2375"/>
      <c r="P14" s="264"/>
      <c r="Q14" s="264"/>
      <c r="R14" s="264"/>
      <c r="S14" s="264"/>
      <c r="T14" s="264"/>
      <c r="U14" s="264"/>
      <c r="V14" s="264"/>
      <c r="W14" s="264"/>
      <c r="X14" s="264"/>
      <c r="Y14" s="264"/>
      <c r="Z14" s="264"/>
      <c r="AA14" s="264"/>
      <c r="AB14" s="264"/>
      <c r="AC14" s="264"/>
    </row>
    <row r="15" spans="1:29" x14ac:dyDescent="0.25">
      <c r="A15" s="264"/>
      <c r="B15" s="1669">
        <v>9</v>
      </c>
      <c r="C15" s="2298" t="s">
        <v>2178</v>
      </c>
      <c r="D15" s="2298"/>
      <c r="E15" s="2376" t="s">
        <v>1292</v>
      </c>
      <c r="F15" s="2376"/>
      <c r="G15" s="2376"/>
      <c r="H15" s="2376"/>
      <c r="I15" s="2376"/>
      <c r="J15" s="2376"/>
      <c r="K15" s="2376"/>
      <c r="L15" s="1685" t="s">
        <v>1771</v>
      </c>
      <c r="M15" s="2373" t="str">
        <f>IF(ISBLANK('Ввод исходных данных'!$D$20),"-",'Ввод исходных данных'!$D$20)</f>
        <v>-</v>
      </c>
      <c r="N15" s="2374"/>
      <c r="O15" s="2375"/>
      <c r="P15" s="264"/>
      <c r="Q15" s="264"/>
      <c r="R15" s="264"/>
      <c r="S15" s="264"/>
      <c r="T15" s="264"/>
      <c r="U15" s="264"/>
      <c r="V15" s="264"/>
      <c r="W15" s="264"/>
      <c r="X15" s="264"/>
      <c r="Y15" s="264"/>
      <c r="Z15" s="264"/>
      <c r="AA15" s="264"/>
      <c r="AB15" s="264"/>
      <c r="AC15" s="264"/>
    </row>
    <row r="16" spans="1:29" ht="15" customHeight="1" x14ac:dyDescent="0.25">
      <c r="A16" s="264"/>
      <c r="B16" s="1669">
        <v>10</v>
      </c>
      <c r="C16" s="2298"/>
      <c r="D16" s="2298"/>
      <c r="E16" s="2348" t="s">
        <v>2179</v>
      </c>
      <c r="F16" s="2348"/>
      <c r="G16" s="2348"/>
      <c r="H16" s="2348"/>
      <c r="I16" s="2348"/>
      <c r="J16" s="2348"/>
      <c r="K16" s="2348"/>
      <c r="L16" s="1685" t="s">
        <v>1771</v>
      </c>
      <c r="M16" s="2373" t="str">
        <f>IF(ISBLANK('Ввод исходных данных'!$D$21),"-",'Ввод исходных данных'!$D$21)</f>
        <v>-</v>
      </c>
      <c r="N16" s="2374"/>
      <c r="O16" s="2375"/>
      <c r="P16" s="264"/>
      <c r="Q16" s="264"/>
      <c r="R16" s="264"/>
      <c r="S16" s="264"/>
      <c r="T16" s="264"/>
      <c r="U16" s="264"/>
      <c r="V16" s="264"/>
      <c r="W16" s="264"/>
      <c r="X16" s="264"/>
      <c r="Y16" s="264"/>
      <c r="Z16" s="264"/>
      <c r="AA16" s="264"/>
      <c r="AB16" s="264"/>
      <c r="AC16" s="264"/>
    </row>
    <row r="17" spans="1:29" ht="15" customHeight="1" x14ac:dyDescent="0.25">
      <c r="A17" s="264"/>
      <c r="B17" s="1669">
        <v>11</v>
      </c>
      <c r="C17" s="2298" t="s">
        <v>2180</v>
      </c>
      <c r="D17" s="2298"/>
      <c r="E17" s="2298"/>
      <c r="F17" s="2298"/>
      <c r="G17" s="2298"/>
      <c r="H17" s="2298"/>
      <c r="I17" s="2298"/>
      <c r="J17" s="2298"/>
      <c r="K17" s="2298"/>
      <c r="L17" s="1669" t="s">
        <v>2181</v>
      </c>
      <c r="M17" s="2373" t="str">
        <f>IF(ISBLANK('Ввод исходных данных'!$D$22),"-",'Ввод исходных данных'!$D$22)</f>
        <v>-</v>
      </c>
      <c r="N17" s="2374"/>
      <c r="O17" s="2375"/>
      <c r="P17" s="264"/>
      <c r="Q17" s="264"/>
      <c r="R17" s="264"/>
      <c r="S17" s="264"/>
      <c r="T17" s="264"/>
      <c r="U17" s="264"/>
      <c r="V17" s="264"/>
      <c r="W17" s="264"/>
      <c r="X17" s="264"/>
      <c r="Y17" s="264"/>
      <c r="Z17" s="264"/>
      <c r="AA17" s="264"/>
      <c r="AB17" s="264"/>
      <c r="AC17" s="264"/>
    </row>
    <row r="18" spans="1:29" x14ac:dyDescent="0.25">
      <c r="A18" s="264"/>
      <c r="B18" s="1669">
        <v>12</v>
      </c>
      <c r="C18" s="2335" t="s">
        <v>2182</v>
      </c>
      <c r="D18" s="2335"/>
      <c r="E18" s="2335" t="s">
        <v>1292</v>
      </c>
      <c r="F18" s="2335"/>
      <c r="G18" s="2335"/>
      <c r="H18" s="2335"/>
      <c r="I18" s="2335"/>
      <c r="J18" s="2335"/>
      <c r="K18" s="2335"/>
      <c r="L18" s="1685" t="s">
        <v>2183</v>
      </c>
      <c r="M18" s="2373" t="str">
        <f>IF(ISBLANK('Ввод исходных данных'!$D$23),"-",'Ввод исходных данных'!$D$23)</f>
        <v>-</v>
      </c>
      <c r="N18" s="2374"/>
      <c r="O18" s="2375"/>
      <c r="P18" s="264"/>
      <c r="Q18" s="264"/>
      <c r="R18" s="264"/>
      <c r="S18" s="264"/>
      <c r="T18" s="264"/>
      <c r="U18" s="264"/>
      <c r="V18" s="264"/>
      <c r="W18" s="264"/>
      <c r="X18" s="264"/>
      <c r="Y18" s="264"/>
      <c r="Z18" s="264"/>
      <c r="AA18" s="264"/>
      <c r="AB18" s="264"/>
      <c r="AC18" s="264"/>
    </row>
    <row r="19" spans="1:29" ht="15" customHeight="1" x14ac:dyDescent="0.25">
      <c r="A19" s="264"/>
      <c r="B19" s="1669">
        <v>13</v>
      </c>
      <c r="C19" s="2335"/>
      <c r="D19" s="2335"/>
      <c r="E19" s="2381" t="s">
        <v>2184</v>
      </c>
      <c r="F19" s="2381"/>
      <c r="G19" s="2381"/>
      <c r="H19" s="2381"/>
      <c r="I19" s="2381"/>
      <c r="J19" s="2381"/>
      <c r="K19" s="2381"/>
      <c r="L19" s="1666" t="s">
        <v>2183</v>
      </c>
      <c r="M19" s="2373" t="str">
        <f>IF(ISBLANK('Ввод исходных данных'!$D$24),"-",'Ввод исходных данных'!$D$24)</f>
        <v>-</v>
      </c>
      <c r="N19" s="2374"/>
      <c r="O19" s="2375"/>
      <c r="P19" s="264"/>
      <c r="Q19" s="264"/>
      <c r="R19" s="264"/>
      <c r="S19" s="264"/>
      <c r="T19" s="264"/>
      <c r="U19" s="264"/>
      <c r="V19" s="264"/>
      <c r="W19" s="264"/>
      <c r="X19" s="264"/>
      <c r="Y19" s="264"/>
      <c r="Z19" s="264"/>
      <c r="AA19" s="264"/>
      <c r="AB19" s="264"/>
      <c r="AC19" s="264"/>
    </row>
    <row r="20" spans="1:29" ht="15" customHeight="1" x14ac:dyDescent="0.25">
      <c r="A20" s="264"/>
      <c r="B20" s="1669">
        <v>14</v>
      </c>
      <c r="C20" s="2335"/>
      <c r="D20" s="2335"/>
      <c r="E20" s="2381" t="s">
        <v>2185</v>
      </c>
      <c r="F20" s="2381"/>
      <c r="G20" s="2381"/>
      <c r="H20" s="2381"/>
      <c r="I20" s="2381"/>
      <c r="J20" s="2381"/>
      <c r="K20" s="2381"/>
      <c r="L20" s="1666" t="s">
        <v>2183</v>
      </c>
      <c r="M20" s="2373" t="str">
        <f>IF(ISBLANK('Ввод исходных данных'!$D$25),"-",'Ввод исходных данных'!$D$25)</f>
        <v>-</v>
      </c>
      <c r="N20" s="2374"/>
      <c r="O20" s="2375"/>
      <c r="P20" s="264"/>
      <c r="Q20" s="264"/>
      <c r="R20" s="264"/>
      <c r="S20" s="264"/>
      <c r="T20" s="264"/>
      <c r="U20" s="264"/>
      <c r="V20" s="264"/>
      <c r="W20" s="264"/>
      <c r="X20" s="264"/>
      <c r="Y20" s="264"/>
      <c r="Z20" s="264"/>
      <c r="AA20" s="264"/>
      <c r="AB20" s="264"/>
      <c r="AC20" s="264"/>
    </row>
    <row r="21" spans="1:29" ht="15" customHeight="1" x14ac:dyDescent="0.25">
      <c r="A21" s="264"/>
      <c r="B21" s="1669">
        <v>15</v>
      </c>
      <c r="C21" s="2335"/>
      <c r="D21" s="2335"/>
      <c r="E21" s="2381" t="s">
        <v>2186</v>
      </c>
      <c r="F21" s="2381"/>
      <c r="G21" s="2381"/>
      <c r="H21" s="2381"/>
      <c r="I21" s="2381"/>
      <c r="J21" s="2381"/>
      <c r="K21" s="2381"/>
      <c r="L21" s="1666" t="s">
        <v>2183</v>
      </c>
      <c r="M21" s="2373" t="str">
        <f>IF(ISBLANK('Ввод исходных данных'!$D$26),"-",'Ввод исходных данных'!$D$26)</f>
        <v>-</v>
      </c>
      <c r="N21" s="2374"/>
      <c r="O21" s="2375"/>
      <c r="P21" s="264"/>
      <c r="Q21" s="264"/>
      <c r="R21" s="264"/>
      <c r="S21" s="264"/>
      <c r="T21" s="264"/>
      <c r="U21" s="264"/>
      <c r="V21" s="264"/>
      <c r="W21" s="264"/>
      <c r="X21" s="264"/>
      <c r="Y21" s="264"/>
      <c r="Z21" s="264"/>
      <c r="AA21" s="264"/>
      <c r="AB21" s="264"/>
      <c r="AC21" s="264"/>
    </row>
    <row r="22" spans="1:29" x14ac:dyDescent="0.25">
      <c r="A22" s="264"/>
      <c r="B22" s="1669">
        <v>16</v>
      </c>
      <c r="C22" s="2298" t="s">
        <v>519</v>
      </c>
      <c r="D22" s="2298"/>
      <c r="E22" s="2376" t="s">
        <v>2187</v>
      </c>
      <c r="F22" s="2376"/>
      <c r="G22" s="2376"/>
      <c r="H22" s="2376"/>
      <c r="I22" s="2376"/>
      <c r="J22" s="2376"/>
      <c r="K22" s="2376"/>
      <c r="L22" s="1666" t="s">
        <v>2177</v>
      </c>
      <c r="M22" s="2378" t="str">
        <f>IF(списки!$C$31,"да","нет")</f>
        <v>нет</v>
      </c>
      <c r="N22" s="2379"/>
      <c r="O22" s="2380"/>
      <c r="P22" s="264"/>
      <c r="Q22" s="264"/>
      <c r="R22" s="264"/>
      <c r="S22" s="264"/>
      <c r="T22" s="264"/>
      <c r="U22" s="264"/>
      <c r="V22" s="264"/>
      <c r="W22" s="264"/>
      <c r="X22" s="264"/>
      <c r="Y22" s="264"/>
      <c r="Z22" s="264"/>
      <c r="AA22" s="264"/>
      <c r="AB22" s="264"/>
      <c r="AC22" s="264"/>
    </row>
    <row r="23" spans="1:29" x14ac:dyDescent="0.25">
      <c r="A23" s="264"/>
      <c r="B23" s="1669">
        <v>17</v>
      </c>
      <c r="C23" s="2298"/>
      <c r="D23" s="2298"/>
      <c r="E23" s="2376" t="s">
        <v>2188</v>
      </c>
      <c r="F23" s="2376"/>
      <c r="G23" s="2376"/>
      <c r="H23" s="2376"/>
      <c r="I23" s="2376"/>
      <c r="J23" s="2376"/>
      <c r="K23" s="2376"/>
      <c r="L23" s="1666" t="s">
        <v>2177</v>
      </c>
      <c r="M23" s="2378" t="str">
        <f>IF(списки!$C$32,"да","нет")</f>
        <v>нет</v>
      </c>
      <c r="N23" s="2379"/>
      <c r="O23" s="2380"/>
      <c r="P23" s="264"/>
      <c r="Q23" s="264"/>
      <c r="R23" s="264"/>
      <c r="S23" s="264"/>
      <c r="T23" s="264"/>
      <c r="U23" s="264"/>
      <c r="V23" s="264"/>
      <c r="W23" s="264"/>
      <c r="X23" s="264"/>
      <c r="Y23" s="264"/>
      <c r="Z23" s="264"/>
      <c r="AA23" s="264"/>
      <c r="AB23" s="264"/>
      <c r="AC23" s="264"/>
    </row>
    <row r="24" spans="1:29" x14ac:dyDescent="0.25">
      <c r="A24" s="264"/>
      <c r="B24" s="1669">
        <v>18</v>
      </c>
      <c r="C24" s="2335" t="s">
        <v>757</v>
      </c>
      <c r="D24" s="2335"/>
      <c r="E24" s="2376" t="s">
        <v>2187</v>
      </c>
      <c r="F24" s="2376"/>
      <c r="G24" s="2376"/>
      <c r="H24" s="2376"/>
      <c r="I24" s="2376"/>
      <c r="J24" s="2376"/>
      <c r="K24" s="2376"/>
      <c r="L24" s="1666" t="s">
        <v>2177</v>
      </c>
      <c r="M24" s="2357" t="str">
        <f>IF(списки!$C$33,"да","нет")</f>
        <v>нет</v>
      </c>
      <c r="N24" s="2358"/>
      <c r="O24" s="2359"/>
      <c r="P24" s="264"/>
      <c r="Q24" s="264"/>
      <c r="R24" s="264"/>
      <c r="S24" s="264"/>
      <c r="T24" s="264"/>
      <c r="U24" s="264"/>
      <c r="V24" s="264"/>
      <c r="W24" s="264"/>
      <c r="X24" s="264"/>
      <c r="Y24" s="264"/>
      <c r="Z24" s="264"/>
      <c r="AA24" s="264"/>
      <c r="AB24" s="264"/>
      <c r="AC24" s="264"/>
    </row>
    <row r="25" spans="1:29" x14ac:dyDescent="0.25">
      <c r="A25" s="264"/>
      <c r="B25" s="1669">
        <v>19</v>
      </c>
      <c r="C25" s="2335"/>
      <c r="D25" s="2335"/>
      <c r="E25" s="2376" t="s">
        <v>2189</v>
      </c>
      <c r="F25" s="2376"/>
      <c r="G25" s="2376"/>
      <c r="H25" s="2376"/>
      <c r="I25" s="2376"/>
      <c r="J25" s="2376"/>
      <c r="K25" s="2376"/>
      <c r="L25" s="1666" t="s">
        <v>2177</v>
      </c>
      <c r="M25" s="2357" t="str">
        <f>IF(списки!$C$34,"да","нет")</f>
        <v>нет</v>
      </c>
      <c r="N25" s="2358"/>
      <c r="O25" s="2359"/>
      <c r="P25" s="264"/>
      <c r="Q25" s="264"/>
      <c r="R25" s="264"/>
      <c r="S25" s="264"/>
      <c r="T25" s="264"/>
      <c r="U25" s="264"/>
      <c r="V25" s="264"/>
      <c r="W25" s="264"/>
      <c r="X25" s="264"/>
      <c r="Y25" s="264"/>
      <c r="Z25" s="264"/>
      <c r="AA25" s="264"/>
      <c r="AB25" s="264"/>
      <c r="AC25" s="264"/>
    </row>
    <row r="26" spans="1:29" x14ac:dyDescent="0.25">
      <c r="A26" s="264"/>
      <c r="B26" s="1669">
        <v>20</v>
      </c>
      <c r="C26" s="2335" t="s">
        <v>2190</v>
      </c>
      <c r="D26" s="2335"/>
      <c r="E26" s="2376" t="s">
        <v>2191</v>
      </c>
      <c r="F26" s="2376"/>
      <c r="G26" s="2376"/>
      <c r="H26" s="2376"/>
      <c r="I26" s="2376"/>
      <c r="J26" s="2376"/>
      <c r="K26" s="2376"/>
      <c r="L26" s="1666" t="s">
        <v>2177</v>
      </c>
      <c r="M26" s="2357" t="str">
        <f>IF(списки!$C$35,"да","нет")</f>
        <v>нет</v>
      </c>
      <c r="N26" s="2358"/>
      <c r="O26" s="2359"/>
      <c r="P26" s="264"/>
      <c r="Q26" s="264"/>
      <c r="R26" s="264"/>
      <c r="S26" s="264"/>
      <c r="T26" s="264"/>
      <c r="U26" s="264"/>
      <c r="V26" s="264"/>
      <c r="W26" s="264"/>
      <c r="X26" s="264"/>
      <c r="Y26" s="264"/>
      <c r="Z26" s="264"/>
      <c r="AA26" s="264"/>
      <c r="AB26" s="264"/>
      <c r="AC26" s="264"/>
    </row>
    <row r="27" spans="1:29" x14ac:dyDescent="0.25">
      <c r="A27" s="264"/>
      <c r="B27" s="1669">
        <v>21</v>
      </c>
      <c r="C27" s="2335"/>
      <c r="D27" s="2335"/>
      <c r="E27" s="2376" t="s">
        <v>2192</v>
      </c>
      <c r="F27" s="2376"/>
      <c r="G27" s="2376"/>
      <c r="H27" s="2376"/>
      <c r="I27" s="2376"/>
      <c r="J27" s="2376"/>
      <c r="K27" s="2376"/>
      <c r="L27" s="1666" t="s">
        <v>2177</v>
      </c>
      <c r="M27" s="2357" t="str">
        <f>IF(списки!$C$36,"да","нет")</f>
        <v>нет</v>
      </c>
      <c r="N27" s="2358"/>
      <c r="O27" s="2359"/>
      <c r="P27" s="264"/>
      <c r="Q27" s="264"/>
      <c r="R27" s="264"/>
      <c r="S27" s="264"/>
      <c r="T27" s="264"/>
      <c r="U27" s="264"/>
      <c r="V27" s="264"/>
      <c r="W27" s="264"/>
      <c r="X27" s="264"/>
      <c r="Y27" s="264"/>
      <c r="Z27" s="264"/>
      <c r="AA27" s="264"/>
      <c r="AB27" s="264"/>
      <c r="AC27" s="264"/>
    </row>
    <row r="28" spans="1:29" x14ac:dyDescent="0.25">
      <c r="A28" s="264"/>
      <c r="B28" s="1669">
        <v>22</v>
      </c>
      <c r="C28" s="2335"/>
      <c r="D28" s="2335"/>
      <c r="E28" s="2376" t="s">
        <v>2193</v>
      </c>
      <c r="F28" s="2376"/>
      <c r="G28" s="2376"/>
      <c r="H28" s="2376"/>
      <c r="I28" s="2376"/>
      <c r="J28" s="2376"/>
      <c r="K28" s="2376"/>
      <c r="L28" s="1666" t="s">
        <v>2177</v>
      </c>
      <c r="M28" s="2357" t="str">
        <f>IF(списки!$C$37,"да","нет")</f>
        <v>да</v>
      </c>
      <c r="N28" s="2358"/>
      <c r="O28" s="2359"/>
      <c r="P28" s="264"/>
      <c r="Q28" s="264"/>
      <c r="R28" s="264"/>
      <c r="S28" s="264"/>
      <c r="T28" s="264"/>
      <c r="U28" s="264"/>
      <c r="V28" s="264"/>
      <c r="W28" s="264"/>
      <c r="X28" s="264"/>
      <c r="Y28" s="264"/>
      <c r="Z28" s="264"/>
      <c r="AA28" s="264"/>
      <c r="AB28" s="264"/>
      <c r="AC28" s="264"/>
    </row>
    <row r="29" spans="1:29" x14ac:dyDescent="0.25">
      <c r="A29" s="264"/>
      <c r="B29" s="1669">
        <v>23</v>
      </c>
      <c r="C29" s="2335" t="s">
        <v>854</v>
      </c>
      <c r="D29" s="2335"/>
      <c r="E29" s="2376" t="s">
        <v>1292</v>
      </c>
      <c r="F29" s="2376"/>
      <c r="G29" s="2376"/>
      <c r="H29" s="2376"/>
      <c r="I29" s="2376"/>
      <c r="J29" s="2376"/>
      <c r="K29" s="2376"/>
      <c r="L29" s="1685" t="s">
        <v>1771</v>
      </c>
      <c r="M29" s="2373">
        <f>IF(ISBLANK('Ввод исходных данных'!$D$32),"-",'Ввод исходных данных'!$D$32)</f>
        <v>0</v>
      </c>
      <c r="N29" s="2374"/>
      <c r="O29" s="2375"/>
      <c r="P29" s="264"/>
      <c r="Q29" s="264"/>
      <c r="R29" s="264"/>
      <c r="S29" s="264"/>
      <c r="T29" s="264"/>
      <c r="U29" s="264"/>
      <c r="V29" s="264"/>
      <c r="W29" s="264"/>
      <c r="X29" s="264"/>
      <c r="Y29" s="264"/>
      <c r="Z29" s="264"/>
      <c r="AA29" s="264"/>
      <c r="AB29" s="264"/>
      <c r="AC29" s="264"/>
    </row>
    <row r="30" spans="1:29" x14ac:dyDescent="0.25">
      <c r="A30" s="264"/>
      <c r="B30" s="1669">
        <v>24</v>
      </c>
      <c r="C30" s="2335"/>
      <c r="D30" s="2335"/>
      <c r="E30" s="2377" t="s">
        <v>760</v>
      </c>
      <c r="F30" s="2377"/>
      <c r="G30" s="2377"/>
      <c r="H30" s="2377"/>
      <c r="I30" s="2377"/>
      <c r="J30" s="2377"/>
      <c r="K30" s="2377"/>
      <c r="L30" s="1685" t="s">
        <v>1771</v>
      </c>
      <c r="M30" s="2373" t="str">
        <f>IF(ISBLANK('Ввод исходных данных'!$D$33),"-",'Ввод исходных данных'!$D$33)</f>
        <v>-</v>
      </c>
      <c r="N30" s="2374"/>
      <c r="O30" s="2375"/>
      <c r="P30" s="264"/>
      <c r="Q30" s="264"/>
      <c r="R30" s="264"/>
      <c r="S30" s="264"/>
      <c r="T30" s="264"/>
      <c r="U30" s="264"/>
      <c r="V30" s="264"/>
      <c r="W30" s="264"/>
      <c r="X30" s="264"/>
      <c r="Y30" s="264"/>
      <c r="Z30" s="264"/>
      <c r="AA30" s="264"/>
      <c r="AB30" s="264"/>
      <c r="AC30" s="264"/>
    </row>
    <row r="31" spans="1:29" x14ac:dyDescent="0.25">
      <c r="A31" s="264"/>
      <c r="B31" s="1669">
        <v>25</v>
      </c>
      <c r="C31" s="2335"/>
      <c r="D31" s="2335"/>
      <c r="E31" s="2377" t="s">
        <v>761</v>
      </c>
      <c r="F31" s="2377"/>
      <c r="G31" s="2377"/>
      <c r="H31" s="2377"/>
      <c r="I31" s="2377"/>
      <c r="J31" s="2377"/>
      <c r="K31" s="2377"/>
      <c r="L31" s="1685" t="s">
        <v>1771</v>
      </c>
      <c r="M31" s="2373" t="str">
        <f>IF(ISBLANK('Ввод исходных данных'!$D$34),"-",'Ввод исходных данных'!$D$34)</f>
        <v>-</v>
      </c>
      <c r="N31" s="2374"/>
      <c r="O31" s="2375"/>
      <c r="P31" s="264"/>
      <c r="Q31" s="264"/>
      <c r="R31" s="264"/>
      <c r="S31" s="264"/>
      <c r="T31" s="264"/>
      <c r="U31" s="264"/>
      <c r="V31" s="264"/>
      <c r="W31" s="264"/>
      <c r="X31" s="264"/>
      <c r="Y31" s="264"/>
      <c r="Z31" s="264"/>
      <c r="AA31" s="264"/>
      <c r="AB31" s="264"/>
      <c r="AC31" s="264"/>
    </row>
    <row r="32" spans="1:29" x14ac:dyDescent="0.25">
      <c r="A32" s="264"/>
      <c r="B32" s="1669">
        <v>26</v>
      </c>
      <c r="C32" s="2335"/>
      <c r="D32" s="2335"/>
      <c r="E32" s="2377" t="s">
        <v>2194</v>
      </c>
      <c r="F32" s="2377"/>
      <c r="G32" s="2377"/>
      <c r="H32" s="2377"/>
      <c r="I32" s="2377"/>
      <c r="J32" s="2377"/>
      <c r="K32" s="2377"/>
      <c r="L32" s="1685" t="s">
        <v>1771</v>
      </c>
      <c r="M32" s="2373" t="str">
        <f>IF(ISBLANK('Ввод исходных данных'!$D$35),"-",'Ввод исходных данных'!$D$35)</f>
        <v>-</v>
      </c>
      <c r="N32" s="2374"/>
      <c r="O32" s="2375"/>
      <c r="P32" s="264"/>
      <c r="Q32" s="264"/>
      <c r="R32" s="264"/>
      <c r="S32" s="264"/>
      <c r="T32" s="264"/>
      <c r="U32" s="264"/>
      <c r="V32" s="264"/>
      <c r="W32" s="264"/>
      <c r="X32" s="264"/>
      <c r="Y32" s="264"/>
      <c r="Z32" s="264"/>
      <c r="AA32" s="264"/>
      <c r="AB32" s="264"/>
      <c r="AC32" s="264"/>
    </row>
    <row r="33" spans="1:29" x14ac:dyDescent="0.25">
      <c r="A33" s="264"/>
      <c r="B33" s="1669">
        <v>27</v>
      </c>
      <c r="C33" s="2335" t="s">
        <v>2195</v>
      </c>
      <c r="D33" s="2335"/>
      <c r="E33" s="2346" t="s">
        <v>2196</v>
      </c>
      <c r="F33" s="2346"/>
      <c r="G33" s="2346"/>
      <c r="H33" s="2346"/>
      <c r="I33" s="2346"/>
      <c r="J33" s="2346"/>
      <c r="K33" s="2346"/>
      <c r="L33" s="1685" t="s">
        <v>2177</v>
      </c>
      <c r="M33" s="2354" t="str">
        <f>IF(списки!$C$44,"да","нет")</f>
        <v>нет</v>
      </c>
      <c r="N33" s="2355"/>
      <c r="O33" s="2356"/>
      <c r="P33" s="264"/>
      <c r="Q33" s="264"/>
      <c r="R33" s="264"/>
      <c r="S33" s="264"/>
      <c r="T33" s="264"/>
      <c r="U33" s="264"/>
      <c r="V33" s="264"/>
      <c r="W33" s="264"/>
      <c r="X33" s="264"/>
      <c r="Y33" s="264"/>
      <c r="Z33" s="264"/>
      <c r="AA33" s="264"/>
      <c r="AB33" s="264"/>
      <c r="AC33" s="264"/>
    </row>
    <row r="34" spans="1:29" x14ac:dyDescent="0.25">
      <c r="A34" s="264"/>
      <c r="B34" s="1669">
        <v>28</v>
      </c>
      <c r="C34" s="2335"/>
      <c r="D34" s="2335"/>
      <c r="E34" s="2346" t="s">
        <v>2197</v>
      </c>
      <c r="F34" s="2346"/>
      <c r="G34" s="2346"/>
      <c r="H34" s="2346"/>
      <c r="I34" s="2346"/>
      <c r="J34" s="2346"/>
      <c r="K34" s="2346"/>
      <c r="L34" s="1685" t="s">
        <v>2177</v>
      </c>
      <c r="M34" s="2354" t="str">
        <f>IF(списки!$C$45,"да","нет")</f>
        <v>нет</v>
      </c>
      <c r="N34" s="2355"/>
      <c r="O34" s="2356"/>
      <c r="P34" s="264"/>
      <c r="Q34" s="264"/>
      <c r="R34" s="264"/>
      <c r="S34" s="264"/>
      <c r="T34" s="264"/>
      <c r="U34" s="264"/>
      <c r="V34" s="264"/>
      <c r="W34" s="264"/>
      <c r="X34" s="264"/>
      <c r="Y34" s="264"/>
      <c r="Z34" s="264"/>
      <c r="AA34" s="264"/>
      <c r="AB34" s="264"/>
      <c r="AC34" s="264"/>
    </row>
    <row r="35" spans="1:29" s="1686" customFormat="1" ht="30" customHeight="1" x14ac:dyDescent="0.25">
      <c r="A35" s="264"/>
      <c r="B35" s="2314" t="s">
        <v>2198</v>
      </c>
      <c r="C35" s="2314"/>
      <c r="D35" s="2314"/>
      <c r="E35" s="2314"/>
      <c r="F35" s="2314"/>
      <c r="G35" s="2314"/>
      <c r="H35" s="2314"/>
      <c r="I35" s="2314"/>
      <c r="J35" s="2314"/>
      <c r="K35" s="2314"/>
      <c r="L35" s="2314"/>
      <c r="M35" s="2314"/>
      <c r="N35" s="2314"/>
      <c r="O35" s="2314"/>
      <c r="P35" s="264"/>
      <c r="Q35" s="264"/>
      <c r="R35" s="264"/>
      <c r="S35" s="264"/>
      <c r="T35" s="264"/>
      <c r="U35" s="264"/>
      <c r="V35" s="264"/>
      <c r="W35" s="264"/>
      <c r="X35" s="264"/>
      <c r="Y35" s="264"/>
      <c r="Z35" s="264"/>
      <c r="AA35" s="264"/>
      <c r="AB35" s="264"/>
      <c r="AC35" s="264"/>
    </row>
    <row r="36" spans="1:29" s="1684" customFormat="1" ht="28.5" x14ac:dyDescent="0.25">
      <c r="A36" s="1649"/>
      <c r="B36" s="1670" t="s">
        <v>2152</v>
      </c>
      <c r="C36" s="2345" t="s">
        <v>829</v>
      </c>
      <c r="D36" s="2345"/>
      <c r="E36" s="2345"/>
      <c r="F36" s="2345"/>
      <c r="G36" s="2345"/>
      <c r="H36" s="2345"/>
      <c r="I36" s="2345"/>
      <c r="J36" s="2345"/>
      <c r="K36" s="2345"/>
      <c r="L36" s="1670" t="s">
        <v>2171</v>
      </c>
      <c r="M36" s="2345" t="s">
        <v>862</v>
      </c>
      <c r="N36" s="2345"/>
      <c r="O36" s="2345"/>
      <c r="P36" s="1649"/>
      <c r="Q36" s="1649"/>
      <c r="R36" s="1649"/>
      <c r="S36" s="1649"/>
      <c r="T36" s="1649"/>
      <c r="U36" s="1649"/>
      <c r="V36" s="1649"/>
      <c r="W36" s="1649"/>
      <c r="X36" s="1649"/>
      <c r="Y36" s="1649"/>
      <c r="Z36" s="1649"/>
      <c r="AA36" s="1649"/>
      <c r="AB36" s="1649"/>
      <c r="AC36" s="1649"/>
    </row>
    <row r="37" spans="1:29" ht="15" customHeight="1" x14ac:dyDescent="0.25">
      <c r="A37" s="264"/>
      <c r="B37" s="1669">
        <v>29</v>
      </c>
      <c r="C37" s="2335" t="s">
        <v>2199</v>
      </c>
      <c r="D37" s="2335"/>
      <c r="E37" s="2335"/>
      <c r="F37" s="2335"/>
      <c r="G37" s="2335"/>
      <c r="H37" s="2335"/>
      <c r="I37" s="2335"/>
      <c r="J37" s="2335"/>
      <c r="K37" s="2335"/>
      <c r="L37" s="1685" t="s">
        <v>2183</v>
      </c>
      <c r="M37" s="2367">
        <f>IF(ISBLANK('Ввод исходных данных'!$G55),"-",'Ввод исходных данных'!$G55)</f>
        <v>0</v>
      </c>
      <c r="N37" s="2367"/>
      <c r="O37" s="2367"/>
      <c r="P37" s="264"/>
      <c r="Q37" s="264"/>
      <c r="R37" s="264"/>
      <c r="S37" s="264"/>
      <c r="T37" s="264"/>
      <c r="U37" s="264"/>
      <c r="V37" s="264"/>
      <c r="W37" s="264"/>
      <c r="X37" s="264"/>
      <c r="Y37" s="264"/>
      <c r="Z37" s="264"/>
      <c r="AA37" s="264"/>
      <c r="AB37" s="264"/>
      <c r="AC37" s="264"/>
    </row>
    <row r="38" spans="1:29" ht="15" customHeight="1" x14ac:dyDescent="0.25">
      <c r="A38" s="264"/>
      <c r="B38" s="1669">
        <v>30</v>
      </c>
      <c r="C38" s="2335" t="s">
        <v>2200</v>
      </c>
      <c r="D38" s="2335"/>
      <c r="E38" s="2335"/>
      <c r="F38" s="2335"/>
      <c r="G38" s="2335"/>
      <c r="H38" s="2335"/>
      <c r="I38" s="2335"/>
      <c r="J38" s="2335"/>
      <c r="K38" s="2335"/>
      <c r="L38" s="1685" t="s">
        <v>2183</v>
      </c>
      <c r="M38" s="2367">
        <f>IF(ISBLANK('Ввод исходных данных'!$G56),"-",'Ввод исходных данных'!$G56)</f>
        <v>0</v>
      </c>
      <c r="N38" s="2367"/>
      <c r="O38" s="2367"/>
      <c r="P38" s="264"/>
      <c r="Q38" s="264"/>
      <c r="R38" s="264"/>
      <c r="S38" s="264"/>
      <c r="T38" s="264"/>
      <c r="U38" s="264"/>
      <c r="V38" s="264"/>
      <c r="W38" s="264"/>
      <c r="X38" s="264"/>
      <c r="Y38" s="264"/>
      <c r="Z38" s="264"/>
      <c r="AA38" s="264"/>
      <c r="AB38" s="264"/>
      <c r="AC38" s="264"/>
    </row>
    <row r="39" spans="1:29" x14ac:dyDescent="0.25">
      <c r="A39" s="264"/>
      <c r="B39" s="1669">
        <v>31</v>
      </c>
      <c r="C39" s="2335" t="s">
        <v>1351</v>
      </c>
      <c r="D39" s="2335"/>
      <c r="E39" s="2335"/>
      <c r="F39" s="2335"/>
      <c r="G39" s="2335"/>
      <c r="H39" s="2335"/>
      <c r="I39" s="2335"/>
      <c r="J39" s="2335"/>
      <c r="K39" s="2335"/>
      <c r="L39" s="1685" t="s">
        <v>2183</v>
      </c>
      <c r="M39" s="2367">
        <f>IF(ISBLANK('Ввод исходных данных'!$G57),"-",'Ввод исходных данных'!$G57)</f>
        <v>0</v>
      </c>
      <c r="N39" s="2367"/>
      <c r="O39" s="2367"/>
      <c r="P39" s="264"/>
      <c r="Q39" s="264"/>
      <c r="R39" s="264"/>
      <c r="S39" s="264"/>
      <c r="T39" s="264"/>
      <c r="U39" s="264"/>
      <c r="V39" s="264"/>
      <c r="W39" s="264"/>
      <c r="X39" s="264"/>
      <c r="Y39" s="264"/>
      <c r="Z39" s="264"/>
      <c r="AA39" s="264"/>
      <c r="AB39" s="264"/>
      <c r="AC39" s="264"/>
    </row>
    <row r="40" spans="1:29" x14ac:dyDescent="0.25">
      <c r="A40" s="264"/>
      <c r="B40" s="1669">
        <v>32</v>
      </c>
      <c r="C40" s="2335" t="s">
        <v>2201</v>
      </c>
      <c r="D40" s="2335"/>
      <c r="E40" s="2335"/>
      <c r="F40" s="2335"/>
      <c r="G40" s="2335"/>
      <c r="H40" s="2335"/>
      <c r="I40" s="2335"/>
      <c r="J40" s="2335"/>
      <c r="K40" s="2335"/>
      <c r="L40" s="1685" t="s">
        <v>493</v>
      </c>
      <c r="M40" s="2367">
        <f>IF(ISBLANK('Ввод исходных данных'!$G58),"-",'Ввод исходных данных'!$G58)</f>
        <v>0</v>
      </c>
      <c r="N40" s="2367"/>
      <c r="O40" s="2367"/>
      <c r="P40" s="264"/>
      <c r="Q40" s="264"/>
      <c r="R40" s="264"/>
      <c r="S40" s="264"/>
      <c r="T40" s="264"/>
      <c r="U40" s="264"/>
      <c r="V40" s="264"/>
      <c r="W40" s="264"/>
      <c r="X40" s="264"/>
      <c r="Y40" s="264"/>
      <c r="Z40" s="264"/>
      <c r="AA40" s="264"/>
      <c r="AB40" s="264"/>
      <c r="AC40" s="264"/>
    </row>
    <row r="41" spans="1:29" ht="15" customHeight="1" x14ac:dyDescent="0.25">
      <c r="A41" s="264"/>
      <c r="B41" s="1669">
        <v>33</v>
      </c>
      <c r="C41" s="2335" t="s">
        <v>2202</v>
      </c>
      <c r="D41" s="2335"/>
      <c r="E41" s="2335"/>
      <c r="F41" s="2335"/>
      <c r="G41" s="2335"/>
      <c r="H41" s="2335"/>
      <c r="I41" s="2335"/>
      <c r="J41" s="2335"/>
      <c r="K41" s="2335"/>
      <c r="L41" s="1685" t="s">
        <v>493</v>
      </c>
      <c r="M41" s="2367">
        <f>IF(ISBLANK('Ввод исходных данных'!$G59),"-",'Ввод исходных данных'!$G59)</f>
        <v>0</v>
      </c>
      <c r="N41" s="2367"/>
      <c r="O41" s="2367"/>
      <c r="P41" s="264"/>
      <c r="Q41" s="264"/>
      <c r="R41" s="264"/>
      <c r="S41" s="264"/>
      <c r="T41" s="264"/>
      <c r="U41" s="264"/>
      <c r="V41" s="264"/>
      <c r="W41" s="264"/>
      <c r="X41" s="264"/>
      <c r="Y41" s="264"/>
      <c r="Z41" s="264"/>
      <c r="AA41" s="264"/>
      <c r="AB41" s="264"/>
      <c r="AC41" s="264"/>
    </row>
    <row r="42" spans="1:29" x14ac:dyDescent="0.25">
      <c r="A42" s="264"/>
      <c r="B42" s="1669">
        <v>34</v>
      </c>
      <c r="C42" s="2335" t="s">
        <v>1396</v>
      </c>
      <c r="D42" s="2335"/>
      <c r="E42" s="2335"/>
      <c r="F42" s="2335"/>
      <c r="G42" s="2335"/>
      <c r="H42" s="2335"/>
      <c r="I42" s="2335"/>
      <c r="J42" s="2335"/>
      <c r="K42" s="2335"/>
      <c r="L42" s="1685" t="s">
        <v>493</v>
      </c>
      <c r="M42" s="2367">
        <f>IF(ISBLANK('Ввод исходных данных'!$G60),"-",'Ввод исходных данных'!$G60)</f>
        <v>0</v>
      </c>
      <c r="N42" s="2367"/>
      <c r="O42" s="2367"/>
      <c r="P42" s="264"/>
      <c r="Q42" s="264"/>
      <c r="R42" s="264"/>
      <c r="S42" s="264"/>
      <c r="T42" s="264"/>
      <c r="U42" s="264"/>
      <c r="V42" s="264"/>
      <c r="W42" s="264"/>
      <c r="X42" s="264"/>
      <c r="Y42" s="264"/>
      <c r="Z42" s="264"/>
      <c r="AA42" s="264"/>
      <c r="AB42" s="264"/>
      <c r="AC42" s="264"/>
    </row>
    <row r="43" spans="1:29" x14ac:dyDescent="0.25">
      <c r="A43" s="264"/>
      <c r="B43" s="1669">
        <v>35</v>
      </c>
      <c r="C43" s="2360" t="s">
        <v>2203</v>
      </c>
      <c r="D43" s="2361"/>
      <c r="E43" s="2368" t="s">
        <v>1292</v>
      </c>
      <c r="F43" s="2369"/>
      <c r="G43" s="2369"/>
      <c r="H43" s="2369"/>
      <c r="I43" s="2369"/>
      <c r="J43" s="2369"/>
      <c r="K43" s="2370"/>
      <c r="L43" s="1685" t="s">
        <v>2183</v>
      </c>
      <c r="M43" s="2367">
        <f>IF(ISBLANK('Ввод исходных данных'!$G61),"-",'Ввод исходных данных'!$G61)</f>
        <v>0</v>
      </c>
      <c r="N43" s="2367"/>
      <c r="O43" s="2367"/>
      <c r="P43" s="264"/>
      <c r="Q43" s="264"/>
      <c r="R43" s="264"/>
      <c r="S43" s="264"/>
      <c r="T43" s="264"/>
      <c r="U43" s="264"/>
      <c r="V43" s="264"/>
      <c r="W43" s="264"/>
      <c r="X43" s="264"/>
      <c r="Y43" s="264"/>
      <c r="Z43" s="264"/>
      <c r="AA43" s="264"/>
      <c r="AB43" s="264"/>
      <c r="AC43" s="264"/>
    </row>
    <row r="44" spans="1:29" ht="15" customHeight="1" x14ac:dyDescent="0.25">
      <c r="A44" s="264"/>
      <c r="B44" s="1669">
        <v>36</v>
      </c>
      <c r="C44" s="2362"/>
      <c r="D44" s="2363"/>
      <c r="E44" s="2368" t="s">
        <v>843</v>
      </c>
      <c r="F44" s="2369"/>
      <c r="G44" s="2369"/>
      <c r="H44" s="2369"/>
      <c r="I44" s="2369"/>
      <c r="J44" s="2369"/>
      <c r="K44" s="2370"/>
      <c r="L44" s="1685" t="s">
        <v>2183</v>
      </c>
      <c r="M44" s="2367">
        <f>IF(ISBLANK('Ввод исходных данных'!$G62),"-",'Ввод исходных данных'!$G62)</f>
        <v>0</v>
      </c>
      <c r="N44" s="2367"/>
      <c r="O44" s="2367"/>
      <c r="P44" s="264"/>
      <c r="Q44" s="264"/>
      <c r="R44" s="264"/>
      <c r="S44" s="264"/>
      <c r="T44" s="264"/>
      <c r="U44" s="264"/>
      <c r="V44" s="264"/>
      <c r="W44" s="264"/>
      <c r="X44" s="264"/>
      <c r="Y44" s="264"/>
      <c r="Z44" s="264"/>
      <c r="AA44" s="264"/>
      <c r="AB44" s="264"/>
      <c r="AC44" s="264"/>
    </row>
    <row r="45" spans="1:29" ht="15" customHeight="1" x14ac:dyDescent="0.25">
      <c r="A45" s="264"/>
      <c r="B45" s="1669">
        <v>37</v>
      </c>
      <c r="C45" s="2362"/>
      <c r="D45" s="2363"/>
      <c r="E45" s="2368" t="s">
        <v>2204</v>
      </c>
      <c r="F45" s="2369"/>
      <c r="G45" s="2369"/>
      <c r="H45" s="2369"/>
      <c r="I45" s="2369"/>
      <c r="J45" s="2369"/>
      <c r="K45" s="2370"/>
      <c r="L45" s="1685" t="s">
        <v>2183</v>
      </c>
      <c r="M45" s="2367">
        <f>IF(ISBLANK('Ввод исходных данных'!$G64),"-",'Ввод исходных данных'!$G64)</f>
        <v>0</v>
      </c>
      <c r="N45" s="2367"/>
      <c r="O45" s="2367"/>
      <c r="P45" s="264"/>
      <c r="Q45" s="264"/>
      <c r="R45" s="264"/>
      <c r="S45" s="264"/>
      <c r="T45" s="264"/>
      <c r="U45" s="264"/>
      <c r="V45" s="264"/>
      <c r="W45" s="264"/>
      <c r="X45" s="264"/>
      <c r="Y45" s="264"/>
      <c r="Z45" s="264"/>
      <c r="AA45" s="264"/>
      <c r="AB45" s="264"/>
      <c r="AC45" s="264"/>
    </row>
    <row r="46" spans="1:29" ht="15" customHeight="1" x14ac:dyDescent="0.25">
      <c r="A46" s="264"/>
      <c r="B46" s="1669">
        <v>38</v>
      </c>
      <c r="C46" s="2362"/>
      <c r="D46" s="2363"/>
      <c r="E46" s="2368" t="s">
        <v>2205</v>
      </c>
      <c r="F46" s="2369"/>
      <c r="G46" s="2369"/>
      <c r="H46" s="2369"/>
      <c r="I46" s="2369"/>
      <c r="J46" s="2369"/>
      <c r="K46" s="2370"/>
      <c r="L46" s="1685" t="s">
        <v>2183</v>
      </c>
      <c r="M46" s="2367">
        <f>IF(ISBLANK('Ввод исходных данных'!$G67),"-",'Ввод исходных данных'!$G67)</f>
        <v>0</v>
      </c>
      <c r="N46" s="2367"/>
      <c r="O46" s="2367"/>
      <c r="P46" s="264"/>
      <c r="Q46" s="264"/>
      <c r="R46" s="264"/>
      <c r="S46" s="264"/>
      <c r="T46" s="264"/>
      <c r="U46" s="264"/>
      <c r="V46" s="264"/>
      <c r="W46" s="264"/>
      <c r="X46" s="264"/>
      <c r="Y46" s="264"/>
      <c r="Z46" s="264"/>
      <c r="AA46" s="264"/>
      <c r="AB46" s="264"/>
      <c r="AC46" s="264"/>
    </row>
    <row r="47" spans="1:29" ht="15" customHeight="1" x14ac:dyDescent="0.25">
      <c r="A47" s="264"/>
      <c r="B47" s="1669">
        <v>39</v>
      </c>
      <c r="C47" s="2362"/>
      <c r="D47" s="2363"/>
      <c r="E47" s="2368" t="s">
        <v>2206</v>
      </c>
      <c r="F47" s="2369"/>
      <c r="G47" s="2369"/>
      <c r="H47" s="2369"/>
      <c r="I47" s="2369"/>
      <c r="J47" s="2369"/>
      <c r="K47" s="2370"/>
      <c r="L47" s="1685" t="s">
        <v>2183</v>
      </c>
      <c r="M47" s="2367">
        <f>IF(ISBLANK('Ввод исходных данных'!$G70),"-",'Ввод исходных данных'!$G70)</f>
        <v>0</v>
      </c>
      <c r="N47" s="2367"/>
      <c r="O47" s="2367"/>
      <c r="P47" s="264"/>
      <c r="Q47" s="264"/>
      <c r="R47" s="264"/>
      <c r="S47" s="264"/>
      <c r="T47" s="264"/>
      <c r="U47" s="264"/>
      <c r="V47" s="264"/>
      <c r="W47" s="264"/>
      <c r="X47" s="264"/>
      <c r="Y47" s="264"/>
      <c r="Z47" s="264"/>
      <c r="AA47" s="264"/>
      <c r="AB47" s="264"/>
      <c r="AC47" s="264"/>
    </row>
    <row r="48" spans="1:29" ht="15" customHeight="1" x14ac:dyDescent="0.25">
      <c r="A48" s="264"/>
      <c r="B48" s="1669">
        <v>40</v>
      </c>
      <c r="C48" s="2371"/>
      <c r="D48" s="2372"/>
      <c r="E48" s="2368" t="s">
        <v>2207</v>
      </c>
      <c r="F48" s="2369"/>
      <c r="G48" s="2369"/>
      <c r="H48" s="2369"/>
      <c r="I48" s="2369"/>
      <c r="J48" s="2369"/>
      <c r="K48" s="2370"/>
      <c r="L48" s="1685" t="s">
        <v>2183</v>
      </c>
      <c r="M48" s="2367">
        <f>IF(ISBLANK('Ввод исходных данных'!$G77),"-",'Ввод исходных данных'!$G77)</f>
        <v>0</v>
      </c>
      <c r="N48" s="2367"/>
      <c r="O48" s="2367"/>
      <c r="P48" s="264"/>
      <c r="Q48" s="264"/>
      <c r="R48" s="264"/>
      <c r="S48" s="264"/>
      <c r="T48" s="264"/>
      <c r="U48" s="264"/>
      <c r="V48" s="264"/>
      <c r="W48" s="264"/>
      <c r="X48" s="264"/>
      <c r="Y48" s="264"/>
      <c r="Z48" s="264"/>
      <c r="AA48" s="264"/>
      <c r="AB48" s="264"/>
      <c r="AC48" s="264"/>
    </row>
    <row r="49" spans="1:29" x14ac:dyDescent="0.25">
      <c r="A49" s="264"/>
      <c r="B49" s="1669">
        <v>41</v>
      </c>
      <c r="C49" s="2335" t="s">
        <v>816</v>
      </c>
      <c r="D49" s="2335"/>
      <c r="E49" s="2335"/>
      <c r="F49" s="2335"/>
      <c r="G49" s="2335"/>
      <c r="H49" s="2335"/>
      <c r="I49" s="2335"/>
      <c r="J49" s="2335"/>
      <c r="K49" s="2335"/>
      <c r="L49" s="1685" t="s">
        <v>1771</v>
      </c>
      <c r="M49" s="2367">
        <f>IF(ISBLANK('Ввод исходных данных'!$G63),"-",'Ввод исходных данных'!$G63)</f>
        <v>0</v>
      </c>
      <c r="N49" s="2367"/>
      <c r="O49" s="2367"/>
      <c r="P49" s="264"/>
      <c r="Q49" s="264"/>
      <c r="R49" s="264"/>
      <c r="S49" s="264"/>
      <c r="T49" s="264"/>
      <c r="U49" s="264"/>
      <c r="V49" s="264"/>
      <c r="W49" s="264"/>
      <c r="X49" s="264"/>
      <c r="Y49" s="264"/>
      <c r="Z49" s="264"/>
      <c r="AA49" s="264"/>
      <c r="AB49" s="264"/>
      <c r="AC49" s="264"/>
    </row>
    <row r="50" spans="1:29" ht="15" customHeight="1" x14ac:dyDescent="0.25">
      <c r="A50" s="264"/>
      <c r="B50" s="1669">
        <v>42</v>
      </c>
      <c r="C50" s="2335" t="s">
        <v>2208</v>
      </c>
      <c r="D50" s="2335"/>
      <c r="E50" s="2335"/>
      <c r="F50" s="2335"/>
      <c r="G50" s="2335"/>
      <c r="H50" s="2335"/>
      <c r="I50" s="2335"/>
      <c r="J50" s="2335"/>
      <c r="K50" s="2335"/>
      <c r="L50" s="1685" t="s">
        <v>746</v>
      </c>
      <c r="M50" s="2367" t="str">
        <f>IF('Ввод исходных данных'!$D65=INDEX(WindowsOld,1),"-",'Ввод исходных данных'!$D65)</f>
        <v>-</v>
      </c>
      <c r="N50" s="2367"/>
      <c r="O50" s="2367"/>
      <c r="P50" s="264"/>
      <c r="Q50" s="264"/>
      <c r="R50" s="264"/>
      <c r="S50" s="264"/>
      <c r="T50" s="264"/>
      <c r="U50" s="264"/>
      <c r="V50" s="264"/>
      <c r="W50" s="264"/>
      <c r="X50" s="264"/>
      <c r="Y50" s="264"/>
      <c r="Z50" s="264"/>
      <c r="AA50" s="264"/>
      <c r="AB50" s="264"/>
      <c r="AC50" s="264"/>
    </row>
    <row r="51" spans="1:29" ht="15" customHeight="1" x14ac:dyDescent="0.25">
      <c r="A51" s="264"/>
      <c r="B51" s="1669">
        <v>43</v>
      </c>
      <c r="C51" s="2335" t="s">
        <v>1937</v>
      </c>
      <c r="D51" s="2335"/>
      <c r="E51" s="2335"/>
      <c r="F51" s="2335"/>
      <c r="G51" s="2335"/>
      <c r="H51" s="2335"/>
      <c r="I51" s="2335"/>
      <c r="J51" s="2335"/>
      <c r="K51" s="2335"/>
      <c r="L51" s="1685" t="s">
        <v>1771</v>
      </c>
      <c r="M51" s="2367">
        <f>IF(ISBLANK('Ввод исходных данных'!$G66),"-",'Ввод исходных данных'!$G66)</f>
        <v>0</v>
      </c>
      <c r="N51" s="2367"/>
      <c r="O51" s="2367"/>
      <c r="P51" s="264"/>
      <c r="Q51" s="264"/>
      <c r="R51" s="264"/>
      <c r="S51" s="264"/>
      <c r="T51" s="264"/>
      <c r="U51" s="264"/>
      <c r="V51" s="264"/>
      <c r="W51" s="264"/>
      <c r="X51" s="264"/>
      <c r="Y51" s="264"/>
      <c r="Z51" s="264"/>
      <c r="AA51" s="264"/>
      <c r="AB51" s="264"/>
      <c r="AC51" s="264"/>
    </row>
    <row r="52" spans="1:29" ht="15" customHeight="1" x14ac:dyDescent="0.25">
      <c r="A52" s="264"/>
      <c r="B52" s="1669">
        <v>44</v>
      </c>
      <c r="C52" s="2335" t="s">
        <v>2209</v>
      </c>
      <c r="D52" s="2335"/>
      <c r="E52" s="2335"/>
      <c r="F52" s="2335"/>
      <c r="G52" s="2335"/>
      <c r="H52" s="2335"/>
      <c r="I52" s="2335"/>
      <c r="J52" s="2335"/>
      <c r="K52" s="2335"/>
      <c r="L52" s="1685" t="s">
        <v>746</v>
      </c>
      <c r="M52" s="2367" t="str">
        <f>IF('Ввод исходных данных'!$D68=INDEX(WindowsOld,1),"-",'Ввод исходных данных'!$D68)</f>
        <v>-</v>
      </c>
      <c r="N52" s="2367"/>
      <c r="O52" s="2367"/>
      <c r="P52" s="264"/>
      <c r="Q52" s="264"/>
      <c r="R52" s="264"/>
      <c r="S52" s="264"/>
      <c r="T52" s="264"/>
      <c r="U52" s="264"/>
      <c r="V52" s="264"/>
      <c r="W52" s="264"/>
      <c r="X52" s="264"/>
      <c r="Y52" s="264"/>
      <c r="Z52" s="264"/>
      <c r="AA52" s="264"/>
      <c r="AB52" s="264"/>
      <c r="AC52" s="264"/>
    </row>
    <row r="53" spans="1:29" ht="15" customHeight="1" x14ac:dyDescent="0.25">
      <c r="A53" s="264"/>
      <c r="B53" s="1669">
        <v>45</v>
      </c>
      <c r="C53" s="2335" t="s">
        <v>1516</v>
      </c>
      <c r="D53" s="2335"/>
      <c r="E53" s="2335"/>
      <c r="F53" s="2335"/>
      <c r="G53" s="2335"/>
      <c r="H53" s="2335"/>
      <c r="I53" s="2335"/>
      <c r="J53" s="2335"/>
      <c r="K53" s="2335"/>
      <c r="L53" s="1685" t="s">
        <v>1771</v>
      </c>
      <c r="M53" s="2367">
        <f>IF(ISBLANK('Ввод исходных данных'!$G69),"-",'Ввод исходных данных'!$G69)</f>
        <v>0</v>
      </c>
      <c r="N53" s="2367"/>
      <c r="O53" s="2367"/>
      <c r="P53" s="264"/>
      <c r="Q53" s="264"/>
      <c r="R53" s="264"/>
      <c r="S53" s="264"/>
      <c r="T53" s="264"/>
      <c r="U53" s="264"/>
      <c r="V53" s="264"/>
      <c r="W53" s="264"/>
      <c r="X53" s="264"/>
      <c r="Y53" s="264"/>
      <c r="Z53" s="264"/>
      <c r="AA53" s="264"/>
      <c r="AB53" s="264"/>
      <c r="AC53" s="264"/>
    </row>
    <row r="54" spans="1:29" x14ac:dyDescent="0.25">
      <c r="A54" s="264"/>
      <c r="B54" s="1669">
        <v>46</v>
      </c>
      <c r="C54" s="2335" t="s">
        <v>1300</v>
      </c>
      <c r="D54" s="2335"/>
      <c r="E54" s="2335"/>
      <c r="F54" s="2335"/>
      <c r="G54" s="2335"/>
      <c r="H54" s="2335"/>
      <c r="I54" s="2335"/>
      <c r="J54" s="2335"/>
      <c r="K54" s="2335"/>
      <c r="L54" s="1685" t="s">
        <v>1771</v>
      </c>
      <c r="M54" s="2367">
        <f>IF(ISBLANK('Ввод исходных данных'!$G76),"-",'Ввод исходных данных'!$G76)</f>
        <v>0</v>
      </c>
      <c r="N54" s="2367"/>
      <c r="O54" s="2367"/>
      <c r="P54" s="264"/>
      <c r="Q54" s="264"/>
      <c r="R54" s="264"/>
      <c r="S54" s="264"/>
      <c r="T54" s="264"/>
      <c r="U54" s="264"/>
      <c r="V54" s="264"/>
      <c r="W54" s="264"/>
      <c r="X54" s="264"/>
      <c r="Y54" s="264"/>
      <c r="Z54" s="264"/>
      <c r="AA54" s="264"/>
      <c r="AB54" s="264"/>
      <c r="AC54" s="264"/>
    </row>
    <row r="55" spans="1:29" ht="15" customHeight="1" x14ac:dyDescent="0.25">
      <c r="A55" s="264"/>
      <c r="B55" s="1669">
        <v>47</v>
      </c>
      <c r="C55" s="2335" t="s">
        <v>2210</v>
      </c>
      <c r="D55" s="2335"/>
      <c r="E55" s="2335"/>
      <c r="F55" s="2335"/>
      <c r="G55" s="2335"/>
      <c r="H55" s="2335"/>
      <c r="I55" s="2335"/>
      <c r="J55" s="2335"/>
      <c r="K55" s="2335"/>
      <c r="L55" s="1685" t="s">
        <v>2183</v>
      </c>
      <c r="M55" s="2367">
        <f>IF(ISBLANK('Ввод исходных данных'!$G71),"-",'Ввод исходных данных'!$G71)</f>
        <v>0</v>
      </c>
      <c r="N55" s="2367"/>
      <c r="O55" s="2367"/>
      <c r="P55" s="264"/>
      <c r="Q55" s="264"/>
      <c r="R55" s="264"/>
      <c r="S55" s="264"/>
      <c r="T55" s="264"/>
      <c r="U55" s="264"/>
      <c r="V55" s="264"/>
      <c r="W55" s="264"/>
      <c r="X55" s="264"/>
      <c r="Y55" s="264"/>
      <c r="Z55" s="264"/>
      <c r="AA55" s="264"/>
      <c r="AB55" s="264"/>
      <c r="AC55" s="264"/>
    </row>
    <row r="56" spans="1:29" ht="15" customHeight="1" x14ac:dyDescent="0.25">
      <c r="A56" s="264"/>
      <c r="B56" s="1669">
        <v>48</v>
      </c>
      <c r="C56" s="2335" t="s">
        <v>2211</v>
      </c>
      <c r="D56" s="2335"/>
      <c r="E56" s="2335"/>
      <c r="F56" s="2335"/>
      <c r="G56" s="2335"/>
      <c r="H56" s="2335"/>
      <c r="I56" s="2335"/>
      <c r="J56" s="2335"/>
      <c r="K56" s="2335"/>
      <c r="L56" s="1685" t="s">
        <v>2183</v>
      </c>
      <c r="M56" s="2367">
        <f>IF(ISBLANK('Ввод исходных данных'!$G72),"-",'Ввод исходных данных'!$G72)</f>
        <v>0</v>
      </c>
      <c r="N56" s="2367"/>
      <c r="O56" s="2367"/>
      <c r="P56" s="264"/>
      <c r="Q56" s="264"/>
      <c r="R56" s="264"/>
      <c r="S56" s="264"/>
      <c r="T56" s="264"/>
      <c r="U56" s="264"/>
      <c r="V56" s="264"/>
      <c r="W56" s="264"/>
      <c r="X56" s="264"/>
      <c r="Y56" s="264"/>
      <c r="Z56" s="264"/>
      <c r="AA56" s="264"/>
      <c r="AB56" s="264"/>
      <c r="AC56" s="264"/>
    </row>
    <row r="57" spans="1:29" ht="15" customHeight="1" x14ac:dyDescent="0.25">
      <c r="A57" s="264"/>
      <c r="B57" s="1669">
        <v>49</v>
      </c>
      <c r="C57" s="2335" t="s">
        <v>2212</v>
      </c>
      <c r="D57" s="2335"/>
      <c r="E57" s="2335"/>
      <c r="F57" s="2335"/>
      <c r="G57" s="2335"/>
      <c r="H57" s="2335"/>
      <c r="I57" s="2335"/>
      <c r="J57" s="2335"/>
      <c r="K57" s="2335"/>
      <c r="L57" s="1685" t="s">
        <v>2183</v>
      </c>
      <c r="M57" s="2367">
        <f>IF(ISBLANK('Ввод исходных данных'!$G73),"-",'Ввод исходных данных'!$G73)</f>
        <v>0</v>
      </c>
      <c r="N57" s="2367"/>
      <c r="O57" s="2367"/>
      <c r="P57" s="264"/>
      <c r="Q57" s="264"/>
      <c r="R57" s="264"/>
      <c r="S57" s="264"/>
      <c r="T57" s="264"/>
      <c r="U57" s="264"/>
      <c r="V57" s="264"/>
      <c r="W57" s="264"/>
      <c r="X57" s="264"/>
      <c r="Y57" s="264"/>
      <c r="Z57" s="264"/>
      <c r="AA57" s="264"/>
      <c r="AB57" s="264"/>
      <c r="AC57" s="264"/>
    </row>
    <row r="58" spans="1:29" ht="15" customHeight="1" x14ac:dyDescent="0.25">
      <c r="A58" s="264"/>
      <c r="B58" s="1669">
        <v>50</v>
      </c>
      <c r="C58" s="2335" t="s">
        <v>2357</v>
      </c>
      <c r="D58" s="2335"/>
      <c r="E58" s="2335"/>
      <c r="F58" s="2335"/>
      <c r="G58" s="2335"/>
      <c r="H58" s="2335"/>
      <c r="I58" s="2335"/>
      <c r="J58" s="2335"/>
      <c r="K58" s="2335"/>
      <c r="L58" s="1685" t="s">
        <v>2183</v>
      </c>
      <c r="M58" s="2367">
        <f>IF(ISBLANK('Ввод исходных данных'!$G74),"-",'Ввод исходных данных'!$G74)</f>
        <v>0</v>
      </c>
      <c r="N58" s="2367"/>
      <c r="O58" s="2367"/>
      <c r="P58" s="264"/>
      <c r="Q58" s="264"/>
      <c r="R58" s="264"/>
      <c r="S58" s="264"/>
      <c r="T58" s="264"/>
      <c r="U58" s="264"/>
      <c r="V58" s="264"/>
      <c r="W58" s="264"/>
      <c r="X58" s="264"/>
      <c r="Y58" s="264"/>
      <c r="Z58" s="264"/>
      <c r="AA58" s="264"/>
      <c r="AB58" s="264"/>
      <c r="AC58" s="264"/>
    </row>
    <row r="59" spans="1:29" x14ac:dyDescent="0.25">
      <c r="A59" s="264"/>
      <c r="B59" s="1669">
        <v>51</v>
      </c>
      <c r="C59" s="2335" t="s">
        <v>2213</v>
      </c>
      <c r="D59" s="2335"/>
      <c r="E59" s="2335"/>
      <c r="F59" s="2335"/>
      <c r="G59" s="2335"/>
      <c r="H59" s="2335"/>
      <c r="I59" s="2335"/>
      <c r="J59" s="2335"/>
      <c r="K59" s="2335"/>
      <c r="L59" s="1685" t="s">
        <v>2183</v>
      </c>
      <c r="M59" s="2367">
        <f>IF(ISBLANK('Ввод исходных данных'!$G75),"-",'Ввод исходных данных'!$G75)</f>
        <v>0</v>
      </c>
      <c r="N59" s="2367"/>
      <c r="O59" s="2367"/>
      <c r="P59" s="264"/>
      <c r="Q59" s="264"/>
      <c r="R59" s="264"/>
      <c r="S59" s="264"/>
      <c r="T59" s="264"/>
      <c r="U59" s="264"/>
      <c r="V59" s="264"/>
      <c r="W59" s="264"/>
      <c r="X59" s="264"/>
      <c r="Y59" s="264"/>
      <c r="Z59" s="264"/>
      <c r="AA59" s="264"/>
      <c r="AB59" s="264"/>
      <c r="AC59" s="264"/>
    </row>
    <row r="60" spans="1:29" s="1684" customFormat="1" ht="30" customHeight="1" x14ac:dyDescent="0.25">
      <c r="A60" s="1651"/>
      <c r="B60" s="2314" t="s">
        <v>2214</v>
      </c>
      <c r="C60" s="2314"/>
      <c r="D60" s="2314"/>
      <c r="E60" s="2314"/>
      <c r="F60" s="2314"/>
      <c r="G60" s="2314"/>
      <c r="H60" s="2314"/>
      <c r="I60" s="2314"/>
      <c r="J60" s="2314"/>
      <c r="K60" s="2314"/>
      <c r="L60" s="2314"/>
      <c r="M60" s="2314"/>
      <c r="N60" s="2314"/>
      <c r="O60" s="2314"/>
      <c r="P60" s="1651"/>
      <c r="Q60" s="1651"/>
      <c r="R60" s="1651"/>
      <c r="S60" s="1651"/>
      <c r="T60" s="1651"/>
      <c r="U60" s="1651"/>
      <c r="V60" s="1651"/>
      <c r="W60" s="1651"/>
      <c r="X60" s="1651"/>
      <c r="Y60" s="1651"/>
      <c r="Z60" s="1651"/>
      <c r="AA60" s="1651"/>
      <c r="AB60" s="1651"/>
      <c r="AC60" s="1651"/>
    </row>
    <row r="61" spans="1:29" s="1684" customFormat="1" ht="28.5" x14ac:dyDescent="0.25">
      <c r="A61" s="1649"/>
      <c r="B61" s="1670" t="s">
        <v>2152</v>
      </c>
      <c r="C61" s="2345" t="s">
        <v>829</v>
      </c>
      <c r="D61" s="2345"/>
      <c r="E61" s="2345"/>
      <c r="F61" s="2345"/>
      <c r="G61" s="2345"/>
      <c r="H61" s="2345"/>
      <c r="I61" s="2345"/>
      <c r="J61" s="2345"/>
      <c r="K61" s="2345"/>
      <c r="L61" s="1670" t="s">
        <v>2171</v>
      </c>
      <c r="M61" s="2345" t="s">
        <v>862</v>
      </c>
      <c r="N61" s="2345"/>
      <c r="O61" s="2345"/>
      <c r="P61" s="1649"/>
      <c r="Q61" s="1649"/>
      <c r="R61" s="1649"/>
      <c r="S61" s="1649"/>
      <c r="T61" s="1649"/>
      <c r="U61" s="1649"/>
      <c r="V61" s="1649"/>
      <c r="W61" s="1649"/>
      <c r="X61" s="1649"/>
      <c r="Y61" s="1649"/>
      <c r="Z61" s="1649"/>
      <c r="AA61" s="1649"/>
      <c r="AB61" s="1649"/>
      <c r="AC61" s="1649"/>
    </row>
    <row r="62" spans="1:29" x14ac:dyDescent="0.25">
      <c r="A62" s="264"/>
      <c r="B62" s="1669">
        <v>52</v>
      </c>
      <c r="C62" s="2335" t="s">
        <v>514</v>
      </c>
      <c r="D62" s="2335"/>
      <c r="E62" s="2335"/>
      <c r="F62" s="2335"/>
      <c r="G62" s="2335"/>
      <c r="H62" s="2335"/>
      <c r="I62" s="2335"/>
      <c r="J62" s="2335"/>
      <c r="K62" s="2335"/>
      <c r="L62" s="1685" t="s">
        <v>2215</v>
      </c>
      <c r="M62" s="2367" t="str">
        <f>IF(ISBLANK('Ввод исходных данных'!$D$81),"-",'Ввод исходных данных'!$D$81)</f>
        <v>-</v>
      </c>
      <c r="N62" s="2367"/>
      <c r="O62" s="2367"/>
      <c r="P62" s="264"/>
      <c r="Q62" s="264"/>
      <c r="R62" s="264"/>
      <c r="S62" s="264"/>
      <c r="T62" s="264"/>
      <c r="U62" s="264"/>
      <c r="V62" s="264"/>
      <c r="W62" s="264"/>
      <c r="X62" s="264"/>
      <c r="Y62" s="264"/>
      <c r="Z62" s="264"/>
      <c r="AA62" s="264"/>
      <c r="AB62" s="264"/>
      <c r="AC62" s="264"/>
    </row>
    <row r="63" spans="1:29" x14ac:dyDescent="0.25">
      <c r="A63" s="264"/>
      <c r="B63" s="1669">
        <v>53</v>
      </c>
      <c r="C63" s="2335" t="s">
        <v>1507</v>
      </c>
      <c r="D63" s="2335"/>
      <c r="E63" s="2335"/>
      <c r="F63" s="2335"/>
      <c r="G63" s="2335"/>
      <c r="H63" s="2335"/>
      <c r="I63" s="2335"/>
      <c r="J63" s="2335"/>
      <c r="K63" s="2335"/>
      <c r="L63" s="1685" t="s">
        <v>2215</v>
      </c>
      <c r="M63" s="2367" t="str">
        <f>IF(ISBLANK('Ввод исходных данных'!$D$82),"-",'Ввод исходных данных'!$D$82)</f>
        <v>-</v>
      </c>
      <c r="N63" s="2367"/>
      <c r="O63" s="2367"/>
      <c r="P63" s="264"/>
      <c r="Q63" s="264"/>
      <c r="R63" s="264"/>
      <c r="S63" s="264"/>
      <c r="T63" s="264"/>
      <c r="U63" s="264"/>
      <c r="V63" s="264"/>
      <c r="W63" s="264"/>
      <c r="X63" s="264"/>
      <c r="Y63" s="264"/>
      <c r="Z63" s="264"/>
      <c r="AA63" s="264"/>
      <c r="AB63" s="264"/>
      <c r="AC63" s="264"/>
    </row>
    <row r="64" spans="1:29" x14ac:dyDescent="0.25">
      <c r="A64" s="264"/>
      <c r="B64" s="1669">
        <v>54</v>
      </c>
      <c r="C64" s="2335" t="s">
        <v>1508</v>
      </c>
      <c r="D64" s="2335"/>
      <c r="E64" s="2335"/>
      <c r="F64" s="2335"/>
      <c r="G64" s="2335"/>
      <c r="H64" s="2335"/>
      <c r="I64" s="2335"/>
      <c r="J64" s="2335"/>
      <c r="K64" s="2335"/>
      <c r="L64" s="1685" t="s">
        <v>2215</v>
      </c>
      <c r="M64" s="2367" t="str">
        <f>IF(ISBLANK('Ввод исходных данных'!$D$83),"-",'Ввод исходных данных'!$D$83)</f>
        <v>-</v>
      </c>
      <c r="N64" s="2367"/>
      <c r="O64" s="2367"/>
      <c r="P64" s="264"/>
      <c r="Q64" s="264"/>
      <c r="R64" s="264"/>
      <c r="S64" s="264"/>
      <c r="T64" s="264"/>
      <c r="U64" s="264"/>
      <c r="V64" s="264"/>
      <c r="W64" s="264"/>
      <c r="X64" s="264"/>
      <c r="Y64" s="264"/>
      <c r="Z64" s="264"/>
      <c r="AA64" s="264"/>
      <c r="AB64" s="264"/>
      <c r="AC64" s="264"/>
    </row>
    <row r="65" spans="1:29" x14ac:dyDescent="0.25">
      <c r="A65" s="264"/>
      <c r="B65" s="1669">
        <v>55</v>
      </c>
      <c r="C65" s="2335" t="s">
        <v>1512</v>
      </c>
      <c r="D65" s="2335"/>
      <c r="E65" s="2335"/>
      <c r="F65" s="2335"/>
      <c r="G65" s="2335"/>
      <c r="H65" s="2335"/>
      <c r="I65" s="2335"/>
      <c r="J65" s="2335"/>
      <c r="K65" s="2335"/>
      <c r="L65" s="1685" t="s">
        <v>2215</v>
      </c>
      <c r="M65" s="2367" t="str">
        <f>IF(ISBLANK('Ввод исходных данных'!$D$84),"-",'Ввод исходных данных'!$D$84)</f>
        <v>-</v>
      </c>
      <c r="N65" s="2367"/>
      <c r="O65" s="2367"/>
      <c r="P65" s="264"/>
      <c r="Q65" s="264"/>
      <c r="R65" s="264"/>
      <c r="S65" s="264"/>
      <c r="T65" s="264"/>
      <c r="U65" s="264"/>
      <c r="V65" s="264"/>
      <c r="W65" s="264"/>
      <c r="X65" s="264"/>
      <c r="Y65" s="264"/>
      <c r="Z65" s="264"/>
      <c r="AA65" s="264"/>
      <c r="AB65" s="264"/>
      <c r="AC65" s="264"/>
    </row>
    <row r="66" spans="1:29" ht="15" customHeight="1" x14ac:dyDescent="0.25">
      <c r="A66" s="264"/>
      <c r="B66" s="1669">
        <v>56</v>
      </c>
      <c r="C66" s="2335" t="s">
        <v>1509</v>
      </c>
      <c r="D66" s="2335"/>
      <c r="E66" s="2335"/>
      <c r="F66" s="2335"/>
      <c r="G66" s="2335"/>
      <c r="H66" s="2335"/>
      <c r="I66" s="2335"/>
      <c r="J66" s="2335"/>
      <c r="K66" s="2335"/>
      <c r="L66" s="1685" t="s">
        <v>2215</v>
      </c>
      <c r="M66" s="2367" t="str">
        <f>IF(ISBLANK('Ввод исходных данных'!$D$85),"-",'Ввод исходных данных'!$D$85)</f>
        <v>-</v>
      </c>
      <c r="N66" s="2367"/>
      <c r="O66" s="2367"/>
      <c r="P66" s="264"/>
      <c r="Q66" s="264"/>
      <c r="R66" s="264"/>
      <c r="S66" s="264"/>
      <c r="T66" s="264"/>
      <c r="U66" s="264"/>
      <c r="V66" s="264"/>
      <c r="W66" s="264"/>
      <c r="X66" s="264"/>
      <c r="Y66" s="264"/>
      <c r="Z66" s="264"/>
      <c r="AA66" s="264"/>
      <c r="AB66" s="264"/>
      <c r="AC66" s="264"/>
    </row>
    <row r="67" spans="1:29" ht="15" customHeight="1" x14ac:dyDescent="0.25">
      <c r="A67" s="264"/>
      <c r="B67" s="1669">
        <v>57</v>
      </c>
      <c r="C67" s="2335" t="s">
        <v>1510</v>
      </c>
      <c r="D67" s="2335"/>
      <c r="E67" s="2335"/>
      <c r="F67" s="2335"/>
      <c r="G67" s="2335"/>
      <c r="H67" s="2335"/>
      <c r="I67" s="2335"/>
      <c r="J67" s="2335"/>
      <c r="K67" s="2335"/>
      <c r="L67" s="1685" t="s">
        <v>2215</v>
      </c>
      <c r="M67" s="2367" t="str">
        <f>IF(ISBLANK('Ввод исходных данных'!$D$86),"-",'Ввод исходных данных'!$D$86)</f>
        <v>-</v>
      </c>
      <c r="N67" s="2367"/>
      <c r="O67" s="2367"/>
      <c r="P67" s="264"/>
      <c r="Q67" s="264"/>
      <c r="R67" s="264"/>
      <c r="S67" s="264"/>
      <c r="T67" s="264"/>
      <c r="U67" s="264"/>
      <c r="V67" s="264"/>
      <c r="W67" s="264"/>
      <c r="X67" s="264"/>
      <c r="Y67" s="264"/>
      <c r="Z67" s="264"/>
      <c r="AA67" s="264"/>
      <c r="AB67" s="264"/>
      <c r="AC67" s="264"/>
    </row>
    <row r="68" spans="1:29" x14ac:dyDescent="0.25">
      <c r="A68" s="264"/>
      <c r="B68" s="1669">
        <v>58</v>
      </c>
      <c r="C68" s="2335" t="s">
        <v>1517</v>
      </c>
      <c r="D68" s="2335"/>
      <c r="E68" s="2335"/>
      <c r="F68" s="2335"/>
      <c r="G68" s="2335"/>
      <c r="H68" s="2335"/>
      <c r="I68" s="2335"/>
      <c r="J68" s="2335"/>
      <c r="K68" s="2335"/>
      <c r="L68" s="1685" t="s">
        <v>2215</v>
      </c>
      <c r="M68" s="2367" t="str">
        <f>IF(ISBLANK('Ввод исходных данных'!$D$87),"-",'Ввод исходных данных'!$D$87)</f>
        <v>-</v>
      </c>
      <c r="N68" s="2367"/>
      <c r="O68" s="2367"/>
      <c r="P68" s="264"/>
      <c r="Q68" s="264"/>
      <c r="R68" s="264"/>
      <c r="S68" s="264"/>
      <c r="T68" s="264"/>
      <c r="U68" s="264"/>
      <c r="V68" s="264"/>
      <c r="W68" s="264"/>
      <c r="X68" s="264"/>
      <c r="Y68" s="264"/>
      <c r="Z68" s="264"/>
      <c r="AA68" s="264"/>
      <c r="AB68" s="264"/>
      <c r="AC68" s="264"/>
    </row>
    <row r="69" spans="1:29" s="1686" customFormat="1" ht="30" customHeight="1" x14ac:dyDescent="0.25">
      <c r="A69" s="264"/>
      <c r="B69" s="2314" t="s">
        <v>2216</v>
      </c>
      <c r="C69" s="2314"/>
      <c r="D69" s="2314"/>
      <c r="E69" s="2314"/>
      <c r="F69" s="2314"/>
      <c r="G69" s="2314"/>
      <c r="H69" s="2314"/>
      <c r="I69" s="2314"/>
      <c r="J69" s="2314"/>
      <c r="K69" s="2314"/>
      <c r="L69" s="2314"/>
      <c r="M69" s="2314"/>
      <c r="N69" s="2314"/>
      <c r="O69" s="2314"/>
      <c r="P69" s="264"/>
      <c r="Q69" s="264"/>
      <c r="R69" s="264"/>
      <c r="S69" s="264"/>
      <c r="T69" s="264"/>
      <c r="U69" s="264"/>
      <c r="V69" s="264"/>
      <c r="W69" s="264"/>
      <c r="X69" s="264"/>
      <c r="Y69" s="264"/>
      <c r="Z69" s="264"/>
      <c r="AA69" s="264"/>
      <c r="AB69" s="264"/>
      <c r="AC69" s="264"/>
    </row>
    <row r="70" spans="1:29" s="1684" customFormat="1" ht="28.5" x14ac:dyDescent="0.25">
      <c r="A70" s="1649"/>
      <c r="B70" s="1670" t="s">
        <v>2152</v>
      </c>
      <c r="C70" s="2345" t="s">
        <v>829</v>
      </c>
      <c r="D70" s="2345"/>
      <c r="E70" s="2345"/>
      <c r="F70" s="2345"/>
      <c r="G70" s="2345"/>
      <c r="H70" s="2345"/>
      <c r="I70" s="2345"/>
      <c r="J70" s="2345"/>
      <c r="K70" s="2345"/>
      <c r="L70" s="1670" t="s">
        <v>2171</v>
      </c>
      <c r="M70" s="2345" t="s">
        <v>862</v>
      </c>
      <c r="N70" s="2345"/>
      <c r="O70" s="2345"/>
      <c r="P70" s="1649"/>
      <c r="Q70" s="1649"/>
      <c r="R70" s="1649"/>
      <c r="S70" s="1649"/>
      <c r="T70" s="1649"/>
      <c r="U70" s="1649"/>
      <c r="V70" s="1649"/>
      <c r="W70" s="1649"/>
      <c r="X70" s="1649"/>
      <c r="Y70" s="1649"/>
      <c r="Z70" s="1649"/>
      <c r="AA70" s="1649"/>
      <c r="AB70" s="1649"/>
      <c r="AC70" s="1649"/>
    </row>
    <row r="71" spans="1:29" ht="15" customHeight="1" x14ac:dyDescent="0.25">
      <c r="A71" s="264"/>
      <c r="B71" s="1669">
        <v>59</v>
      </c>
      <c r="C71" s="2335" t="s">
        <v>2217</v>
      </c>
      <c r="D71" s="2335"/>
      <c r="E71" s="2335"/>
      <c r="F71" s="2335"/>
      <c r="G71" s="2335"/>
      <c r="H71" s="2335"/>
      <c r="I71" s="2335"/>
      <c r="J71" s="2335"/>
      <c r="K71" s="2335"/>
      <c r="L71" s="1685" t="s">
        <v>2218</v>
      </c>
      <c r="M71" s="2337" t="str">
        <f>IF(ISBLANK('Ввод исходных данных'!$D$94),"-",'Ввод исходных данных'!$D$94)</f>
        <v>-</v>
      </c>
      <c r="N71" s="2337"/>
      <c r="O71" s="2337"/>
      <c r="P71" s="264"/>
      <c r="Q71" s="264"/>
      <c r="R71" s="264"/>
      <c r="S71" s="264"/>
      <c r="T71" s="264"/>
      <c r="U71" s="264"/>
      <c r="V71" s="264"/>
      <c r="W71" s="264"/>
      <c r="X71" s="264"/>
      <c r="Y71" s="264"/>
      <c r="Z71" s="264"/>
      <c r="AA71" s="264"/>
      <c r="AB71" s="264"/>
      <c r="AC71" s="264"/>
    </row>
    <row r="72" spans="1:29" ht="15" customHeight="1" x14ac:dyDescent="0.25">
      <c r="A72" s="264"/>
      <c r="B72" s="1669">
        <v>60</v>
      </c>
      <c r="C72" s="2335" t="s">
        <v>2219</v>
      </c>
      <c r="D72" s="2335"/>
      <c r="E72" s="2335"/>
      <c r="F72" s="2335"/>
      <c r="G72" s="2335"/>
      <c r="H72" s="2335"/>
      <c r="I72" s="2335"/>
      <c r="J72" s="2335"/>
      <c r="K72" s="2335"/>
      <c r="L72" s="1685" t="s">
        <v>2218</v>
      </c>
      <c r="M72" s="2337" t="str">
        <f>IF(ISBLANK('Ввод исходных данных'!$D$95),"-",'Ввод исходных данных'!$D$95)</f>
        <v>-</v>
      </c>
      <c r="N72" s="2337"/>
      <c r="O72" s="2337"/>
      <c r="P72" s="264"/>
      <c r="Q72" s="264"/>
      <c r="R72" s="264"/>
      <c r="S72" s="264"/>
      <c r="T72" s="264"/>
      <c r="U72" s="264"/>
      <c r="V72" s="264"/>
      <c r="W72" s="264"/>
      <c r="X72" s="264"/>
      <c r="Y72" s="264"/>
      <c r="Z72" s="264"/>
      <c r="AA72" s="264"/>
      <c r="AB72" s="264"/>
      <c r="AC72" s="264"/>
    </row>
    <row r="73" spans="1:29" ht="15" customHeight="1" x14ac:dyDescent="0.25">
      <c r="A73" s="264"/>
      <c r="B73" s="1669">
        <v>61</v>
      </c>
      <c r="C73" s="2335" t="s">
        <v>2220</v>
      </c>
      <c r="D73" s="2335"/>
      <c r="E73" s="2335"/>
      <c r="F73" s="2335"/>
      <c r="G73" s="2335"/>
      <c r="H73" s="2335"/>
      <c r="I73" s="2335"/>
      <c r="J73" s="2335"/>
      <c r="K73" s="2335"/>
      <c r="L73" s="1685" t="s">
        <v>2218</v>
      </c>
      <c r="M73" s="2337" t="str">
        <f>IF(ISBLANK('Ввод исходных данных'!$D$96),"-",'Ввод исходных данных'!$D$96)</f>
        <v>-</v>
      </c>
      <c r="N73" s="2337"/>
      <c r="O73" s="2337"/>
      <c r="P73" s="264"/>
      <c r="Q73" s="264"/>
      <c r="R73" s="264"/>
      <c r="S73" s="264"/>
      <c r="T73" s="264"/>
      <c r="U73" s="264"/>
      <c r="V73" s="264"/>
      <c r="W73" s="264"/>
      <c r="X73" s="264"/>
      <c r="Y73" s="264"/>
      <c r="Z73" s="264"/>
      <c r="AA73" s="264"/>
      <c r="AB73" s="264"/>
      <c r="AC73" s="264"/>
    </row>
    <row r="74" spans="1:29" x14ac:dyDescent="0.25">
      <c r="A74" s="264"/>
      <c r="B74" s="1669">
        <v>62</v>
      </c>
      <c r="C74" s="2335" t="s">
        <v>762</v>
      </c>
      <c r="D74" s="2335"/>
      <c r="E74" s="2335"/>
      <c r="F74" s="2335"/>
      <c r="G74" s="2335"/>
      <c r="H74" s="2335"/>
      <c r="I74" s="2335"/>
      <c r="J74" s="2335"/>
      <c r="K74" s="2335"/>
      <c r="L74" s="1685" t="s">
        <v>746</v>
      </c>
      <c r="M74" s="2337" t="str">
        <f>IF('Система отопления'!$F$8=1,"однотрубная","двухтрубная")</f>
        <v>двухтрубная</v>
      </c>
      <c r="N74" s="2337"/>
      <c r="O74" s="2337"/>
      <c r="P74" s="264"/>
      <c r="Q74" s="264"/>
      <c r="R74" s="264"/>
      <c r="S74" s="264"/>
      <c r="T74" s="264"/>
      <c r="U74" s="264"/>
      <c r="V74" s="264"/>
      <c r="W74" s="264"/>
      <c r="X74" s="264"/>
      <c r="Y74" s="264"/>
      <c r="Z74" s="264"/>
      <c r="AA74" s="264"/>
      <c r="AB74" s="264"/>
      <c r="AC74" s="264"/>
    </row>
    <row r="75" spans="1:29" x14ac:dyDescent="0.25">
      <c r="A75" s="264"/>
      <c r="B75" s="1669">
        <v>63</v>
      </c>
      <c r="C75" s="2335" t="s">
        <v>797</v>
      </c>
      <c r="D75" s="2335"/>
      <c r="E75" s="2335"/>
      <c r="F75" s="2335"/>
      <c r="G75" s="2335"/>
      <c r="H75" s="2335"/>
      <c r="I75" s="2335"/>
      <c r="J75" s="2335"/>
      <c r="K75" s="2335"/>
      <c r="L75" s="1685" t="s">
        <v>2177</v>
      </c>
      <c r="M75" s="2337" t="str">
        <f>IF('Система отопления'!$G$11,"да","нет")</f>
        <v>нет</v>
      </c>
      <c r="N75" s="2337"/>
      <c r="O75" s="2337"/>
      <c r="P75" s="264"/>
      <c r="Q75" s="264"/>
      <c r="R75" s="264"/>
      <c r="S75" s="264"/>
      <c r="T75" s="264"/>
      <c r="U75" s="264"/>
      <c r="V75" s="264"/>
      <c r="W75" s="264"/>
      <c r="X75" s="264"/>
      <c r="Y75" s="264"/>
      <c r="Z75" s="264"/>
      <c r="AA75" s="264"/>
      <c r="AB75" s="264"/>
      <c r="AC75" s="264"/>
    </row>
    <row r="76" spans="1:29" ht="30" customHeight="1" x14ac:dyDescent="0.25">
      <c r="A76" s="264"/>
      <c r="B76" s="1669">
        <v>64</v>
      </c>
      <c r="C76" s="2335" t="s">
        <v>1678</v>
      </c>
      <c r="D76" s="2335"/>
      <c r="E76" s="2335"/>
      <c r="F76" s="2335"/>
      <c r="G76" s="2335"/>
      <c r="H76" s="2335"/>
      <c r="I76" s="2335"/>
      <c r="J76" s="2335"/>
      <c r="K76" s="2335"/>
      <c r="L76" s="1685" t="s">
        <v>746</v>
      </c>
      <c r="M76" s="2336" t="str">
        <f>IFERROR(CHOOSE('Система отопления'!$F$3,
                                                   "Элеваторный узел",
                                                   "Автоматизированный узел управления системой отопления (АУУ СО)",
                                                   "Автоматизированный индивидуальный тепловой пункт (АИТП)",
                                                   "Без смешивающих устройств (непосредственное подключение)"),"-")</f>
        <v>Элеваторный узел</v>
      </c>
      <c r="N76" s="2336"/>
      <c r="O76" s="2336"/>
      <c r="P76" s="264"/>
      <c r="Q76" s="264"/>
      <c r="R76" s="264"/>
      <c r="S76" s="264"/>
      <c r="T76" s="264"/>
      <c r="U76" s="264"/>
      <c r="V76" s="264"/>
      <c r="W76" s="264"/>
      <c r="X76" s="264"/>
      <c r="Y76" s="264"/>
      <c r="Z76" s="264"/>
      <c r="AA76" s="264"/>
      <c r="AB76" s="264"/>
      <c r="AC76" s="264"/>
    </row>
    <row r="77" spans="1:29" s="1686" customFormat="1" ht="30" customHeight="1" x14ac:dyDescent="0.25">
      <c r="A77" s="264"/>
      <c r="B77" s="2314" t="s">
        <v>2221</v>
      </c>
      <c r="C77" s="2344"/>
      <c r="D77" s="2344"/>
      <c r="E77" s="2344"/>
      <c r="F77" s="2344"/>
      <c r="G77" s="2344"/>
      <c r="H77" s="2344"/>
      <c r="I77" s="2344"/>
      <c r="J77" s="2344"/>
      <c r="K77" s="2344"/>
      <c r="L77" s="2344"/>
      <c r="M77" s="2344"/>
      <c r="N77" s="2344"/>
      <c r="O77" s="2344"/>
      <c r="P77" s="264"/>
      <c r="Q77" s="264"/>
      <c r="R77" s="264"/>
      <c r="S77" s="264"/>
      <c r="T77" s="264"/>
      <c r="U77" s="264"/>
      <c r="V77" s="264"/>
      <c r="W77" s="264"/>
      <c r="X77" s="264"/>
      <c r="Y77" s="264"/>
      <c r="Z77" s="264"/>
      <c r="AA77" s="264"/>
      <c r="AB77" s="264"/>
      <c r="AC77" s="264"/>
    </row>
    <row r="78" spans="1:29" s="1684" customFormat="1" ht="28.5" x14ac:dyDescent="0.25">
      <c r="A78" s="1649"/>
      <c r="B78" s="1670" t="s">
        <v>2152</v>
      </c>
      <c r="C78" s="2345" t="s">
        <v>829</v>
      </c>
      <c r="D78" s="2345"/>
      <c r="E78" s="2345"/>
      <c r="F78" s="2345"/>
      <c r="G78" s="2345"/>
      <c r="H78" s="2345"/>
      <c r="I78" s="2345"/>
      <c r="J78" s="2345"/>
      <c r="K78" s="2345"/>
      <c r="L78" s="1670" t="s">
        <v>2171</v>
      </c>
      <c r="M78" s="2349" t="s">
        <v>862</v>
      </c>
      <c r="N78" s="2350"/>
      <c r="O78" s="2351"/>
      <c r="P78" s="1649"/>
      <c r="Q78" s="1649"/>
      <c r="R78" s="1649"/>
      <c r="S78" s="1649"/>
      <c r="T78" s="1649"/>
      <c r="U78" s="1649"/>
      <c r="V78" s="1649"/>
      <c r="W78" s="1649"/>
      <c r="X78" s="1649"/>
      <c r="Y78" s="1649"/>
      <c r="Z78" s="1649"/>
      <c r="AA78" s="1649"/>
      <c r="AB78" s="1649"/>
      <c r="AC78" s="1649"/>
    </row>
    <row r="79" spans="1:29" ht="30" customHeight="1" x14ac:dyDescent="0.25">
      <c r="A79" s="264"/>
      <c r="B79" s="1669">
        <v>65</v>
      </c>
      <c r="C79" s="2335" t="s">
        <v>2222</v>
      </c>
      <c r="D79" s="2335"/>
      <c r="E79" s="2335"/>
      <c r="F79" s="2335"/>
      <c r="G79" s="2335"/>
      <c r="H79" s="2335"/>
      <c r="I79" s="2335"/>
      <c r="J79" s="2335"/>
      <c r="K79" s="2335"/>
      <c r="L79" s="1685" t="s">
        <v>746</v>
      </c>
      <c r="M79" s="2357" t="str">
        <f>IF(OR(ISBLANK('Ввод исходных данных'!$C$118),ISBLANK('Ввод исходных данных'!$D$118)),"-",MID('Ввод исходных данных'!$C$118,1,LEN('Ввод исходных данных'!$C$118)-4))</f>
        <v>-</v>
      </c>
      <c r="N79" s="2358"/>
      <c r="O79" s="2359"/>
      <c r="P79" s="264"/>
      <c r="Q79" s="264"/>
      <c r="R79" s="264"/>
      <c r="S79" s="264"/>
      <c r="T79" s="264"/>
      <c r="U79" s="264"/>
      <c r="V79" s="264"/>
      <c r="W79" s="264"/>
      <c r="X79" s="264"/>
      <c r="Y79" s="264"/>
      <c r="Z79" s="264"/>
      <c r="AA79" s="264"/>
      <c r="AB79" s="264"/>
      <c r="AC79" s="264"/>
    </row>
    <row r="80" spans="1:29" x14ac:dyDescent="0.25">
      <c r="A80" s="264"/>
      <c r="B80" s="1669">
        <v>66</v>
      </c>
      <c r="C80" s="2335" t="s">
        <v>2223</v>
      </c>
      <c r="D80" s="2335"/>
      <c r="E80" s="2335"/>
      <c r="F80" s="2335"/>
      <c r="G80" s="2335"/>
      <c r="H80" s="2335"/>
      <c r="I80" s="2335"/>
      <c r="J80" s="2335"/>
      <c r="K80" s="2335"/>
      <c r="L80" s="1685" t="s">
        <v>2218</v>
      </c>
      <c r="M80" s="2354" t="str">
        <f>IF(ISBLANK('Ввод исходных данных'!$D$118),"-",'Ввод исходных данных'!$D$118)</f>
        <v>-</v>
      </c>
      <c r="N80" s="2355"/>
      <c r="O80" s="2356"/>
      <c r="P80" s="264"/>
      <c r="Q80" s="264"/>
      <c r="R80" s="264"/>
      <c r="S80" s="264"/>
      <c r="T80" s="264"/>
      <c r="U80" s="264"/>
      <c r="V80" s="264"/>
      <c r="W80" s="264"/>
      <c r="X80" s="264"/>
      <c r="Y80" s="264"/>
      <c r="Z80" s="264"/>
      <c r="AA80" s="264"/>
      <c r="AB80" s="264"/>
      <c r="AC80" s="264"/>
    </row>
    <row r="81" spans="1:29" ht="15" customHeight="1" x14ac:dyDescent="0.25">
      <c r="A81" s="264"/>
      <c r="B81" s="1669">
        <v>67</v>
      </c>
      <c r="C81" s="2335" t="s">
        <v>2224</v>
      </c>
      <c r="D81" s="2335"/>
      <c r="E81" s="2335"/>
      <c r="F81" s="2335"/>
      <c r="G81" s="2335"/>
      <c r="H81" s="2335"/>
      <c r="I81" s="2335"/>
      <c r="J81" s="2335"/>
      <c r="K81" s="2335"/>
      <c r="L81" s="1685" t="s">
        <v>2218</v>
      </c>
      <c r="M81" s="2354" t="str">
        <f>IF(ISBLANK('Ввод исходных данных'!$D$119),"-",'Ввод исходных данных'!$D$119)</f>
        <v>-</v>
      </c>
      <c r="N81" s="2355"/>
      <c r="O81" s="2356"/>
      <c r="P81" s="264"/>
      <c r="Q81" s="264"/>
      <c r="R81" s="264"/>
      <c r="S81" s="264"/>
      <c r="T81" s="264"/>
      <c r="U81" s="264"/>
      <c r="V81" s="264"/>
      <c r="W81" s="264"/>
      <c r="X81" s="264"/>
      <c r="Y81" s="264"/>
      <c r="Z81" s="264"/>
      <c r="AA81" s="264"/>
      <c r="AB81" s="264"/>
      <c r="AC81" s="264"/>
    </row>
    <row r="82" spans="1:29" ht="15" customHeight="1" x14ac:dyDescent="0.25">
      <c r="A82" s="264"/>
      <c r="B82" s="1669">
        <v>68</v>
      </c>
      <c r="C82" s="2335" t="s">
        <v>2225</v>
      </c>
      <c r="D82" s="2335"/>
      <c r="E82" s="2335"/>
      <c r="F82" s="2335"/>
      <c r="G82" s="2335"/>
      <c r="H82" s="2335"/>
      <c r="I82" s="2335"/>
      <c r="J82" s="2335"/>
      <c r="K82" s="2335"/>
      <c r="L82" s="1685" t="s">
        <v>2218</v>
      </c>
      <c r="M82" s="2354" t="str">
        <f>IF(ISBLANK('Ввод исходных данных'!$D$120),"-",'Ввод исходных данных'!$D$120)</f>
        <v>-</v>
      </c>
      <c r="N82" s="2355"/>
      <c r="O82" s="2356"/>
      <c r="P82" s="264"/>
      <c r="Q82" s="264"/>
      <c r="R82" s="264"/>
      <c r="S82" s="264"/>
      <c r="T82" s="264"/>
      <c r="U82" s="264"/>
      <c r="V82" s="264"/>
      <c r="W82" s="264"/>
      <c r="X82" s="264"/>
      <c r="Y82" s="264"/>
      <c r="Z82" s="264"/>
      <c r="AA82" s="264"/>
      <c r="AB82" s="264"/>
      <c r="AC82" s="264"/>
    </row>
    <row r="83" spans="1:29" x14ac:dyDescent="0.25">
      <c r="A83" s="264"/>
      <c r="B83" s="1669">
        <v>69</v>
      </c>
      <c r="C83" s="2335" t="s">
        <v>2226</v>
      </c>
      <c r="D83" s="2335"/>
      <c r="E83" s="2335"/>
      <c r="F83" s="2335"/>
      <c r="G83" s="2335"/>
      <c r="H83" s="2335"/>
      <c r="I83" s="2335"/>
      <c r="J83" s="2335"/>
      <c r="K83" s="2335"/>
      <c r="L83" s="1685" t="s">
        <v>2227</v>
      </c>
      <c r="M83" s="2354" t="str">
        <f>SUM('Ввод исходных данных'!D127:D132)&amp;IF(COUNTIF('Ввод исходных данных'!D127:D132,"&gt;0")&lt;=1,""," ("&amp;IF(MID(P83,1,1)=";",MID(P83,3,LEN(P83)-2),P83)&amp;")")</f>
        <v>14</v>
      </c>
      <c r="N83" s="2355"/>
      <c r="O83" s="2356"/>
      <c r="P83" s="1775" t="str">
        <f>CONCATENATE(IF('Ввод исходных данных'!D127&gt;0,          'Ввод исходных данных'!D127,""),
                        IF('Ввод исходных данных'!D128&gt;0,"; "&amp;'Ввод исходных данных'!D128,""),
                        IF('Ввод исходных данных'!D129&gt;0,"; "&amp;'Ввод исходных данных'!D129,""),
                        IF('Ввод исходных данных'!D130&gt;0,"; "&amp;'Ввод исходных данных'!D130,""),
                        IF('Ввод исходных данных'!D131&gt;0,"; "&amp;'Ввод исходных данных'!D131,""),
                        IF('Ввод исходных данных'!D132&gt;0,"; "&amp;'Ввод исходных данных'!D132,""))</f>
        <v>; 14</v>
      </c>
      <c r="Q83" s="264"/>
      <c r="R83" s="264"/>
      <c r="S83" s="264"/>
      <c r="T83" s="264"/>
      <c r="U83" s="264"/>
      <c r="V83" s="264"/>
      <c r="W83" s="264"/>
      <c r="X83" s="264"/>
      <c r="Y83" s="264"/>
      <c r="Z83" s="264"/>
      <c r="AA83" s="264"/>
      <c r="AB83" s="264"/>
      <c r="AC83" s="264"/>
    </row>
    <row r="84" spans="1:29" ht="15" customHeight="1" x14ac:dyDescent="0.25">
      <c r="A84" s="264"/>
      <c r="B84" s="1669">
        <v>70</v>
      </c>
      <c r="C84" s="2335" t="s">
        <v>2412</v>
      </c>
      <c r="D84" s="2335"/>
      <c r="E84" s="2335"/>
      <c r="F84" s="2335"/>
      <c r="G84" s="2335"/>
      <c r="H84" s="2335"/>
      <c r="I84" s="2335"/>
      <c r="J84" s="2335"/>
      <c r="K84" s="2335"/>
      <c r="L84" s="1685" t="s">
        <v>746</v>
      </c>
      <c r="M84" s="2354" t="str">
        <f>IF(MID(P84,1,1)=";",MID(P84,3,LEN(P84)-2),IF(P84="","-",P84))</f>
        <v>Июнь</v>
      </c>
      <c r="N84" s="2355"/>
      <c r="O84" s="2356"/>
      <c r="P84" s="1775" t="str">
        <f>CONCATENATE(IF('Ввод исходных данных'!D127&gt;0,          'Ввод исходных данных'!C127,""),
                        IF('Ввод исходных данных'!D128&gt;0,"; "&amp;'Ввод исходных данных'!C128,""),
                        IF('Ввод исходных данных'!D129&gt;0,"; "&amp;'Ввод исходных данных'!C129,""),
                        IF('Ввод исходных данных'!D130&gt;0,"; "&amp;'Ввод исходных данных'!C130,""),
                        IF('Ввод исходных данных'!D131&gt;0,"; "&amp;'Ввод исходных данных'!C131,""),
                        IF('Ввод исходных данных'!D132&gt;0,"; "&amp;'Ввод исходных данных'!C132,""))</f>
        <v>; Июнь</v>
      </c>
      <c r="Q84" s="264"/>
      <c r="R84" s="264"/>
      <c r="S84" s="264"/>
      <c r="T84" s="264"/>
      <c r="U84" s="264"/>
      <c r="V84" s="264"/>
      <c r="W84" s="264"/>
      <c r="X84" s="264"/>
      <c r="Y84" s="264"/>
      <c r="Z84" s="264"/>
      <c r="AA84" s="264"/>
      <c r="AB84" s="264"/>
      <c r="AC84" s="264"/>
    </row>
    <row r="85" spans="1:29" ht="30" customHeight="1" x14ac:dyDescent="0.25">
      <c r="A85" s="264"/>
      <c r="B85" s="1669">
        <v>71</v>
      </c>
      <c r="C85" s="2335" t="s">
        <v>783</v>
      </c>
      <c r="D85" s="2335"/>
      <c r="E85" s="2335"/>
      <c r="F85" s="2335"/>
      <c r="G85" s="2335"/>
      <c r="H85" s="2335"/>
      <c r="I85" s="2335"/>
      <c r="J85" s="2335"/>
      <c r="K85" s="2335"/>
      <c r="L85" s="1685" t="s">
        <v>746</v>
      </c>
      <c r="M85" s="2354" t="str">
        <f>IF(ISBLANK('Ввод исходных данных'!$D$121),"-",'Ввод исходных данных'!$D$121)</f>
        <v>-</v>
      </c>
      <c r="N85" s="2355"/>
      <c r="O85" s="2356"/>
      <c r="P85" s="264"/>
      <c r="Q85" s="264"/>
      <c r="R85" s="264"/>
      <c r="S85" s="264"/>
      <c r="T85" s="264"/>
      <c r="U85" s="264"/>
      <c r="V85" s="264"/>
      <c r="W85" s="264"/>
      <c r="X85" s="264"/>
      <c r="Y85" s="264"/>
      <c r="Z85" s="264"/>
      <c r="AA85" s="264"/>
      <c r="AB85" s="264"/>
      <c r="AC85" s="264"/>
    </row>
    <row r="86" spans="1:29" ht="15" customHeight="1" x14ac:dyDescent="0.25">
      <c r="A86" s="264"/>
      <c r="B86" s="1669">
        <v>72</v>
      </c>
      <c r="C86" s="2335" t="s">
        <v>2228</v>
      </c>
      <c r="D86" s="2335"/>
      <c r="E86" s="2335"/>
      <c r="F86" s="2335"/>
      <c r="G86" s="2335"/>
      <c r="H86" s="2335"/>
      <c r="I86" s="2335"/>
      <c r="J86" s="2335"/>
      <c r="K86" s="2335"/>
      <c r="L86" s="1685" t="s">
        <v>2218</v>
      </c>
      <c r="M86" s="2354" t="str">
        <f>IF(ISBLANK('Ввод исходных данных'!$D$122),"-",'Ввод исходных данных'!$D$122)</f>
        <v>-</v>
      </c>
      <c r="N86" s="2355"/>
      <c r="O86" s="2356"/>
      <c r="P86" s="264"/>
      <c r="Q86" s="264"/>
      <c r="R86" s="264"/>
      <c r="S86" s="264"/>
      <c r="T86" s="264"/>
      <c r="U86" s="264"/>
      <c r="V86" s="264"/>
      <c r="W86" s="264"/>
      <c r="X86" s="264"/>
      <c r="Y86" s="264"/>
      <c r="Z86" s="264"/>
      <c r="AA86" s="264"/>
      <c r="AB86" s="264"/>
      <c r="AC86" s="264"/>
    </row>
    <row r="87" spans="1:29" ht="30" customHeight="1" x14ac:dyDescent="0.25">
      <c r="A87" s="264"/>
      <c r="B87" s="1669">
        <v>73</v>
      </c>
      <c r="C87" s="2335" t="s">
        <v>1394</v>
      </c>
      <c r="D87" s="2335"/>
      <c r="E87" s="2335"/>
      <c r="F87" s="2335"/>
      <c r="G87" s="2335"/>
      <c r="H87" s="2335"/>
      <c r="I87" s="2335"/>
      <c r="J87" s="2335"/>
      <c r="K87" s="2335"/>
      <c r="L87" s="1685" t="s">
        <v>746</v>
      </c>
      <c r="M87" s="2357" t="str">
        <f>IFERROR(CHOOSE('Система ГВС'!$E$4,
                                                   "умывальники, мойки, души, сидячие ванны",
                                                   "умывальники, мойки, души, ванны от 1,5 м",
                                                   "умывальники, мойки, души, ванны от 1,5 м с квартирными регуляторами давления",
                                                   "с повышенными требованиями к благоустройству"),"-")</f>
        <v>умывальники, мойки, души, ванны от 1,5 м</v>
      </c>
      <c r="N87" s="2358"/>
      <c r="O87" s="2359"/>
      <c r="P87" s="264"/>
      <c r="Q87" s="264"/>
      <c r="R87" s="264"/>
      <c r="S87" s="264"/>
      <c r="T87" s="264"/>
      <c r="U87" s="264"/>
      <c r="V87" s="264"/>
      <c r="W87" s="264"/>
      <c r="X87" s="264"/>
      <c r="Y87" s="264"/>
      <c r="Z87" s="264"/>
      <c r="AA87" s="264"/>
      <c r="AB87" s="264"/>
      <c r="AC87" s="264"/>
    </row>
    <row r="88" spans="1:29" x14ac:dyDescent="0.25">
      <c r="A88" s="264"/>
      <c r="B88" s="1669">
        <v>74</v>
      </c>
      <c r="C88" s="2360" t="s">
        <v>2229</v>
      </c>
      <c r="D88" s="2361"/>
      <c r="E88" s="2364" t="s">
        <v>2230</v>
      </c>
      <c r="F88" s="2365"/>
      <c r="G88" s="2365"/>
      <c r="H88" s="2365"/>
      <c r="I88" s="2365"/>
      <c r="J88" s="2365"/>
      <c r="K88" s="2366"/>
      <c r="L88" s="1685" t="s">
        <v>2177</v>
      </c>
      <c r="M88" s="2354" t="str">
        <f>IF('Система ГВС'!$G$15,"да","нет")</f>
        <v>нет</v>
      </c>
      <c r="N88" s="2355"/>
      <c r="O88" s="2356"/>
      <c r="P88" s="264"/>
      <c r="Q88" s="264"/>
      <c r="R88" s="264"/>
      <c r="S88" s="264"/>
      <c r="T88" s="264"/>
      <c r="U88" s="264"/>
      <c r="V88" s="264"/>
      <c r="W88" s="264"/>
      <c r="X88" s="264"/>
      <c r="Y88" s="264"/>
      <c r="Z88" s="264"/>
      <c r="AA88" s="264"/>
      <c r="AB88" s="264"/>
      <c r="AC88" s="264"/>
    </row>
    <row r="89" spans="1:29" x14ac:dyDescent="0.25">
      <c r="A89" s="264"/>
      <c r="B89" s="1669">
        <v>75</v>
      </c>
      <c r="C89" s="2362"/>
      <c r="D89" s="2363"/>
      <c r="E89" s="2364" t="s">
        <v>730</v>
      </c>
      <c r="F89" s="2365"/>
      <c r="G89" s="2365"/>
      <c r="H89" s="2365"/>
      <c r="I89" s="2365"/>
      <c r="J89" s="2365"/>
      <c r="K89" s="2366"/>
      <c r="L89" s="1685" t="s">
        <v>2177</v>
      </c>
      <c r="M89" s="2354" t="str">
        <f>IF('Система ГВС'!$G$16,"да","нет")</f>
        <v>нет</v>
      </c>
      <c r="N89" s="2355"/>
      <c r="O89" s="2356"/>
      <c r="P89" s="264"/>
      <c r="Q89" s="264"/>
      <c r="R89" s="264"/>
      <c r="S89" s="264"/>
      <c r="T89" s="264"/>
      <c r="U89" s="264"/>
      <c r="V89" s="264"/>
      <c r="W89" s="264"/>
      <c r="X89" s="264"/>
      <c r="Y89" s="264"/>
      <c r="Z89" s="264"/>
      <c r="AA89" s="264"/>
      <c r="AB89" s="264"/>
      <c r="AC89" s="264"/>
    </row>
    <row r="90" spans="1:29" x14ac:dyDescent="0.25">
      <c r="A90" s="264"/>
      <c r="B90" s="1669">
        <v>76</v>
      </c>
      <c r="C90" s="2362"/>
      <c r="D90" s="2363"/>
      <c r="E90" s="2364" t="s">
        <v>2231</v>
      </c>
      <c r="F90" s="2365"/>
      <c r="G90" s="2365"/>
      <c r="H90" s="2365"/>
      <c r="I90" s="2365"/>
      <c r="J90" s="2365"/>
      <c r="K90" s="2366"/>
      <c r="L90" s="1685" t="s">
        <v>2177</v>
      </c>
      <c r="M90" s="2354" t="str">
        <f>IF('Система ГВС'!$G$17,"да","нет")</f>
        <v>нет</v>
      </c>
      <c r="N90" s="2355"/>
      <c r="O90" s="2356"/>
      <c r="P90" s="264"/>
      <c r="Q90" s="264"/>
      <c r="R90" s="264"/>
      <c r="S90" s="264"/>
      <c r="T90" s="264"/>
      <c r="U90" s="264"/>
      <c r="V90" s="264"/>
      <c r="W90" s="264"/>
      <c r="X90" s="264"/>
      <c r="Y90" s="264"/>
      <c r="Z90" s="264"/>
      <c r="AA90" s="264"/>
      <c r="AB90" s="264"/>
      <c r="AC90" s="264"/>
    </row>
    <row r="91" spans="1:29" s="1686" customFormat="1" ht="30" customHeight="1" x14ac:dyDescent="0.25">
      <c r="A91" s="264"/>
      <c r="B91" s="2314" t="s">
        <v>2232</v>
      </c>
      <c r="C91" s="2314"/>
      <c r="D91" s="2314"/>
      <c r="E91" s="2314"/>
      <c r="F91" s="2314"/>
      <c r="G91" s="2314"/>
      <c r="H91" s="2314"/>
      <c r="I91" s="2314"/>
      <c r="J91" s="2314"/>
      <c r="K91" s="2314"/>
      <c r="L91" s="2314"/>
      <c r="M91" s="2314"/>
      <c r="N91" s="2314"/>
      <c r="O91" s="2314"/>
      <c r="P91" s="264"/>
      <c r="Q91" s="264"/>
      <c r="R91" s="264"/>
      <c r="S91" s="264"/>
      <c r="T91" s="264"/>
      <c r="U91" s="264"/>
      <c r="V91" s="264"/>
      <c r="W91" s="264"/>
      <c r="X91" s="264"/>
      <c r="Y91" s="264"/>
      <c r="Z91" s="264"/>
      <c r="AA91" s="264"/>
      <c r="AB91" s="264"/>
      <c r="AC91" s="264"/>
    </row>
    <row r="92" spans="1:29" s="1687" customFormat="1" ht="60" customHeight="1" x14ac:dyDescent="0.25">
      <c r="A92" s="1652"/>
      <c r="B92" s="2315" t="s">
        <v>2152</v>
      </c>
      <c r="C92" s="2315" t="s">
        <v>1679</v>
      </c>
      <c r="D92" s="2315"/>
      <c r="E92" s="2315"/>
      <c r="F92" s="2315" t="s">
        <v>2233</v>
      </c>
      <c r="G92" s="2315"/>
      <c r="H92" s="2315" t="s">
        <v>2234</v>
      </c>
      <c r="I92" s="2315"/>
      <c r="J92" s="2315" t="s">
        <v>2235</v>
      </c>
      <c r="K92" s="2315"/>
      <c r="L92" s="2315" t="s">
        <v>2236</v>
      </c>
      <c r="M92" s="2315"/>
      <c r="N92" s="2315" t="s">
        <v>2237</v>
      </c>
      <c r="O92" s="2315"/>
      <c r="P92" s="1652"/>
      <c r="Q92" s="1652"/>
      <c r="R92" s="1652"/>
      <c r="S92" s="1652"/>
      <c r="T92" s="1652"/>
      <c r="U92" s="1652"/>
      <c r="V92" s="1652"/>
      <c r="W92" s="1652"/>
      <c r="X92" s="1652"/>
      <c r="Y92" s="1652"/>
      <c r="Z92" s="1652"/>
      <c r="AA92" s="1652"/>
      <c r="AB92" s="1652"/>
      <c r="AC92" s="1652"/>
    </row>
    <row r="93" spans="1:29" s="1686" customFormat="1" x14ac:dyDescent="0.25">
      <c r="A93" s="1653"/>
      <c r="B93" s="2315"/>
      <c r="C93" s="2315"/>
      <c r="D93" s="2315"/>
      <c r="E93" s="2315"/>
      <c r="F93" s="2353" t="s">
        <v>2039</v>
      </c>
      <c r="G93" s="2353"/>
      <c r="H93" s="2315"/>
      <c r="I93" s="2315"/>
      <c r="J93" s="2353" t="s">
        <v>1771</v>
      </c>
      <c r="K93" s="2353"/>
      <c r="L93" s="2353" t="s">
        <v>2060</v>
      </c>
      <c r="M93" s="2353"/>
      <c r="N93" s="2315"/>
      <c r="O93" s="2315"/>
      <c r="P93" s="1653"/>
      <c r="Q93" s="1653"/>
      <c r="R93" s="1653"/>
      <c r="S93" s="1653"/>
      <c r="T93" s="1653"/>
      <c r="U93" s="1653"/>
      <c r="V93" s="1653"/>
      <c r="W93" s="1653"/>
      <c r="X93" s="1653"/>
      <c r="Y93" s="1653"/>
      <c r="Z93" s="1653"/>
      <c r="AA93" s="1653"/>
      <c r="AB93" s="1653"/>
      <c r="AC93" s="1653"/>
    </row>
    <row r="94" spans="1:29" ht="30" customHeight="1" x14ac:dyDescent="0.25">
      <c r="A94" s="264"/>
      <c r="B94" s="1669">
        <v>77</v>
      </c>
      <c r="C94" s="2298" t="s">
        <v>1682</v>
      </c>
      <c r="D94" s="2298"/>
      <c r="E94" s="2298"/>
      <c r="F94" s="2299" t="str">
        <f>IF(OR(J94="-",L94="-",ISBLANK('Ввод исходных данных'!$H151)),"-",'Ввод исходных данных'!$H151)</f>
        <v>-</v>
      </c>
      <c r="G94" s="2299"/>
      <c r="H94" s="2352" t="str">
        <f>IF(OR(J94="-",L94="-",ISBLANK('Ввод исходных данных'!$E151)),"-",'Ввод исходных данных'!$E151)</f>
        <v>-</v>
      </c>
      <c r="I94" s="2352"/>
      <c r="J94" s="2299" t="str">
        <f>IF(ISBLANK('Ввод исходных данных'!D$151),"-",'Ввод исходных данных'!$D$151)</f>
        <v>-</v>
      </c>
      <c r="K94" s="2299"/>
      <c r="L94" s="2299" t="str">
        <f>IF(ISBLANK('Ввод исходных данных'!$F$151),"-",'Ввод исходных данных'!$F$151)</f>
        <v>-</v>
      </c>
      <c r="M94" s="2299"/>
      <c r="N94" s="2299" t="str">
        <f>IF(OR(J94="-",L94="-",ISBLANK('Ввод исходных данных'!$G151)),"-",'Ввод исходных данных'!$G151)</f>
        <v>-</v>
      </c>
      <c r="O94" s="2299"/>
      <c r="P94" s="264"/>
      <c r="Q94" s="264"/>
      <c r="R94" s="264"/>
      <c r="S94" s="264"/>
      <c r="T94" s="264"/>
      <c r="U94" s="264"/>
      <c r="V94" s="264"/>
      <c r="W94" s="264"/>
      <c r="X94" s="264"/>
      <c r="Y94" s="264"/>
      <c r="Z94" s="264"/>
      <c r="AA94" s="264"/>
      <c r="AB94" s="264"/>
      <c r="AC94" s="264"/>
    </row>
    <row r="95" spans="1:29" ht="30" customHeight="1" x14ac:dyDescent="0.25">
      <c r="A95" s="264"/>
      <c r="B95" s="1669">
        <v>78</v>
      </c>
      <c r="C95" s="2298" t="s">
        <v>1683</v>
      </c>
      <c r="D95" s="2298"/>
      <c r="E95" s="2298"/>
      <c r="F95" s="2299" t="str">
        <f>IF(OR(J95="-",L95="-",ISBLANK('Ввод исходных данных'!$H152)),"-",'Ввод исходных данных'!$H152)</f>
        <v>-</v>
      </c>
      <c r="G95" s="2299"/>
      <c r="H95" s="2352" t="str">
        <f>IF(OR(J95="-",L95="-",ISBLANK('Ввод исходных данных'!$E152)),"-",'Ввод исходных данных'!$E152)</f>
        <v>-</v>
      </c>
      <c r="I95" s="2352"/>
      <c r="J95" s="2299" t="str">
        <f>IF(ISBLANK('Ввод исходных данных'!D$152),"-",'Ввод исходных данных'!$D$152)</f>
        <v>-</v>
      </c>
      <c r="K95" s="2299"/>
      <c r="L95" s="2299" t="str">
        <f>IF(ISBLANK('Ввод исходных данных'!$F$152),"-",'Ввод исходных данных'!$F$152)</f>
        <v>-</v>
      </c>
      <c r="M95" s="2299"/>
      <c r="N95" s="2299" t="str">
        <f>IF(OR(J95="-",L95="-",ISBLANK('Ввод исходных данных'!$G152)),"-",'Ввод исходных данных'!$G152)</f>
        <v>-</v>
      </c>
      <c r="O95" s="2299"/>
      <c r="P95" s="264"/>
      <c r="Q95" s="264"/>
      <c r="R95" s="264"/>
      <c r="S95" s="264"/>
      <c r="T95" s="264"/>
      <c r="U95" s="264"/>
      <c r="V95" s="264"/>
      <c r="W95" s="264"/>
      <c r="X95" s="264"/>
      <c r="Y95" s="264"/>
      <c r="Z95" s="264"/>
      <c r="AA95" s="264"/>
      <c r="AB95" s="264"/>
      <c r="AC95" s="264"/>
    </row>
    <row r="96" spans="1:29" ht="30" customHeight="1" x14ac:dyDescent="0.25">
      <c r="A96" s="264"/>
      <c r="B96" s="1669">
        <v>79</v>
      </c>
      <c r="C96" s="2298" t="s">
        <v>1684</v>
      </c>
      <c r="D96" s="2298"/>
      <c r="E96" s="2298"/>
      <c r="F96" s="2299" t="str">
        <f>IF(OR(J96="-",L96="-",ISBLANK('Ввод исходных данных'!$H153)),"-",'Ввод исходных данных'!$H153)</f>
        <v>-</v>
      </c>
      <c r="G96" s="2299"/>
      <c r="H96" s="2352" t="str">
        <f>IF(OR(J96="-",L96="-",ISBLANK('Ввод исходных данных'!$E153)),"-",'Ввод исходных данных'!$E153)</f>
        <v>-</v>
      </c>
      <c r="I96" s="2352"/>
      <c r="J96" s="2299" t="str">
        <f>IF(ISBLANK('Ввод исходных данных'!D$153),"-",'Ввод исходных данных'!$D$153)</f>
        <v>-</v>
      </c>
      <c r="K96" s="2299"/>
      <c r="L96" s="2299" t="str">
        <f>IF(ISBLANK('Ввод исходных данных'!$F$153),"-",'Ввод исходных данных'!$F$153)</f>
        <v>-</v>
      </c>
      <c r="M96" s="2299"/>
      <c r="N96" s="2299" t="str">
        <f>IF(OR(J96="-",L96="-",ISBLANK('Ввод исходных данных'!$G153)),"-",'Ввод исходных данных'!$G153)</f>
        <v>-</v>
      </c>
      <c r="O96" s="2299"/>
      <c r="P96" s="264"/>
      <c r="Q96" s="264"/>
      <c r="R96" s="264"/>
      <c r="S96" s="264"/>
      <c r="T96" s="264"/>
      <c r="U96" s="264"/>
      <c r="V96" s="264"/>
      <c r="W96" s="264"/>
      <c r="X96" s="264"/>
      <c r="Y96" s="264"/>
      <c r="Z96" s="264"/>
      <c r="AA96" s="264"/>
      <c r="AB96" s="264"/>
      <c r="AC96" s="264"/>
    </row>
    <row r="97" spans="1:29" ht="30" customHeight="1" x14ac:dyDescent="0.25">
      <c r="A97" s="264"/>
      <c r="B97" s="1669">
        <v>80</v>
      </c>
      <c r="C97" s="2298" t="s">
        <v>1681</v>
      </c>
      <c r="D97" s="2298"/>
      <c r="E97" s="2298"/>
      <c r="F97" s="2299" t="str">
        <f>IF(OR(J97="-",L97="-",ISBLANK('Ввод исходных данных'!$H154)),"-",'Ввод исходных данных'!$H154)</f>
        <v>-</v>
      </c>
      <c r="G97" s="2299"/>
      <c r="H97" s="2352" t="str">
        <f>IF(OR(J97="-",L97="-",ISBLANK('Ввод исходных данных'!$E154)),"-",'Ввод исходных данных'!$E154)</f>
        <v>-</v>
      </c>
      <c r="I97" s="2352"/>
      <c r="J97" s="2299" t="str">
        <f>IF(ISBLANK('Ввод исходных данных'!D$154),"-",'Ввод исходных данных'!$D$154)</f>
        <v>-</v>
      </c>
      <c r="K97" s="2299"/>
      <c r="L97" s="2299" t="str">
        <f>IF(ISBLANK('Ввод исходных данных'!$F$154),"-",'Ввод исходных данных'!$F$154)</f>
        <v>-</v>
      </c>
      <c r="M97" s="2299"/>
      <c r="N97" s="2299" t="str">
        <f>IF(OR(J97="-",L97="-",ISBLANK('Ввод исходных данных'!$G154)),"-",'Ввод исходных данных'!$G154)</f>
        <v>-</v>
      </c>
      <c r="O97" s="2299"/>
      <c r="P97" s="264"/>
      <c r="Q97" s="264"/>
      <c r="R97" s="264"/>
      <c r="S97" s="264"/>
      <c r="T97" s="264"/>
      <c r="U97" s="264"/>
      <c r="V97" s="264"/>
      <c r="W97" s="264"/>
      <c r="X97" s="264"/>
      <c r="Y97" s="264"/>
      <c r="Z97" s="264"/>
      <c r="AA97" s="264"/>
      <c r="AB97" s="264"/>
      <c r="AC97" s="264"/>
    </row>
    <row r="98" spans="1:29" ht="30" customHeight="1" x14ac:dyDescent="0.25">
      <c r="A98" s="264"/>
      <c r="B98" s="1669">
        <v>81</v>
      </c>
      <c r="C98" s="2298" t="s">
        <v>1410</v>
      </c>
      <c r="D98" s="2298"/>
      <c r="E98" s="2298"/>
      <c r="F98" s="2299" t="str">
        <f>IF(OR(J98="-",L98="-",ISBLANK('Ввод исходных данных'!$H155)),"-",'Ввод исходных данных'!$H155)</f>
        <v>-</v>
      </c>
      <c r="G98" s="2299"/>
      <c r="H98" s="2352" t="str">
        <f>IF(OR(J98="-",L98="-",ISBLANK('Ввод исходных данных'!$E155)),"-",'Ввод исходных данных'!$E155)</f>
        <v>-</v>
      </c>
      <c r="I98" s="2352"/>
      <c r="J98" s="2299" t="str">
        <f>IF(ISBLANK('Ввод исходных данных'!D$155),"-",'Ввод исходных данных'!$D$155)</f>
        <v>-</v>
      </c>
      <c r="K98" s="2299"/>
      <c r="L98" s="2299" t="str">
        <f>IF(ISBLANK('Ввод исходных данных'!$F$155),"-",'Ввод исходных данных'!$F$155)</f>
        <v>-</v>
      </c>
      <c r="M98" s="2299"/>
      <c r="N98" s="2299" t="str">
        <f>IF(OR(J98="-",L98="-",ISBLANK('Ввод исходных данных'!$G155)),"-",'Ввод исходных данных'!$G155)</f>
        <v>-</v>
      </c>
      <c r="O98" s="2299"/>
      <c r="P98" s="264"/>
      <c r="Q98" s="264"/>
      <c r="R98" s="264"/>
      <c r="S98" s="264"/>
      <c r="T98" s="264"/>
      <c r="U98" s="264"/>
      <c r="V98" s="264"/>
      <c r="W98" s="264"/>
      <c r="X98" s="264"/>
      <c r="Y98" s="264"/>
      <c r="Z98" s="264"/>
      <c r="AA98" s="264"/>
      <c r="AB98" s="264"/>
      <c r="AC98" s="264"/>
    </row>
    <row r="99" spans="1:29" ht="30" customHeight="1" x14ac:dyDescent="0.25">
      <c r="A99" s="264"/>
      <c r="B99" s="1669">
        <v>82</v>
      </c>
      <c r="C99" s="2298" t="s">
        <v>1833</v>
      </c>
      <c r="D99" s="2298"/>
      <c r="E99" s="2298"/>
      <c r="F99" s="2299" t="str">
        <f>IF(OR(J99="-",L99="-",ISBLANK('Ввод исходных данных'!$H156)),"-",'Ввод исходных данных'!$H156)</f>
        <v>-</v>
      </c>
      <c r="G99" s="2299"/>
      <c r="H99" s="2352" t="str">
        <f>IF(OR(J99="-",L99="-",ISBLANK('Ввод исходных данных'!$E156)),"-",'Ввод исходных данных'!$E156)</f>
        <v>-</v>
      </c>
      <c r="I99" s="2352"/>
      <c r="J99" s="2299" t="str">
        <f>IF(ISBLANK('Ввод исходных данных'!D$156),"-",'Ввод исходных данных'!$D$156)</f>
        <v>-</v>
      </c>
      <c r="K99" s="2299"/>
      <c r="L99" s="2299" t="str">
        <f>IF(ISBLANK('Ввод исходных данных'!$F$156),"-",'Ввод исходных данных'!$F$156)</f>
        <v>-</v>
      </c>
      <c r="M99" s="2299"/>
      <c r="N99" s="2299" t="str">
        <f>IF(OR(J99="-",L99="-",ISBLANK('Ввод исходных данных'!$G156)),"-",'Ввод исходных данных'!$G156)</f>
        <v>-</v>
      </c>
      <c r="O99" s="2299"/>
      <c r="P99" s="264"/>
      <c r="Q99" s="264"/>
      <c r="R99" s="264"/>
      <c r="S99" s="264"/>
      <c r="T99" s="264"/>
      <c r="U99" s="264"/>
      <c r="V99" s="264"/>
      <c r="W99" s="264"/>
      <c r="X99" s="264"/>
      <c r="Y99" s="264"/>
      <c r="Z99" s="264"/>
      <c r="AA99" s="264"/>
      <c r="AB99" s="264"/>
      <c r="AC99" s="264"/>
    </row>
    <row r="100" spans="1:29" s="1686" customFormat="1" ht="30" customHeight="1" x14ac:dyDescent="0.25">
      <c r="A100" s="264"/>
      <c r="B100" s="2314" t="s">
        <v>2238</v>
      </c>
      <c r="C100" s="2314"/>
      <c r="D100" s="2314"/>
      <c r="E100" s="2314"/>
      <c r="F100" s="2314"/>
      <c r="G100" s="2314"/>
      <c r="H100" s="2314"/>
      <c r="I100" s="2314"/>
      <c r="J100" s="2314"/>
      <c r="K100" s="2314"/>
      <c r="L100" s="2314"/>
      <c r="M100" s="2314"/>
      <c r="N100" s="2314"/>
      <c r="O100" s="2314"/>
      <c r="P100" s="264"/>
      <c r="Q100" s="264"/>
      <c r="R100" s="264"/>
      <c r="S100" s="264"/>
      <c r="T100" s="264"/>
      <c r="U100" s="264"/>
      <c r="V100" s="264"/>
      <c r="W100" s="264"/>
      <c r="X100" s="264"/>
      <c r="Y100" s="264"/>
      <c r="Z100" s="264"/>
      <c r="AA100" s="264"/>
      <c r="AB100" s="264"/>
      <c r="AC100" s="264"/>
    </row>
    <row r="101" spans="1:29" s="1684" customFormat="1" ht="28.5" x14ac:dyDescent="0.25">
      <c r="A101" s="1649"/>
      <c r="B101" s="1670" t="s">
        <v>2152</v>
      </c>
      <c r="C101" s="2345" t="s">
        <v>829</v>
      </c>
      <c r="D101" s="2345"/>
      <c r="E101" s="2345"/>
      <c r="F101" s="2345"/>
      <c r="G101" s="2345"/>
      <c r="H101" s="2345"/>
      <c r="I101" s="2345"/>
      <c r="J101" s="2345"/>
      <c r="K101" s="2345"/>
      <c r="L101" s="1670" t="s">
        <v>2171</v>
      </c>
      <c r="M101" s="2349" t="s">
        <v>862</v>
      </c>
      <c r="N101" s="2350"/>
      <c r="O101" s="2351"/>
      <c r="P101" s="1649"/>
      <c r="Q101" s="1649"/>
      <c r="R101" s="1649"/>
      <c r="S101" s="1649"/>
      <c r="T101" s="1649"/>
      <c r="U101" s="1649"/>
      <c r="V101" s="1649"/>
      <c r="W101" s="1649"/>
      <c r="X101" s="1649"/>
      <c r="Y101" s="1649"/>
      <c r="Z101" s="1649"/>
      <c r="AA101" s="1649"/>
      <c r="AB101" s="1649"/>
      <c r="AC101" s="1649"/>
    </row>
    <row r="102" spans="1:29" x14ac:dyDescent="0.25">
      <c r="A102" s="264"/>
      <c r="B102" s="1669">
        <v>83</v>
      </c>
      <c r="C102" s="2336" t="s">
        <v>2239</v>
      </c>
      <c r="D102" s="2336"/>
      <c r="E102" s="2347" t="s">
        <v>1292</v>
      </c>
      <c r="F102" s="2347"/>
      <c r="G102" s="2347"/>
      <c r="H102" s="2347"/>
      <c r="I102" s="2347"/>
      <c r="J102" s="2347"/>
      <c r="K102" s="2347"/>
      <c r="L102" s="1685" t="s">
        <v>1771</v>
      </c>
      <c r="M102" s="2341" t="str">
        <f>IF(ISBLANK('Ввод исходных данных'!$D$159),"-",'Ввод исходных данных'!$D$159)</f>
        <v>-</v>
      </c>
      <c r="N102" s="2342"/>
      <c r="O102" s="2343"/>
      <c r="P102" s="264"/>
      <c r="Q102" s="264"/>
      <c r="R102" s="264"/>
      <c r="S102" s="264"/>
      <c r="T102" s="264"/>
      <c r="U102" s="264"/>
      <c r="V102" s="264"/>
      <c r="W102" s="264"/>
      <c r="X102" s="264"/>
      <c r="Y102" s="264"/>
      <c r="Z102" s="264"/>
      <c r="AA102" s="264"/>
      <c r="AB102" s="264"/>
      <c r="AC102" s="264"/>
    </row>
    <row r="103" spans="1:29" ht="30" customHeight="1" x14ac:dyDescent="0.25">
      <c r="A103" s="264"/>
      <c r="B103" s="1669">
        <v>84</v>
      </c>
      <c r="C103" s="2336"/>
      <c r="D103" s="2336"/>
      <c r="E103" s="2348" t="s">
        <v>2240</v>
      </c>
      <c r="F103" s="2348"/>
      <c r="G103" s="2348"/>
      <c r="H103" s="2348"/>
      <c r="I103" s="2348"/>
      <c r="J103" s="2348"/>
      <c r="K103" s="2348"/>
      <c r="L103" s="1685" t="s">
        <v>1771</v>
      </c>
      <c r="M103" s="2341" t="str">
        <f>IF(ISBLANK('Ввод исходных данных'!$D$160),"-",'Ввод исходных данных'!$D$160)</f>
        <v>-</v>
      </c>
      <c r="N103" s="2342"/>
      <c r="O103" s="2343"/>
      <c r="P103" s="264"/>
      <c r="Q103" s="264"/>
      <c r="R103" s="264"/>
      <c r="S103" s="264"/>
      <c r="T103" s="264"/>
      <c r="U103" s="264"/>
      <c r="V103" s="264"/>
      <c r="W103" s="264"/>
      <c r="X103" s="264"/>
      <c r="Y103" s="264"/>
      <c r="Z103" s="264"/>
      <c r="AA103" s="264"/>
      <c r="AB103" s="264"/>
      <c r="AC103" s="264"/>
    </row>
    <row r="104" spans="1:29" x14ac:dyDescent="0.25">
      <c r="A104" s="264"/>
      <c r="B104" s="1669">
        <v>85</v>
      </c>
      <c r="C104" s="2335" t="s">
        <v>2241</v>
      </c>
      <c r="D104" s="2335"/>
      <c r="E104" s="2335"/>
      <c r="F104" s="2335"/>
      <c r="G104" s="2335"/>
      <c r="H104" s="2335"/>
      <c r="I104" s="2335"/>
      <c r="J104" s="2335"/>
      <c r="K104" s="2335"/>
      <c r="L104" s="1685" t="s">
        <v>1525</v>
      </c>
      <c r="M104" s="2341" t="str">
        <f>IF(ISBLANK('Ввод исходных данных'!$D$161),"-",'Ввод исходных данных'!$D$161)</f>
        <v>-</v>
      </c>
      <c r="N104" s="2342"/>
      <c r="O104" s="2343"/>
      <c r="P104" s="264"/>
      <c r="Q104" s="264"/>
      <c r="R104" s="264"/>
      <c r="S104" s="264"/>
      <c r="T104" s="264"/>
      <c r="U104" s="264"/>
      <c r="V104" s="264"/>
      <c r="W104" s="264"/>
      <c r="X104" s="264"/>
      <c r="Y104" s="264"/>
      <c r="Z104" s="264"/>
      <c r="AA104" s="264"/>
      <c r="AB104" s="264"/>
      <c r="AC104" s="264"/>
    </row>
    <row r="105" spans="1:29" ht="15" customHeight="1" x14ac:dyDescent="0.25">
      <c r="A105" s="264"/>
      <c r="B105" s="1669">
        <v>86</v>
      </c>
      <c r="C105" s="2335" t="s">
        <v>2242</v>
      </c>
      <c r="D105" s="2335"/>
      <c r="E105" s="2335"/>
      <c r="F105" s="2335"/>
      <c r="G105" s="2335"/>
      <c r="H105" s="2335"/>
      <c r="I105" s="2335"/>
      <c r="J105" s="2335"/>
      <c r="K105" s="2335"/>
      <c r="L105" s="1685" t="s">
        <v>2039</v>
      </c>
      <c r="M105" s="2341" t="str">
        <f>IF(OR(M102="-",ISBLANK('Ввод исходных данных'!$D$162)),"-",'Ввод исходных данных'!$D$162)</f>
        <v>-</v>
      </c>
      <c r="N105" s="2342"/>
      <c r="O105" s="2343"/>
      <c r="P105" s="264"/>
      <c r="Q105" s="264"/>
      <c r="R105" s="264"/>
      <c r="S105" s="264"/>
      <c r="T105" s="264"/>
      <c r="U105" s="264"/>
      <c r="V105" s="264"/>
      <c r="W105" s="264"/>
      <c r="X105" s="264"/>
      <c r="Y105" s="264"/>
      <c r="Z105" s="264"/>
      <c r="AA105" s="264"/>
      <c r="AB105" s="264"/>
      <c r="AC105" s="264"/>
    </row>
    <row r="106" spans="1:29" ht="15" customHeight="1" x14ac:dyDescent="0.25">
      <c r="A106" s="264"/>
      <c r="B106" s="1669">
        <v>87</v>
      </c>
      <c r="C106" s="2335" t="s">
        <v>2243</v>
      </c>
      <c r="D106" s="2335"/>
      <c r="E106" s="2347" t="s">
        <v>1292</v>
      </c>
      <c r="F106" s="2347"/>
      <c r="G106" s="2347"/>
      <c r="H106" s="2347"/>
      <c r="I106" s="2347"/>
      <c r="J106" s="2347"/>
      <c r="K106" s="2347"/>
      <c r="L106" s="1685" t="s">
        <v>1771</v>
      </c>
      <c r="M106" s="2341" t="str">
        <f>IF(ISBLANK('Ввод исходных данных'!$D165),"-",'Ввод исходных данных'!$D165)</f>
        <v>-</v>
      </c>
      <c r="N106" s="2342"/>
      <c r="O106" s="2343"/>
      <c r="P106" s="264"/>
      <c r="Q106" s="264"/>
      <c r="R106" s="264"/>
      <c r="S106" s="264"/>
      <c r="T106" s="264"/>
      <c r="U106" s="264"/>
      <c r="V106" s="264"/>
      <c r="W106" s="264"/>
      <c r="X106" s="264"/>
      <c r="Y106" s="264"/>
      <c r="Z106" s="264"/>
      <c r="AA106" s="264"/>
      <c r="AB106" s="264"/>
      <c r="AC106" s="264"/>
    </row>
    <row r="107" spans="1:29" ht="30" customHeight="1" x14ac:dyDescent="0.25">
      <c r="A107" s="264"/>
      <c r="B107" s="1669">
        <v>88</v>
      </c>
      <c r="C107" s="2335"/>
      <c r="D107" s="2335"/>
      <c r="E107" s="2348" t="s">
        <v>2244</v>
      </c>
      <c r="F107" s="2348"/>
      <c r="G107" s="2348"/>
      <c r="H107" s="2348"/>
      <c r="I107" s="2348"/>
      <c r="J107" s="2348"/>
      <c r="K107" s="2348"/>
      <c r="L107" s="1685" t="s">
        <v>1771</v>
      </c>
      <c r="M107" s="2341" t="str">
        <f>IF(ISBLANK('Ввод исходных данных'!$D166),"-",'Ввод исходных данных'!$D166)</f>
        <v>-</v>
      </c>
      <c r="N107" s="2342"/>
      <c r="O107" s="2343"/>
      <c r="P107" s="264"/>
      <c r="Q107" s="264"/>
      <c r="R107" s="264"/>
      <c r="S107" s="264"/>
      <c r="T107" s="264"/>
      <c r="U107" s="264"/>
      <c r="V107" s="264"/>
      <c r="W107" s="264"/>
      <c r="X107" s="264"/>
      <c r="Y107" s="264"/>
      <c r="Z107" s="264"/>
      <c r="AA107" s="264"/>
      <c r="AB107" s="264"/>
      <c r="AC107" s="264"/>
    </row>
    <row r="108" spans="1:29" ht="15" customHeight="1" x14ac:dyDescent="0.25">
      <c r="A108" s="264"/>
      <c r="B108" s="1669">
        <v>89</v>
      </c>
      <c r="C108" s="2347" t="s">
        <v>2245</v>
      </c>
      <c r="D108" s="2347"/>
      <c r="E108" s="2347"/>
      <c r="F108" s="2347"/>
      <c r="G108" s="2347"/>
      <c r="H108" s="2347"/>
      <c r="I108" s="2347"/>
      <c r="J108" s="2347"/>
      <c r="K108" s="2347"/>
      <c r="L108" s="1685" t="s">
        <v>1525</v>
      </c>
      <c r="M108" s="2341" t="str">
        <f>IF(ISBLANK('Ввод исходных данных'!$D167),"-",'Ввод исходных данных'!$D167)</f>
        <v>-</v>
      </c>
      <c r="N108" s="2342"/>
      <c r="O108" s="2343"/>
      <c r="P108" s="264"/>
      <c r="Q108" s="264"/>
      <c r="R108" s="264"/>
      <c r="S108" s="264"/>
      <c r="T108" s="264"/>
      <c r="U108" s="264"/>
      <c r="V108" s="264"/>
      <c r="W108" s="264"/>
      <c r="X108" s="264"/>
      <c r="Y108" s="264"/>
      <c r="Z108" s="264"/>
      <c r="AA108" s="264"/>
      <c r="AB108" s="264"/>
      <c r="AC108" s="264"/>
    </row>
    <row r="109" spans="1:29" ht="15" customHeight="1" x14ac:dyDescent="0.25">
      <c r="A109" s="264"/>
      <c r="B109" s="1669">
        <v>90</v>
      </c>
      <c r="C109" s="2347" t="s">
        <v>2246</v>
      </c>
      <c r="D109" s="2347"/>
      <c r="E109" s="2347"/>
      <c r="F109" s="2347"/>
      <c r="G109" s="2347"/>
      <c r="H109" s="2347"/>
      <c r="I109" s="2347"/>
      <c r="J109" s="2347"/>
      <c r="K109" s="2347"/>
      <c r="L109" s="1685" t="s">
        <v>2039</v>
      </c>
      <c r="M109" s="2341" t="str">
        <f>IF(OR(M106="-",ISBLANK('Ввод исходных данных'!$D$168)),"-",'Ввод исходных данных'!$D$168)</f>
        <v>-</v>
      </c>
      <c r="N109" s="2342"/>
      <c r="O109" s="2343"/>
      <c r="P109" s="264"/>
      <c r="Q109" s="264"/>
      <c r="R109" s="264"/>
      <c r="S109" s="264"/>
      <c r="T109" s="264"/>
      <c r="U109" s="264"/>
      <c r="V109" s="264"/>
      <c r="W109" s="264"/>
      <c r="X109" s="264"/>
      <c r="Y109" s="264"/>
      <c r="Z109" s="264"/>
      <c r="AA109" s="264"/>
      <c r="AB109" s="264"/>
      <c r="AC109" s="264"/>
    </row>
    <row r="110" spans="1:29" ht="15" customHeight="1" x14ac:dyDescent="0.25">
      <c r="A110" s="264"/>
      <c r="B110" s="1669">
        <v>91</v>
      </c>
      <c r="C110" s="2335" t="s">
        <v>2247</v>
      </c>
      <c r="D110" s="2335"/>
      <c r="E110" s="2347" t="s">
        <v>1292</v>
      </c>
      <c r="F110" s="2347"/>
      <c r="G110" s="2347"/>
      <c r="H110" s="2347"/>
      <c r="I110" s="2347"/>
      <c r="J110" s="2347"/>
      <c r="K110" s="2347"/>
      <c r="L110" s="1685" t="s">
        <v>1771</v>
      </c>
      <c r="M110" s="2341" t="str">
        <f>IF(ISBLANK('Ввод исходных данных'!$D169),"-",'Ввод исходных данных'!$D169)</f>
        <v>-</v>
      </c>
      <c r="N110" s="2342"/>
      <c r="O110" s="2343"/>
      <c r="P110" s="264"/>
      <c r="Q110" s="264"/>
      <c r="R110" s="264"/>
      <c r="S110" s="264"/>
      <c r="T110" s="264"/>
      <c r="U110" s="264"/>
      <c r="V110" s="264"/>
      <c r="W110" s="264"/>
      <c r="X110" s="264"/>
      <c r="Y110" s="264"/>
      <c r="Z110" s="264"/>
      <c r="AA110" s="264"/>
      <c r="AB110" s="264"/>
      <c r="AC110" s="264"/>
    </row>
    <row r="111" spans="1:29" ht="30" customHeight="1" x14ac:dyDescent="0.25">
      <c r="A111" s="264"/>
      <c r="B111" s="1669">
        <v>92</v>
      </c>
      <c r="C111" s="2335"/>
      <c r="D111" s="2335"/>
      <c r="E111" s="2348" t="s">
        <v>2244</v>
      </c>
      <c r="F111" s="2348"/>
      <c r="G111" s="2348"/>
      <c r="H111" s="2348"/>
      <c r="I111" s="2348"/>
      <c r="J111" s="2348"/>
      <c r="K111" s="2348"/>
      <c r="L111" s="1685" t="s">
        <v>1771</v>
      </c>
      <c r="M111" s="2341" t="str">
        <f>IF(ISBLANK('Ввод исходных данных'!$D170),"-",'Ввод исходных данных'!$D170)</f>
        <v>-</v>
      </c>
      <c r="N111" s="2342"/>
      <c r="O111" s="2343"/>
      <c r="P111" s="264"/>
      <c r="Q111" s="264"/>
      <c r="R111" s="264"/>
      <c r="S111" s="264"/>
      <c r="T111" s="264"/>
      <c r="U111" s="264"/>
      <c r="V111" s="264"/>
      <c r="W111" s="264"/>
      <c r="X111" s="264"/>
      <c r="Y111" s="264"/>
      <c r="Z111" s="264"/>
      <c r="AA111" s="264"/>
      <c r="AB111" s="264"/>
      <c r="AC111" s="264"/>
    </row>
    <row r="112" spans="1:29" ht="15" customHeight="1" x14ac:dyDescent="0.25">
      <c r="A112" s="264"/>
      <c r="B112" s="1669">
        <v>93</v>
      </c>
      <c r="C112" s="2347" t="s">
        <v>2248</v>
      </c>
      <c r="D112" s="2347"/>
      <c r="E112" s="2347"/>
      <c r="F112" s="2347"/>
      <c r="G112" s="2347"/>
      <c r="H112" s="2347"/>
      <c r="I112" s="2347"/>
      <c r="J112" s="2347"/>
      <c r="K112" s="2347"/>
      <c r="L112" s="1685" t="s">
        <v>1525</v>
      </c>
      <c r="M112" s="2341" t="str">
        <f>IF(ISBLANK('Ввод исходных данных'!$D171),"-",'Ввод исходных данных'!$D171)</f>
        <v>-</v>
      </c>
      <c r="N112" s="2342"/>
      <c r="O112" s="2343"/>
      <c r="P112" s="264"/>
      <c r="Q112" s="264"/>
      <c r="R112" s="264"/>
      <c r="S112" s="264"/>
      <c r="T112" s="264"/>
      <c r="U112" s="264"/>
      <c r="V112" s="264"/>
      <c r="W112" s="264"/>
      <c r="X112" s="264"/>
      <c r="Y112" s="264"/>
      <c r="Z112" s="264"/>
      <c r="AA112" s="264"/>
      <c r="AB112" s="264"/>
      <c r="AC112" s="264"/>
    </row>
    <row r="113" spans="1:29" ht="15" customHeight="1" x14ac:dyDescent="0.25">
      <c r="A113" s="264"/>
      <c r="B113" s="1669">
        <v>94</v>
      </c>
      <c r="C113" s="2347" t="s">
        <v>2249</v>
      </c>
      <c r="D113" s="2347"/>
      <c r="E113" s="2347"/>
      <c r="F113" s="2347"/>
      <c r="G113" s="2347"/>
      <c r="H113" s="2347"/>
      <c r="I113" s="2347"/>
      <c r="J113" s="2347"/>
      <c r="K113" s="2347"/>
      <c r="L113" s="1685" t="s">
        <v>2039</v>
      </c>
      <c r="M113" s="2341" t="str">
        <f>IF(OR(M110="-",'Ввод исходных данных'!$D$172),"-",'Ввод исходных данных'!$D$172)</f>
        <v>-</v>
      </c>
      <c r="N113" s="2342"/>
      <c r="O113" s="2343"/>
      <c r="P113" s="264"/>
      <c r="Q113" s="264"/>
      <c r="R113" s="264"/>
      <c r="S113" s="264"/>
      <c r="T113" s="264"/>
      <c r="U113" s="264"/>
      <c r="V113" s="264"/>
      <c r="W113" s="264"/>
      <c r="X113" s="264"/>
      <c r="Y113" s="264"/>
      <c r="Z113" s="264"/>
      <c r="AA113" s="264"/>
      <c r="AB113" s="264"/>
      <c r="AC113" s="264"/>
    </row>
    <row r="114" spans="1:29" ht="15" customHeight="1" x14ac:dyDescent="0.25">
      <c r="A114" s="264"/>
      <c r="B114" s="1669">
        <v>95</v>
      </c>
      <c r="C114" s="2335" t="s">
        <v>2250</v>
      </c>
      <c r="D114" s="2335"/>
      <c r="E114" s="2347" t="s">
        <v>1292</v>
      </c>
      <c r="F114" s="2347"/>
      <c r="G114" s="2347"/>
      <c r="H114" s="2347"/>
      <c r="I114" s="2347"/>
      <c r="J114" s="2347"/>
      <c r="K114" s="2347"/>
      <c r="L114" s="1685" t="s">
        <v>1771</v>
      </c>
      <c r="M114" s="2341" t="str">
        <f>IF(ISBLANK('Ввод исходных данных'!$D173),"-",'Ввод исходных данных'!$D173)</f>
        <v>-</v>
      </c>
      <c r="N114" s="2342"/>
      <c r="O114" s="2343"/>
      <c r="P114" s="264"/>
      <c r="Q114" s="264"/>
      <c r="R114" s="264"/>
      <c r="S114" s="264"/>
      <c r="T114" s="264"/>
      <c r="U114" s="264"/>
      <c r="V114" s="264"/>
      <c r="W114" s="264"/>
      <c r="X114" s="264"/>
      <c r="Y114" s="264"/>
      <c r="Z114" s="264"/>
      <c r="AA114" s="264"/>
      <c r="AB114" s="264"/>
      <c r="AC114" s="264"/>
    </row>
    <row r="115" spans="1:29" ht="30" customHeight="1" x14ac:dyDescent="0.25">
      <c r="A115" s="264"/>
      <c r="B115" s="1669">
        <v>96</v>
      </c>
      <c r="C115" s="2335"/>
      <c r="D115" s="2335"/>
      <c r="E115" s="2348" t="s">
        <v>2244</v>
      </c>
      <c r="F115" s="2348"/>
      <c r="G115" s="2348"/>
      <c r="H115" s="2348"/>
      <c r="I115" s="2348"/>
      <c r="J115" s="2348"/>
      <c r="K115" s="2348"/>
      <c r="L115" s="1685" t="s">
        <v>1771</v>
      </c>
      <c r="M115" s="2341" t="str">
        <f>IF(ISBLANK('Ввод исходных данных'!$D174),"-",'Ввод исходных данных'!$D174)</f>
        <v>-</v>
      </c>
      <c r="N115" s="2342"/>
      <c r="O115" s="2343"/>
      <c r="P115" s="264"/>
      <c r="Q115" s="264"/>
      <c r="R115" s="264"/>
      <c r="S115" s="264"/>
      <c r="T115" s="264"/>
      <c r="U115" s="264"/>
      <c r="V115" s="264"/>
      <c r="W115" s="264"/>
      <c r="X115" s="264"/>
      <c r="Y115" s="264"/>
      <c r="Z115" s="264"/>
      <c r="AA115" s="264"/>
      <c r="AB115" s="264"/>
      <c r="AC115" s="264"/>
    </row>
    <row r="116" spans="1:29" ht="15" customHeight="1" x14ac:dyDescent="0.25">
      <c r="A116" s="264"/>
      <c r="B116" s="1669">
        <v>97</v>
      </c>
      <c r="C116" s="2347" t="s">
        <v>2251</v>
      </c>
      <c r="D116" s="2347"/>
      <c r="E116" s="2347"/>
      <c r="F116" s="2347"/>
      <c r="G116" s="2347"/>
      <c r="H116" s="2347"/>
      <c r="I116" s="2347"/>
      <c r="J116" s="2347"/>
      <c r="K116" s="2347"/>
      <c r="L116" s="1685" t="s">
        <v>1525</v>
      </c>
      <c r="M116" s="2341" t="str">
        <f>IF(ISBLANK('Ввод исходных данных'!$D175),"-",'Ввод исходных данных'!$D175)</f>
        <v>-</v>
      </c>
      <c r="N116" s="2342"/>
      <c r="O116" s="2343"/>
      <c r="P116" s="264"/>
      <c r="Q116" s="264"/>
      <c r="R116" s="264"/>
      <c r="S116" s="264"/>
      <c r="T116" s="264"/>
      <c r="U116" s="264"/>
      <c r="V116" s="264"/>
      <c r="W116" s="264"/>
      <c r="X116" s="264"/>
      <c r="Y116" s="264"/>
      <c r="Z116" s="264"/>
      <c r="AA116" s="264"/>
      <c r="AB116" s="264"/>
      <c r="AC116" s="264"/>
    </row>
    <row r="117" spans="1:29" ht="15" customHeight="1" x14ac:dyDescent="0.25">
      <c r="A117" s="264"/>
      <c r="B117" s="1669">
        <v>98</v>
      </c>
      <c r="C117" s="2347" t="s">
        <v>2252</v>
      </c>
      <c r="D117" s="2347"/>
      <c r="E117" s="2347"/>
      <c r="F117" s="2347"/>
      <c r="G117" s="2347"/>
      <c r="H117" s="2347"/>
      <c r="I117" s="2347"/>
      <c r="J117" s="2347"/>
      <c r="K117" s="2347"/>
      <c r="L117" s="1685" t="s">
        <v>2039</v>
      </c>
      <c r="M117" s="2341" t="str">
        <f>IF(OR(M114="-",ISBLANK('Ввод исходных данных'!$D176)),"-",'Ввод исходных данных'!$D176)</f>
        <v>-</v>
      </c>
      <c r="N117" s="2342"/>
      <c r="O117" s="2343"/>
      <c r="P117" s="264"/>
      <c r="Q117" s="264"/>
      <c r="R117" s="264"/>
      <c r="S117" s="264"/>
      <c r="T117" s="264"/>
      <c r="U117" s="264"/>
      <c r="V117" s="264"/>
      <c r="W117" s="264"/>
      <c r="X117" s="264"/>
      <c r="Y117" s="264"/>
      <c r="Z117" s="264"/>
      <c r="AA117" s="264"/>
      <c r="AB117" s="264"/>
      <c r="AC117" s="264"/>
    </row>
    <row r="118" spans="1:29" ht="15" customHeight="1" x14ac:dyDescent="0.25">
      <c r="A118" s="264"/>
      <c r="B118" s="1669">
        <v>99</v>
      </c>
      <c r="C118" s="2347" t="s">
        <v>2253</v>
      </c>
      <c r="D118" s="2347"/>
      <c r="E118" s="2347"/>
      <c r="F118" s="2347"/>
      <c r="G118" s="2347"/>
      <c r="H118" s="2347"/>
      <c r="I118" s="2347"/>
      <c r="J118" s="2347"/>
      <c r="K118" s="2347"/>
      <c r="L118" s="1685" t="s">
        <v>1525</v>
      </c>
      <c r="M118" s="2341" t="str">
        <f>IF(ISBLANK('Ввод исходных данных'!$D179),"-",'Ввод исходных данных'!$D179)</f>
        <v>-</v>
      </c>
      <c r="N118" s="2342"/>
      <c r="O118" s="2343"/>
      <c r="P118" s="264"/>
      <c r="Q118" s="264"/>
      <c r="R118" s="264"/>
      <c r="S118" s="264"/>
      <c r="T118" s="264"/>
      <c r="U118" s="264"/>
      <c r="V118" s="264"/>
      <c r="W118" s="264"/>
      <c r="X118" s="264"/>
      <c r="Y118" s="264"/>
      <c r="Z118" s="264"/>
      <c r="AA118" s="264"/>
      <c r="AB118" s="264"/>
      <c r="AC118" s="264"/>
    </row>
    <row r="119" spans="1:29" ht="15" customHeight="1" x14ac:dyDescent="0.25">
      <c r="A119" s="264"/>
      <c r="B119" s="1669">
        <v>100</v>
      </c>
      <c r="C119" s="2338" t="s">
        <v>2254</v>
      </c>
      <c r="D119" s="2339"/>
      <c r="E119" s="2339"/>
      <c r="F119" s="2339"/>
      <c r="G119" s="2339"/>
      <c r="H119" s="2339"/>
      <c r="I119" s="2339"/>
      <c r="J119" s="2339"/>
      <c r="K119" s="2340"/>
      <c r="L119" s="1685" t="s">
        <v>2039</v>
      </c>
      <c r="M119" s="2341" t="str">
        <f>IF(ISBLANK('Ввод исходных данных'!$D180),"-",'Ввод исходных данных'!$D180)</f>
        <v>-</v>
      </c>
      <c r="N119" s="2342"/>
      <c r="O119" s="2343"/>
      <c r="P119" s="264"/>
      <c r="Q119" s="264"/>
      <c r="R119" s="264"/>
      <c r="S119" s="264"/>
      <c r="T119" s="264"/>
      <c r="U119" s="264"/>
      <c r="V119" s="264"/>
      <c r="W119" s="264"/>
      <c r="X119" s="264"/>
      <c r="Y119" s="264"/>
      <c r="Z119" s="264"/>
      <c r="AA119" s="264"/>
      <c r="AB119" s="264"/>
      <c r="AC119" s="264"/>
    </row>
    <row r="120" spans="1:29" s="1686" customFormat="1" ht="30" customHeight="1" x14ac:dyDescent="0.25">
      <c r="A120" s="264"/>
      <c r="B120" s="2344" t="s">
        <v>2255</v>
      </c>
      <c r="C120" s="2344"/>
      <c r="D120" s="2344"/>
      <c r="E120" s="2344"/>
      <c r="F120" s="2344"/>
      <c r="G120" s="2344"/>
      <c r="H120" s="2344"/>
      <c r="I120" s="2344"/>
      <c r="J120" s="2344"/>
      <c r="K120" s="2344"/>
      <c r="L120" s="2344"/>
      <c r="M120" s="2344"/>
      <c r="N120" s="2344"/>
      <c r="O120" s="2344"/>
      <c r="P120" s="264"/>
      <c r="Q120" s="264"/>
      <c r="R120" s="264"/>
      <c r="S120" s="264"/>
      <c r="T120" s="264"/>
      <c r="U120" s="264"/>
      <c r="V120" s="264"/>
      <c r="W120" s="264"/>
      <c r="X120" s="264"/>
      <c r="Y120" s="264"/>
      <c r="Z120" s="264"/>
      <c r="AA120" s="264"/>
      <c r="AB120" s="264"/>
      <c r="AC120" s="264"/>
    </row>
    <row r="121" spans="1:29" s="1684" customFormat="1" ht="28.5" x14ac:dyDescent="0.25">
      <c r="A121" s="1649"/>
      <c r="B121" s="1670" t="s">
        <v>2152</v>
      </c>
      <c r="C121" s="2345" t="s">
        <v>829</v>
      </c>
      <c r="D121" s="2345"/>
      <c r="E121" s="2345"/>
      <c r="F121" s="2345"/>
      <c r="G121" s="2345"/>
      <c r="H121" s="2345"/>
      <c r="I121" s="2345"/>
      <c r="J121" s="2345"/>
      <c r="K121" s="2345"/>
      <c r="L121" s="1670" t="s">
        <v>2171</v>
      </c>
      <c r="M121" s="2345" t="s">
        <v>862</v>
      </c>
      <c r="N121" s="2345"/>
      <c r="O121" s="2345"/>
      <c r="P121" s="1649"/>
      <c r="Q121" s="1649"/>
      <c r="R121" s="1649"/>
      <c r="S121" s="1649"/>
      <c r="T121" s="1649"/>
      <c r="U121" s="1649"/>
      <c r="V121" s="1649"/>
      <c r="W121" s="1649"/>
      <c r="X121" s="1649"/>
      <c r="Y121" s="1649"/>
      <c r="Z121" s="1649"/>
      <c r="AA121" s="1649"/>
      <c r="AB121" s="1649"/>
      <c r="AC121" s="1649"/>
    </row>
    <row r="122" spans="1:29" ht="15" customHeight="1" x14ac:dyDescent="0.25">
      <c r="A122" s="264"/>
      <c r="B122" s="1669">
        <v>101</v>
      </c>
      <c r="C122" s="2335" t="s">
        <v>2256</v>
      </c>
      <c r="D122" s="2335"/>
      <c r="E122" s="2346" t="s">
        <v>1292</v>
      </c>
      <c r="F122" s="2346"/>
      <c r="G122" s="2346"/>
      <c r="H122" s="2346"/>
      <c r="I122" s="2346"/>
      <c r="J122" s="2346"/>
      <c r="K122" s="2346"/>
      <c r="L122" s="1685" t="s">
        <v>2360</v>
      </c>
      <c r="M122" s="2337" t="str">
        <f>IF('Ввод исходных данных'!$D185="",IF(AND(ISBLANK('Ввод исходных данных'!D186),ISBLANK('Ввод исходных данных'!D187),ISBLANK('Ввод исходных данных'!D188)),"-",SUM('Ввод исходных данных'!D186:D188)),'Ввод исходных данных'!$D185)</f>
        <v>-</v>
      </c>
      <c r="N122" s="2337"/>
      <c r="O122" s="2337"/>
      <c r="P122" s="264"/>
      <c r="Q122" s="264"/>
      <c r="R122" s="264"/>
      <c r="S122" s="264"/>
      <c r="T122" s="264"/>
      <c r="U122" s="264"/>
      <c r="V122" s="264"/>
      <c r="W122" s="264"/>
      <c r="X122" s="264"/>
      <c r="Y122" s="264"/>
      <c r="Z122" s="264"/>
      <c r="AA122" s="264"/>
      <c r="AB122" s="264"/>
      <c r="AC122" s="264"/>
    </row>
    <row r="123" spans="1:29" x14ac:dyDescent="0.25">
      <c r="A123" s="264"/>
      <c r="B123" s="1669">
        <v>102</v>
      </c>
      <c r="C123" s="2335"/>
      <c r="D123" s="2335"/>
      <c r="E123" s="2335" t="s">
        <v>982</v>
      </c>
      <c r="F123" s="2335"/>
      <c r="G123" s="2335"/>
      <c r="H123" s="2335"/>
      <c r="I123" s="2335"/>
      <c r="J123" s="2335"/>
      <c r="K123" s="2335"/>
      <c r="L123" s="1685" t="s">
        <v>2360</v>
      </c>
      <c r="M123" s="2337" t="str">
        <f>IF(ISBLANK('Ввод исходных данных'!$D186),"-",'Ввод исходных данных'!$D186)</f>
        <v>-</v>
      </c>
      <c r="N123" s="2337"/>
      <c r="O123" s="2337"/>
      <c r="P123" s="264"/>
      <c r="Q123" s="264"/>
      <c r="R123" s="264"/>
      <c r="S123" s="264"/>
      <c r="T123" s="264"/>
      <c r="U123" s="264"/>
      <c r="V123" s="264"/>
      <c r="W123" s="264"/>
      <c r="X123" s="264"/>
      <c r="Y123" s="264"/>
      <c r="Z123" s="264"/>
      <c r="AA123" s="264"/>
      <c r="AB123" s="264"/>
      <c r="AC123" s="264"/>
    </row>
    <row r="124" spans="1:29" ht="15" customHeight="1" x14ac:dyDescent="0.25">
      <c r="A124" s="264"/>
      <c r="B124" s="1669">
        <v>103</v>
      </c>
      <c r="C124" s="2335"/>
      <c r="D124" s="2335"/>
      <c r="E124" s="2335" t="s">
        <v>983</v>
      </c>
      <c r="F124" s="2335"/>
      <c r="G124" s="2335"/>
      <c r="H124" s="2335"/>
      <c r="I124" s="2335"/>
      <c r="J124" s="2335"/>
      <c r="K124" s="2335"/>
      <c r="L124" s="1685" t="s">
        <v>2360</v>
      </c>
      <c r="M124" s="2337" t="str">
        <f>IF(ISBLANK('Ввод исходных данных'!$D187),"-",'Ввод исходных данных'!$D187)</f>
        <v>-</v>
      </c>
      <c r="N124" s="2337"/>
      <c r="O124" s="2337"/>
      <c r="P124" s="264"/>
      <c r="Q124" s="264"/>
      <c r="R124" s="264"/>
      <c r="S124" s="264"/>
      <c r="T124" s="264"/>
      <c r="U124" s="264"/>
      <c r="V124" s="264"/>
      <c r="W124" s="264"/>
      <c r="X124" s="264"/>
      <c r="Y124" s="264"/>
      <c r="Z124" s="264"/>
      <c r="AA124" s="264"/>
      <c r="AB124" s="264"/>
      <c r="AC124" s="264"/>
    </row>
    <row r="125" spans="1:29" x14ac:dyDescent="0.25">
      <c r="A125" s="264"/>
      <c r="B125" s="1669">
        <v>104</v>
      </c>
      <c r="C125" s="2335"/>
      <c r="D125" s="2335"/>
      <c r="E125" s="2335" t="s">
        <v>2257</v>
      </c>
      <c r="F125" s="2335"/>
      <c r="G125" s="2335"/>
      <c r="H125" s="2335"/>
      <c r="I125" s="2335"/>
      <c r="J125" s="2335"/>
      <c r="K125" s="2335"/>
      <c r="L125" s="1685" t="s">
        <v>2360</v>
      </c>
      <c r="M125" s="2337" t="str">
        <f>IF(ISBLANK('Ввод исходных данных'!$D188),"-",'Ввод исходных данных'!$D188)</f>
        <v>-</v>
      </c>
      <c r="N125" s="2337"/>
      <c r="O125" s="2337"/>
      <c r="P125" s="264"/>
      <c r="Q125" s="264"/>
      <c r="R125" s="264"/>
      <c r="S125" s="264"/>
      <c r="T125" s="264"/>
      <c r="U125" s="264"/>
      <c r="V125" s="264"/>
      <c r="W125" s="264"/>
      <c r="X125" s="264"/>
      <c r="Y125" s="264"/>
      <c r="Z125" s="264"/>
      <c r="AA125" s="264"/>
      <c r="AB125" s="264"/>
      <c r="AC125" s="264"/>
    </row>
    <row r="126" spans="1:29" ht="30" customHeight="1" x14ac:dyDescent="0.25">
      <c r="A126" s="264"/>
      <c r="B126" s="1669">
        <v>105</v>
      </c>
      <c r="C126" s="2335" t="s">
        <v>2258</v>
      </c>
      <c r="D126" s="2335"/>
      <c r="E126" s="2335" t="s">
        <v>2259</v>
      </c>
      <c r="F126" s="2335"/>
      <c r="G126" s="2335"/>
      <c r="H126" s="2335"/>
      <c r="I126" s="2335"/>
      <c r="J126" s="2335"/>
      <c r="K126" s="2335"/>
      <c r="L126" s="1685" t="s">
        <v>2218</v>
      </c>
      <c r="M126" s="2337" t="str">
        <f>IF(ISBLANK('Ввод исходных данных'!$D192),"-",'Ввод исходных данных'!$D192)</f>
        <v>-</v>
      </c>
      <c r="N126" s="2337"/>
      <c r="O126" s="2337"/>
      <c r="P126" s="264"/>
      <c r="Q126" s="264"/>
      <c r="R126" s="264"/>
      <c r="S126" s="264"/>
      <c r="T126" s="264"/>
      <c r="U126" s="264"/>
      <c r="V126" s="264"/>
      <c r="W126" s="264"/>
      <c r="X126" s="264"/>
      <c r="Y126" s="264"/>
      <c r="Z126" s="264"/>
      <c r="AA126" s="264"/>
      <c r="AB126" s="264"/>
      <c r="AC126" s="264"/>
    </row>
    <row r="127" spans="1:29" ht="30" customHeight="1" x14ac:dyDescent="0.25">
      <c r="A127" s="264"/>
      <c r="B127" s="1669">
        <v>106</v>
      </c>
      <c r="C127" s="2335"/>
      <c r="D127" s="2335"/>
      <c r="E127" s="2335" t="s">
        <v>2260</v>
      </c>
      <c r="F127" s="2335"/>
      <c r="G127" s="2335"/>
      <c r="H127" s="2335"/>
      <c r="I127" s="2335"/>
      <c r="J127" s="2335"/>
      <c r="K127" s="2335"/>
      <c r="L127" s="1685" t="s">
        <v>2218</v>
      </c>
      <c r="M127" s="2337" t="str">
        <f>IF(ISBLANK('Ввод исходных данных'!$D193),"-",'Ввод исходных данных'!$D193)</f>
        <v>-</v>
      </c>
      <c r="N127" s="2337"/>
      <c r="O127" s="2337"/>
      <c r="P127" s="264"/>
      <c r="Q127" s="264"/>
      <c r="R127" s="264"/>
      <c r="S127" s="264"/>
      <c r="T127" s="264"/>
      <c r="U127" s="264"/>
      <c r="V127" s="264"/>
      <c r="W127" s="264"/>
      <c r="X127" s="264"/>
      <c r="Y127" s="264"/>
      <c r="Z127" s="264"/>
      <c r="AA127" s="264"/>
      <c r="AB127" s="264"/>
      <c r="AC127" s="264"/>
    </row>
    <row r="128" spans="1:29" x14ac:dyDescent="0.25">
      <c r="A128" s="264"/>
      <c r="B128" s="1669">
        <v>107</v>
      </c>
      <c r="C128" s="2335" t="s">
        <v>979</v>
      </c>
      <c r="D128" s="2335"/>
      <c r="E128" s="2335" t="s">
        <v>2261</v>
      </c>
      <c r="F128" s="2335"/>
      <c r="G128" s="2335"/>
      <c r="H128" s="2335"/>
      <c r="I128" s="2335"/>
      <c r="J128" s="2335"/>
      <c r="K128" s="2335"/>
      <c r="L128" s="1685" t="s">
        <v>2218</v>
      </c>
      <c r="M128" s="2337" t="str">
        <f>IF(ISBLANK('Ввод исходных данных'!$D197),"-",'Ввод исходных данных'!$D197)</f>
        <v>-</v>
      </c>
      <c r="N128" s="2337"/>
      <c r="O128" s="2337"/>
      <c r="P128" s="264"/>
      <c r="Q128" s="264"/>
      <c r="R128" s="264"/>
      <c r="S128" s="264"/>
      <c r="T128" s="264"/>
      <c r="U128" s="264"/>
      <c r="V128" s="264"/>
      <c r="W128" s="264"/>
      <c r="X128" s="264"/>
      <c r="Y128" s="264"/>
      <c r="Z128" s="264"/>
      <c r="AA128" s="264"/>
      <c r="AB128" s="264"/>
      <c r="AC128" s="264"/>
    </row>
    <row r="129" spans="1:29" x14ac:dyDescent="0.25">
      <c r="A129" s="264"/>
      <c r="B129" s="1669">
        <v>108</v>
      </c>
      <c r="C129" s="2335"/>
      <c r="D129" s="2335"/>
      <c r="E129" s="2335" t="s">
        <v>2262</v>
      </c>
      <c r="F129" s="2335"/>
      <c r="G129" s="2335"/>
      <c r="H129" s="2335"/>
      <c r="I129" s="2335"/>
      <c r="J129" s="2335"/>
      <c r="K129" s="2335"/>
      <c r="L129" s="1685" t="s">
        <v>2218</v>
      </c>
      <c r="M129" s="2337" t="str">
        <f>IF(ISBLANK('Ввод исходных данных'!$D198),"-",'Ввод исходных данных'!$D198)</f>
        <v>-</v>
      </c>
      <c r="N129" s="2337"/>
      <c r="O129" s="2337"/>
      <c r="P129" s="264"/>
      <c r="Q129" s="264"/>
      <c r="R129" s="264"/>
      <c r="S129" s="264"/>
      <c r="T129" s="264"/>
      <c r="U129" s="264"/>
      <c r="V129" s="264"/>
      <c r="W129" s="264"/>
      <c r="X129" s="264"/>
      <c r="Y129" s="264"/>
      <c r="Z129" s="264"/>
      <c r="AA129" s="264"/>
      <c r="AB129" s="264"/>
      <c r="AC129" s="264"/>
    </row>
    <row r="130" spans="1:29" ht="15" customHeight="1" x14ac:dyDescent="0.25">
      <c r="A130" s="264"/>
      <c r="B130" s="1669">
        <v>109</v>
      </c>
      <c r="C130" s="2335" t="s">
        <v>2263</v>
      </c>
      <c r="D130" s="2335"/>
      <c r="E130" s="2335"/>
      <c r="F130" s="2335"/>
      <c r="G130" s="2335"/>
      <c r="H130" s="2335"/>
      <c r="I130" s="2335"/>
      <c r="J130" s="2335"/>
      <c r="K130" s="2335"/>
      <c r="L130" s="1685" t="s">
        <v>746</v>
      </c>
      <c r="M130" s="2337" t="str">
        <f>IFERROR(CHOOSE('Система ГВС'!$F$3,"централизованная","децентрализованная"),"-")</f>
        <v>централизованная</v>
      </c>
      <c r="N130" s="2337"/>
      <c r="O130" s="2337"/>
      <c r="P130" s="264"/>
      <c r="Q130" s="264"/>
      <c r="R130" s="264"/>
      <c r="S130" s="264"/>
      <c r="T130" s="264"/>
      <c r="U130" s="264"/>
      <c r="V130" s="264"/>
      <c r="W130" s="264"/>
      <c r="X130" s="264"/>
      <c r="Y130" s="264"/>
      <c r="Z130" s="264"/>
      <c r="AA130" s="264"/>
      <c r="AB130" s="264"/>
      <c r="AC130" s="264"/>
    </row>
    <row r="131" spans="1:29" ht="30" customHeight="1" x14ac:dyDescent="0.25">
      <c r="A131" s="264"/>
      <c r="B131" s="1669">
        <v>110</v>
      </c>
      <c r="C131" s="2335" t="s">
        <v>2264</v>
      </c>
      <c r="D131" s="2335"/>
      <c r="E131" s="2335"/>
      <c r="F131" s="2335"/>
      <c r="G131" s="2335"/>
      <c r="H131" s="2335"/>
      <c r="I131" s="2335"/>
      <c r="J131" s="2335"/>
      <c r="K131" s="2335"/>
      <c r="L131" s="1685" t="s">
        <v>746</v>
      </c>
      <c r="M131" s="2336" t="str">
        <f>IFERROR(CHOOSE('Система ГВС'!$G$18,
                                                   "открытая",
                                                   "закрытая с приготовлением горячей воды на ЦТП",
                                                   "закрытая с приготовлением горячей воды на ИТП"),"-")</f>
        <v>открытая</v>
      </c>
      <c r="N131" s="2336"/>
      <c r="O131" s="2336"/>
      <c r="P131" s="264"/>
      <c r="Q131" s="264"/>
      <c r="R131" s="264"/>
      <c r="S131" s="264"/>
      <c r="T131" s="264"/>
      <c r="U131" s="264"/>
      <c r="V131" s="264"/>
      <c r="W131" s="264"/>
      <c r="X131" s="264"/>
      <c r="Y131" s="264"/>
      <c r="Z131" s="264"/>
      <c r="AA131" s="264"/>
      <c r="AB131" s="264"/>
      <c r="AC131" s="264"/>
    </row>
    <row r="132" spans="1:29" ht="30" customHeight="1" x14ac:dyDescent="0.25">
      <c r="A132" s="264"/>
      <c r="B132" s="1669">
        <v>111</v>
      </c>
      <c r="C132" s="2301" t="s">
        <v>2265</v>
      </c>
      <c r="D132" s="2301"/>
      <c r="E132" s="2301"/>
      <c r="F132" s="2301"/>
      <c r="G132" s="2301"/>
      <c r="H132" s="2301"/>
      <c r="I132" s="2301"/>
      <c r="J132" s="2301"/>
      <c r="K132" s="2301"/>
      <c r="L132" s="1685" t="s">
        <v>746</v>
      </c>
      <c r="M132" s="2336" t="str">
        <f>IFERROR(CHOOSE('Система отопления'!$B$30,
                                                   "совместный учет",
                                                   "раздельный учет","-"),"-")</f>
        <v>-</v>
      </c>
      <c r="N132" s="2336"/>
      <c r="O132" s="2336"/>
      <c r="P132" s="264"/>
      <c r="Q132" s="264"/>
      <c r="R132" s="264"/>
      <c r="S132" s="264"/>
      <c r="T132" s="264"/>
      <c r="U132" s="264"/>
      <c r="V132" s="264"/>
      <c r="W132" s="264"/>
      <c r="X132" s="264"/>
      <c r="Y132" s="264"/>
      <c r="Z132" s="264"/>
      <c r="AA132" s="264"/>
      <c r="AB132" s="264"/>
      <c r="AC132" s="264"/>
    </row>
    <row r="133" spans="1:29" ht="30" customHeight="1" x14ac:dyDescent="0.25">
      <c r="A133" s="264"/>
      <c r="B133" s="1669">
        <v>112</v>
      </c>
      <c r="C133" s="2301" t="s">
        <v>2266</v>
      </c>
      <c r="D133" s="2301"/>
      <c r="E133" s="2301"/>
      <c r="F133" s="2301"/>
      <c r="G133" s="2301"/>
      <c r="H133" s="2301"/>
      <c r="I133" s="2301"/>
      <c r="J133" s="2301"/>
      <c r="K133" s="2301"/>
      <c r="L133" s="1685" t="s">
        <v>746</v>
      </c>
      <c r="M133" s="2337" t="str">
        <f>IF(OR(ISBLANK('Ввод исходных данных'!$D202),ISBLANK('Ввод исходных данных'!$E202)),"-",'Ввод исходных данных'!$D202&amp;" "&amp;'Ввод исходных данных'!$E202&amp;" г.")</f>
        <v>Пожалуйста, выберите… 2019 г.</v>
      </c>
      <c r="N133" s="2337"/>
      <c r="O133" s="2337"/>
      <c r="P133" s="264"/>
      <c r="Q133" s="264"/>
      <c r="R133" s="264"/>
      <c r="S133" s="264"/>
      <c r="T133" s="264"/>
      <c r="U133" s="264"/>
      <c r="V133" s="264"/>
      <c r="W133" s="264"/>
      <c r="X133" s="264"/>
      <c r="Y133" s="264"/>
      <c r="Z133" s="264"/>
      <c r="AA133" s="264"/>
      <c r="AB133" s="264"/>
      <c r="AC133" s="264"/>
    </row>
    <row r="134" spans="1:29" ht="15" customHeight="1" x14ac:dyDescent="0.25">
      <c r="A134" s="264"/>
      <c r="B134" s="1669">
        <v>113</v>
      </c>
      <c r="C134" s="2301" t="s">
        <v>2475</v>
      </c>
      <c r="D134" s="2301"/>
      <c r="E134" s="2301"/>
      <c r="F134" s="2301"/>
      <c r="G134" s="2301"/>
      <c r="H134" s="2301"/>
      <c r="I134" s="2301"/>
      <c r="J134" s="2301"/>
      <c r="K134" s="2301"/>
      <c r="L134" s="1685" t="s">
        <v>746</v>
      </c>
      <c r="M134" s="2333" t="str">
        <f>IF(ISBLANK('Ввод исходных данных'!$E206),"-",'Ввод исходных данных'!$E206)</f>
        <v>-</v>
      </c>
      <c r="N134" s="2333"/>
      <c r="O134" s="2333"/>
      <c r="P134" s="264"/>
      <c r="Q134" s="264"/>
      <c r="R134" s="264"/>
      <c r="S134" s="264"/>
      <c r="T134" s="264"/>
      <c r="U134" s="264"/>
      <c r="V134" s="264"/>
      <c r="W134" s="264"/>
      <c r="X134" s="264"/>
      <c r="Y134" s="264"/>
      <c r="Z134" s="264"/>
      <c r="AA134" s="264"/>
      <c r="AB134" s="264"/>
      <c r="AC134" s="264"/>
    </row>
    <row r="135" spans="1:29" ht="15" customHeight="1" x14ac:dyDescent="0.25">
      <c r="A135" s="264"/>
      <c r="B135" s="1669">
        <v>114</v>
      </c>
      <c r="C135" s="2301" t="s">
        <v>2267</v>
      </c>
      <c r="D135" s="2301"/>
      <c r="E135" s="2301"/>
      <c r="F135" s="2301"/>
      <c r="G135" s="2301"/>
      <c r="H135" s="2301"/>
      <c r="I135" s="2301"/>
      <c r="J135" s="2301"/>
      <c r="K135" s="2301"/>
      <c r="L135" s="1685" t="s">
        <v>746</v>
      </c>
      <c r="M135" s="2334" t="str">
        <f>IF(ISBLANK('Ввод исходных данных'!$D207),"-",'Ввод исходных данных'!$D207)</f>
        <v>-</v>
      </c>
      <c r="N135" s="2334"/>
      <c r="O135" s="2334"/>
      <c r="P135" s="264"/>
      <c r="Q135" s="264"/>
      <c r="R135" s="264"/>
      <c r="S135" s="264"/>
      <c r="T135" s="264"/>
      <c r="U135" s="264"/>
      <c r="V135" s="264"/>
      <c r="W135" s="264"/>
      <c r="X135" s="264"/>
      <c r="Y135" s="264"/>
      <c r="Z135" s="264"/>
      <c r="AA135" s="264"/>
      <c r="AB135" s="264"/>
      <c r="AC135" s="264"/>
    </row>
    <row r="136" spans="1:29" ht="15" customHeight="1" x14ac:dyDescent="0.25">
      <c r="A136" s="264"/>
      <c r="B136" s="1669">
        <v>115</v>
      </c>
      <c r="C136" s="2301" t="s">
        <v>2268</v>
      </c>
      <c r="D136" s="2301"/>
      <c r="E136" s="2301"/>
      <c r="F136" s="2301"/>
      <c r="G136" s="2301"/>
      <c r="H136" s="2301"/>
      <c r="I136" s="2301"/>
      <c r="J136" s="2301"/>
      <c r="K136" s="2301"/>
      <c r="L136" s="1685" t="s">
        <v>746</v>
      </c>
      <c r="M136" s="2334" t="str">
        <f>IF(ISBLANK('Ввод исходных данных'!$E207),"-",'Ввод исходных данных'!$E207)</f>
        <v>-</v>
      </c>
      <c r="N136" s="2334"/>
      <c r="O136" s="2334"/>
      <c r="P136" s="264"/>
      <c r="Q136" s="264"/>
      <c r="R136" s="264"/>
      <c r="S136" s="264"/>
      <c r="T136" s="264"/>
      <c r="U136" s="264"/>
      <c r="V136" s="264"/>
      <c r="W136" s="264"/>
      <c r="X136" s="264"/>
      <c r="Y136" s="264"/>
      <c r="Z136" s="264"/>
      <c r="AA136" s="264"/>
      <c r="AB136" s="264"/>
      <c r="AC136" s="264"/>
    </row>
    <row r="137" spans="1:29" ht="15" customHeight="1" x14ac:dyDescent="0.25">
      <c r="A137" s="264"/>
      <c r="B137" s="1669">
        <v>116</v>
      </c>
      <c r="C137" s="2301" t="s">
        <v>2269</v>
      </c>
      <c r="D137" s="2301"/>
      <c r="E137" s="2301"/>
      <c r="F137" s="2301"/>
      <c r="G137" s="2301"/>
      <c r="H137" s="2301"/>
      <c r="I137" s="2301"/>
      <c r="J137" s="2301"/>
      <c r="K137" s="2301"/>
      <c r="L137" s="1685" t="s">
        <v>2361</v>
      </c>
      <c r="M137" s="2332" t="str">
        <f>IF(ISBLANK('Ввод исходных данных'!$D302),"-",'Ввод исходных данных'!$D302)</f>
        <v>-</v>
      </c>
      <c r="N137" s="2332"/>
      <c r="O137" s="2332"/>
      <c r="P137" s="264"/>
      <c r="Q137" s="264"/>
      <c r="R137" s="264"/>
      <c r="S137" s="264"/>
      <c r="T137" s="264"/>
      <c r="U137" s="264"/>
      <c r="V137" s="264"/>
      <c r="W137" s="264"/>
      <c r="X137" s="264"/>
      <c r="Y137" s="264"/>
      <c r="Z137" s="264"/>
      <c r="AA137" s="264"/>
      <c r="AB137" s="264"/>
      <c r="AC137" s="264"/>
    </row>
    <row r="138" spans="1:29" ht="15" customHeight="1" x14ac:dyDescent="0.25">
      <c r="A138" s="264"/>
      <c r="B138" s="1669">
        <v>117</v>
      </c>
      <c r="C138" s="2301" t="s">
        <v>2270</v>
      </c>
      <c r="D138" s="2301"/>
      <c r="E138" s="2301"/>
      <c r="F138" s="2301"/>
      <c r="G138" s="2301"/>
      <c r="H138" s="2301"/>
      <c r="I138" s="2301"/>
      <c r="J138" s="2301"/>
      <c r="K138" s="2301"/>
      <c r="L138" s="1692" t="s">
        <v>2362</v>
      </c>
      <c r="M138" s="2332" t="str">
        <f>IF(ISBLANK('Ввод исходных данных'!$E302),"-",'Ввод исходных данных'!$E302)</f>
        <v>-</v>
      </c>
      <c r="N138" s="2332"/>
      <c r="O138" s="2332"/>
      <c r="P138" s="264"/>
      <c r="Q138" s="264"/>
      <c r="R138" s="264"/>
      <c r="S138" s="264"/>
      <c r="T138" s="264"/>
      <c r="U138" s="264"/>
      <c r="V138" s="264"/>
      <c r="W138" s="264"/>
      <c r="X138" s="264"/>
      <c r="Y138" s="264"/>
      <c r="Z138" s="264"/>
      <c r="AA138" s="264"/>
      <c r="AB138" s="264"/>
      <c r="AC138" s="264"/>
    </row>
    <row r="139" spans="1:29" s="1686" customFormat="1" ht="30" customHeight="1" x14ac:dyDescent="0.25">
      <c r="A139" s="264"/>
      <c r="B139" s="2314" t="s">
        <v>2271</v>
      </c>
      <c r="C139" s="2314"/>
      <c r="D139" s="2314"/>
      <c r="E139" s="2314"/>
      <c r="F139" s="2314"/>
      <c r="G139" s="2314"/>
      <c r="H139" s="2314"/>
      <c r="I139" s="2314"/>
      <c r="J139" s="2314"/>
      <c r="K139" s="2314"/>
      <c r="L139" s="2314"/>
      <c r="M139" s="2314"/>
      <c r="N139" s="2314"/>
      <c r="O139" s="2314"/>
      <c r="P139" s="264"/>
      <c r="Q139" s="264"/>
      <c r="R139" s="264"/>
      <c r="S139" s="264"/>
      <c r="T139" s="264"/>
      <c r="U139" s="264"/>
      <c r="V139" s="264"/>
      <c r="W139" s="264"/>
      <c r="X139" s="264"/>
      <c r="Y139" s="264"/>
      <c r="Z139" s="264"/>
      <c r="AA139" s="264"/>
      <c r="AB139" s="264"/>
      <c r="AC139" s="264"/>
    </row>
    <row r="140" spans="1:29" s="1684" customFormat="1" ht="25.5" customHeight="1" x14ac:dyDescent="0.25">
      <c r="A140" s="1649"/>
      <c r="B140" s="2318" t="s">
        <v>2272</v>
      </c>
      <c r="C140" s="2318"/>
      <c r="D140" s="2315" t="s">
        <v>2273</v>
      </c>
      <c r="E140" s="2315" t="s">
        <v>2274</v>
      </c>
      <c r="F140" s="2315"/>
      <c r="G140" s="2315"/>
      <c r="H140" s="2315" t="s">
        <v>2275</v>
      </c>
      <c r="I140" s="2315"/>
      <c r="J140" s="2315"/>
      <c r="K140" s="2315" t="s">
        <v>2276</v>
      </c>
      <c r="L140" s="2315"/>
      <c r="M140" s="2315"/>
      <c r="N140" s="2315"/>
      <c r="O140" s="2315"/>
      <c r="P140" s="1649"/>
      <c r="Q140" s="1649"/>
      <c r="R140" s="1649"/>
      <c r="S140" s="1649"/>
      <c r="T140" s="1649"/>
      <c r="U140" s="1649"/>
      <c r="V140" s="1649"/>
      <c r="W140" s="1649"/>
      <c r="X140" s="1649"/>
      <c r="Y140" s="1649"/>
      <c r="Z140" s="1649"/>
      <c r="AA140" s="1649"/>
      <c r="AB140" s="1649"/>
      <c r="AC140" s="1649"/>
    </row>
    <row r="141" spans="1:29" s="1684" customFormat="1" ht="63.75" customHeight="1" x14ac:dyDescent="0.25">
      <c r="A141" s="1649"/>
      <c r="B141" s="2318" t="s">
        <v>1772</v>
      </c>
      <c r="C141" s="2315" t="s">
        <v>980</v>
      </c>
      <c r="D141" s="2315"/>
      <c r="E141" s="1674" t="s">
        <v>1292</v>
      </c>
      <c r="F141" s="1675" t="s">
        <v>2277</v>
      </c>
      <c r="G141" s="1676" t="s">
        <v>2278</v>
      </c>
      <c r="H141" s="1680" t="s">
        <v>1292</v>
      </c>
      <c r="I141" s="1675" t="s">
        <v>2353</v>
      </c>
      <c r="J141" s="1676" t="s">
        <v>2279</v>
      </c>
      <c r="K141" s="1680" t="s">
        <v>1292</v>
      </c>
      <c r="L141" s="1675" t="s">
        <v>987</v>
      </c>
      <c r="M141" s="1675" t="s">
        <v>2354</v>
      </c>
      <c r="N141" s="1675" t="s">
        <v>2355</v>
      </c>
      <c r="O141" s="1676" t="s">
        <v>2356</v>
      </c>
      <c r="P141" s="1649"/>
      <c r="Q141" s="1649"/>
      <c r="R141" s="1649"/>
      <c r="S141" s="1649"/>
      <c r="T141" s="1649"/>
      <c r="U141" s="1649"/>
      <c r="V141" s="1649"/>
      <c r="W141" s="1649"/>
      <c r="X141" s="1649"/>
      <c r="Y141" s="1649"/>
      <c r="Z141" s="1649"/>
      <c r="AA141" s="1649"/>
      <c r="AB141" s="1649"/>
      <c r="AC141" s="1649"/>
    </row>
    <row r="142" spans="1:29" s="1688" customFormat="1" ht="30" x14ac:dyDescent="0.25">
      <c r="A142" s="1310"/>
      <c r="B142" s="2318"/>
      <c r="C142" s="2315"/>
      <c r="D142" s="1669" t="s">
        <v>2218</v>
      </c>
      <c r="E142" s="1677" t="s">
        <v>1168</v>
      </c>
      <c r="F142" s="1678" t="s">
        <v>1168</v>
      </c>
      <c r="G142" s="1679" t="s">
        <v>1168</v>
      </c>
      <c r="H142" s="1681" t="s">
        <v>2280</v>
      </c>
      <c r="I142" s="1682" t="s">
        <v>2280</v>
      </c>
      <c r="J142" s="1683" t="s">
        <v>2280</v>
      </c>
      <c r="K142" s="1681" t="s">
        <v>2281</v>
      </c>
      <c r="L142" s="1682" t="s">
        <v>2281</v>
      </c>
      <c r="M142" s="1682" t="s">
        <v>2281</v>
      </c>
      <c r="N142" s="1682" t="s">
        <v>2281</v>
      </c>
      <c r="O142" s="1683" t="s">
        <v>2281</v>
      </c>
      <c r="P142" s="1310"/>
      <c r="Q142" s="1310"/>
      <c r="R142" s="1310"/>
      <c r="S142" s="1310"/>
      <c r="T142" s="1310"/>
      <c r="U142" s="1310"/>
      <c r="V142" s="1310"/>
      <c r="W142" s="1310"/>
      <c r="X142" s="1310"/>
      <c r="Y142" s="1310"/>
      <c r="Z142" s="1310"/>
      <c r="AA142" s="1310"/>
      <c r="AB142" s="1310"/>
      <c r="AC142" s="1310"/>
    </row>
    <row r="143" spans="1:29" x14ac:dyDescent="0.25">
      <c r="A143" s="264"/>
      <c r="B143" s="199" t="e">
        <f>IF(DATEVALUE("1 "&amp;C143&amp;" "&amp;'Ввод исходных данных'!$E$202)&lt;=DATEVALUE("1 "&amp;'Ввод исходных данных'!$D$202&amp;" "&amp;'Ввод исходных данных'!$E$202),
               'Ввод исходных данных'!$E$202,
               'Ввод исходных данных'!$E$202-1)</f>
        <v>#VALUE!</v>
      </c>
      <c r="C143" s="1665" t="s">
        <v>488</v>
      </c>
      <c r="D143" s="1764" t="str">
        <f>IF(ISBLANK('Ввод исходных данных'!$E273),"-",'Ввод исходных данных'!$E273)</f>
        <v>-</v>
      </c>
      <c r="E143" s="1765" t="str">
        <f>IF(ISBLANK('Ввод исходных данных'!$D217),"-",'Ввод исходных данных'!$D217)</f>
        <v>-</v>
      </c>
      <c r="F143" s="1766" t="str">
        <f>IF(ISBLANK('Ввод исходных данных'!$E217),"-",'Ввод исходных данных'!$E217)</f>
        <v>-</v>
      </c>
      <c r="G143" s="1767" t="str">
        <f>IF(ISBLANK('Ввод исходных данных'!$F217),"-",'Ввод исходных данных'!$F217)</f>
        <v>-</v>
      </c>
      <c r="H143" s="1765" t="str">
        <f>IF(ISBLANK('Ввод исходных данных'!$D236),"-",'Ввод исходных данных'!$D236)</f>
        <v>-</v>
      </c>
      <c r="I143" s="1766" t="str">
        <f>IF(ISBLANK('Ввод исходных данных'!$E236),"-",'Ввод исходных данных'!$E236)</f>
        <v>-</v>
      </c>
      <c r="J143" s="1767" t="str">
        <f>IF(ISBLANK('Ввод исходных данных'!$F236),"-",'Ввод исходных данных'!$F236)</f>
        <v>-</v>
      </c>
      <c r="K143" s="1765" t="str">
        <f>IF(ISBLANK('Ввод исходных данных'!$F253),"-",'Ввод исходных данных'!$F253)</f>
        <v>-</v>
      </c>
      <c r="L143" s="1766" t="str">
        <f>IF(ISBLANK('Ввод исходных данных'!$G253),"-",'Ввод исходных данных'!$G253)</f>
        <v>-</v>
      </c>
      <c r="M143" s="1766" t="str">
        <f>IF(ISBLANK('Ввод исходных данных'!$H253),"-",'Ввод исходных данных'!$H253)</f>
        <v>-</v>
      </c>
      <c r="N143" s="1766" t="str">
        <f>IF(ISBLANK('Ввод исходных данных'!$I253),"-",'Ввод исходных данных'!$I253)</f>
        <v>-</v>
      </c>
      <c r="O143" s="1767" t="str">
        <f>IF(ISBLANK('Ввод исходных данных'!$J253),"-",'Ввод исходных данных'!$J253)</f>
        <v>-</v>
      </c>
      <c r="P143" s="264"/>
      <c r="Q143" s="264"/>
      <c r="R143" s="264"/>
      <c r="S143" s="264"/>
      <c r="T143" s="264"/>
      <c r="U143" s="264"/>
      <c r="V143" s="264"/>
      <c r="W143" s="264"/>
      <c r="X143" s="264"/>
      <c r="Y143" s="264"/>
      <c r="Z143" s="264"/>
      <c r="AA143" s="264"/>
      <c r="AB143" s="264"/>
      <c r="AC143" s="264"/>
    </row>
    <row r="144" spans="1:29" x14ac:dyDescent="0.25">
      <c r="A144" s="264"/>
      <c r="B144" s="199" t="e">
        <f>IF(DATEVALUE("1 "&amp;C144&amp;" "&amp;'Ввод исходных данных'!$E$202)&lt;=DATEVALUE("1 "&amp;'Ввод исходных данных'!$D$202&amp;" "&amp;'Ввод исходных данных'!$E$202),
               'Ввод исходных данных'!$E$202,
               'Ввод исходных данных'!$E$202-1)</f>
        <v>#VALUE!</v>
      </c>
      <c r="C144" s="1665" t="s">
        <v>489</v>
      </c>
      <c r="D144" s="1764" t="str">
        <f>IF(ISBLANK('Ввод исходных данных'!$E274),"-",'Ввод исходных данных'!$E274)</f>
        <v>-</v>
      </c>
      <c r="E144" s="1765" t="str">
        <f>IF(ISBLANK('Ввод исходных данных'!$D218),"-",'Ввод исходных данных'!$D218)</f>
        <v>-</v>
      </c>
      <c r="F144" s="1766" t="str">
        <f>IF(ISBLANK('Ввод исходных данных'!$E218),"-",'Ввод исходных данных'!$E218)</f>
        <v>-</v>
      </c>
      <c r="G144" s="1767" t="str">
        <f>IF(ISBLANK('Ввод исходных данных'!$F218),"-",'Ввод исходных данных'!$F218)</f>
        <v>-</v>
      </c>
      <c r="H144" s="1765" t="str">
        <f>IF(ISBLANK('Ввод исходных данных'!$D237),"-",'Ввод исходных данных'!$D237)</f>
        <v>-</v>
      </c>
      <c r="I144" s="1766" t="str">
        <f>IF(ISBLANK('Ввод исходных данных'!$E237),"-",'Ввод исходных данных'!$E237)</f>
        <v>-</v>
      </c>
      <c r="J144" s="1767" t="str">
        <f>IF(ISBLANK('Ввод исходных данных'!$F237),"-",'Ввод исходных данных'!$F237)</f>
        <v>-</v>
      </c>
      <c r="K144" s="1765" t="str">
        <f>IF(ISBLANK('Ввод исходных данных'!$F254),"-",'Ввод исходных данных'!$F254)</f>
        <v>-</v>
      </c>
      <c r="L144" s="1766" t="str">
        <f>IF(ISBLANK('Ввод исходных данных'!$G254),"-",'Ввод исходных данных'!$G254)</f>
        <v>-</v>
      </c>
      <c r="M144" s="1766" t="str">
        <f>IF(ISBLANK('Ввод исходных данных'!$H254),"-",'Ввод исходных данных'!$H254)</f>
        <v>-</v>
      </c>
      <c r="N144" s="1766" t="str">
        <f>IF(ISBLANK('Ввод исходных данных'!$I254),"-",'Ввод исходных данных'!$I254)</f>
        <v>-</v>
      </c>
      <c r="O144" s="1767" t="str">
        <f>IF(ISBLANK('Ввод исходных данных'!$J254),"-",'Ввод исходных данных'!$J254)</f>
        <v>-</v>
      </c>
      <c r="P144" s="264"/>
      <c r="Q144" s="264"/>
      <c r="R144" s="264"/>
      <c r="S144" s="264"/>
      <c r="T144" s="264"/>
      <c r="U144" s="264"/>
      <c r="V144" s="264"/>
      <c r="W144" s="264"/>
      <c r="X144" s="264"/>
      <c r="Y144" s="264"/>
      <c r="Z144" s="264"/>
      <c r="AA144" s="264"/>
      <c r="AB144" s="264"/>
      <c r="AC144" s="264"/>
    </row>
    <row r="145" spans="1:29" x14ac:dyDescent="0.25">
      <c r="A145" s="264"/>
      <c r="B145" s="199" t="e">
        <f>IF(DATEVALUE("1 "&amp;C145&amp;" "&amp;'Ввод исходных данных'!$E$202)&lt;=DATEVALUE("1 "&amp;'Ввод исходных данных'!$D$202&amp;" "&amp;'Ввод исходных данных'!$E$202),
               'Ввод исходных данных'!$E$202,
               'Ввод исходных данных'!$E$202-1)</f>
        <v>#VALUE!</v>
      </c>
      <c r="C145" s="1665" t="s">
        <v>490</v>
      </c>
      <c r="D145" s="1764" t="str">
        <f>IF(ISBLANK('Ввод исходных данных'!$E275),"-",'Ввод исходных данных'!$E275)</f>
        <v>-</v>
      </c>
      <c r="E145" s="1765" t="str">
        <f>IF(ISBLANK('Ввод исходных данных'!$D219),"-",'Ввод исходных данных'!$D219)</f>
        <v>-</v>
      </c>
      <c r="F145" s="1766" t="str">
        <f>IF(ISBLANK('Ввод исходных данных'!$E219),"-",'Ввод исходных данных'!$E219)</f>
        <v>-</v>
      </c>
      <c r="G145" s="1767" t="str">
        <f>IF(ISBLANK('Ввод исходных данных'!$F219),"-",'Ввод исходных данных'!$F219)</f>
        <v>-</v>
      </c>
      <c r="H145" s="1765" t="str">
        <f>IF(ISBLANK('Ввод исходных данных'!$D238),"-",'Ввод исходных данных'!$D238)</f>
        <v>-</v>
      </c>
      <c r="I145" s="1766" t="str">
        <f>IF(ISBLANK('Ввод исходных данных'!$E238),"-",'Ввод исходных данных'!$E238)</f>
        <v>-</v>
      </c>
      <c r="J145" s="1767" t="str">
        <f>IF(ISBLANK('Ввод исходных данных'!$F238),"-",'Ввод исходных данных'!$F238)</f>
        <v>-</v>
      </c>
      <c r="K145" s="1765" t="str">
        <f>IF(ISBLANK('Ввод исходных данных'!$F255),"-",'Ввод исходных данных'!$F255)</f>
        <v>-</v>
      </c>
      <c r="L145" s="1766" t="str">
        <f>IF(ISBLANK('Ввод исходных данных'!$G255),"-",'Ввод исходных данных'!$G255)</f>
        <v>-</v>
      </c>
      <c r="M145" s="1766" t="str">
        <f>IF(ISBLANK('Ввод исходных данных'!$H255),"-",'Ввод исходных данных'!$H255)</f>
        <v>-</v>
      </c>
      <c r="N145" s="1766" t="str">
        <f>IF(ISBLANK('Ввод исходных данных'!$I255),"-",'Ввод исходных данных'!$I255)</f>
        <v>-</v>
      </c>
      <c r="O145" s="1767" t="str">
        <f>IF(ISBLANK('Ввод исходных данных'!$J255),"-",'Ввод исходных данных'!$J255)</f>
        <v>-</v>
      </c>
      <c r="P145" s="264"/>
      <c r="Q145" s="264"/>
      <c r="R145" s="264"/>
      <c r="S145" s="264"/>
      <c r="T145" s="264"/>
      <c r="U145" s="264"/>
      <c r="V145" s="264"/>
      <c r="W145" s="264"/>
      <c r="X145" s="264"/>
      <c r="Y145" s="264"/>
      <c r="Z145" s="264"/>
      <c r="AA145" s="264"/>
      <c r="AB145" s="264"/>
      <c r="AC145" s="264"/>
    </row>
    <row r="146" spans="1:29" x14ac:dyDescent="0.25">
      <c r="A146" s="264"/>
      <c r="B146" s="199" t="e">
        <f>IF(DATEVALUE("1 "&amp;C146&amp;" "&amp;'Ввод исходных данных'!$E$202)&lt;=DATEVALUE("1 "&amp;'Ввод исходных данных'!$D$202&amp;" "&amp;'Ввод исходных данных'!$E$202),
               'Ввод исходных данных'!$E$202,
               'Ввод исходных данных'!$E$202-1)</f>
        <v>#VALUE!</v>
      </c>
      <c r="C146" s="1665" t="s">
        <v>491</v>
      </c>
      <c r="D146" s="1764" t="str">
        <f>IF(ISBLANK('Ввод исходных данных'!$E276),"-",'Ввод исходных данных'!$E276)</f>
        <v>-</v>
      </c>
      <c r="E146" s="1765" t="str">
        <f>IF(ISBLANK('Ввод исходных данных'!$D220),"-",'Ввод исходных данных'!$D220)</f>
        <v>-</v>
      </c>
      <c r="F146" s="1766" t="str">
        <f>IF(ISBLANK('Ввод исходных данных'!$E220),"-",'Ввод исходных данных'!$E220)</f>
        <v>-</v>
      </c>
      <c r="G146" s="1767" t="str">
        <f>IF(ISBLANK('Ввод исходных данных'!$F220),"-",'Ввод исходных данных'!$F220)</f>
        <v>-</v>
      </c>
      <c r="H146" s="1765" t="str">
        <f>IF(ISBLANK('Ввод исходных данных'!$D239),"-",'Ввод исходных данных'!$D239)</f>
        <v>-</v>
      </c>
      <c r="I146" s="1766" t="str">
        <f>IF(ISBLANK('Ввод исходных данных'!$E239),"-",'Ввод исходных данных'!$E239)</f>
        <v>-</v>
      </c>
      <c r="J146" s="1767" t="str">
        <f>IF(ISBLANK('Ввод исходных данных'!$F239),"-",'Ввод исходных данных'!$F239)</f>
        <v>-</v>
      </c>
      <c r="K146" s="1765" t="str">
        <f>IF(ISBLANK('Ввод исходных данных'!$F256),"-",'Ввод исходных данных'!$F256)</f>
        <v>-</v>
      </c>
      <c r="L146" s="1766" t="str">
        <f>IF(ISBLANK('Ввод исходных данных'!$G256),"-",'Ввод исходных данных'!$G256)</f>
        <v>-</v>
      </c>
      <c r="M146" s="1766" t="str">
        <f>IF(ISBLANK('Ввод исходных данных'!$H256),"-",'Ввод исходных данных'!$H256)</f>
        <v>-</v>
      </c>
      <c r="N146" s="1766" t="str">
        <f>IF(ISBLANK('Ввод исходных данных'!$I256),"-",'Ввод исходных данных'!$I256)</f>
        <v>-</v>
      </c>
      <c r="O146" s="1767" t="str">
        <f>IF(ISBLANK('Ввод исходных данных'!$J256),"-",'Ввод исходных данных'!$J256)</f>
        <v>-</v>
      </c>
      <c r="P146" s="264"/>
      <c r="Q146" s="264"/>
      <c r="R146" s="264"/>
      <c r="S146" s="264"/>
      <c r="T146" s="264"/>
      <c r="U146" s="264"/>
      <c r="V146" s="264"/>
      <c r="W146" s="264"/>
      <c r="X146" s="264"/>
      <c r="Y146" s="264"/>
      <c r="Z146" s="264"/>
      <c r="AA146" s="264"/>
      <c r="AB146" s="264"/>
      <c r="AC146" s="264"/>
    </row>
    <row r="147" spans="1:29" x14ac:dyDescent="0.25">
      <c r="A147" s="264"/>
      <c r="B147" s="199" t="e">
        <f>IF(DATEVALUE("1 "&amp;C147&amp;" "&amp;'Ввод исходных данных'!$E$202)&lt;=DATEVALUE("1 "&amp;'Ввод исходных данных'!$D$202&amp;" "&amp;'Ввод исходных данных'!$E$202),
               'Ввод исходных данных'!$E$202,
               'Ввод исходных данных'!$E$202-1)</f>
        <v>#VALUE!</v>
      </c>
      <c r="C147" s="1665" t="s">
        <v>800</v>
      </c>
      <c r="D147" s="1764" t="str">
        <f>IF(ISBLANK('Ввод исходных данных'!$E277),"-",'Ввод исходных данных'!$E277)</f>
        <v>-</v>
      </c>
      <c r="E147" s="1765" t="str">
        <f>IF(ISBLANK('Ввод исходных данных'!$D221),"-",'Ввод исходных данных'!$D221)</f>
        <v>-</v>
      </c>
      <c r="F147" s="1766" t="str">
        <f>IF(ISBLANK('Ввод исходных данных'!$E221),"-",'Ввод исходных данных'!$E221)</f>
        <v>-</v>
      </c>
      <c r="G147" s="1767" t="str">
        <f>IF(ISBLANK('Ввод исходных данных'!$F221),"-",'Ввод исходных данных'!$F221)</f>
        <v>-</v>
      </c>
      <c r="H147" s="1765" t="str">
        <f>IF(ISBLANK('Ввод исходных данных'!$D240),"-",'Ввод исходных данных'!$D240)</f>
        <v>-</v>
      </c>
      <c r="I147" s="1766" t="str">
        <f>IF(ISBLANK('Ввод исходных данных'!$E240),"-",'Ввод исходных данных'!$E240)</f>
        <v>-</v>
      </c>
      <c r="J147" s="1767" t="str">
        <f>IF(ISBLANK('Ввод исходных данных'!$F240),"-",'Ввод исходных данных'!$F240)</f>
        <v>-</v>
      </c>
      <c r="K147" s="1765" t="str">
        <f>IF(ISBLANK('Ввод исходных данных'!$F257),"-",'Ввод исходных данных'!$F257)</f>
        <v>-</v>
      </c>
      <c r="L147" s="1766" t="str">
        <f>IF(ISBLANK('Ввод исходных данных'!$G257),"-",'Ввод исходных данных'!$G257)</f>
        <v>-</v>
      </c>
      <c r="M147" s="1766" t="str">
        <f>IF(ISBLANK('Ввод исходных данных'!$H257),"-",'Ввод исходных данных'!$H257)</f>
        <v>-</v>
      </c>
      <c r="N147" s="1766" t="str">
        <f>IF(ISBLANK('Ввод исходных данных'!$I257),"-",'Ввод исходных данных'!$I257)</f>
        <v>-</v>
      </c>
      <c r="O147" s="1767" t="str">
        <f>IF(ISBLANK('Ввод исходных данных'!$J257),"-",'Ввод исходных данных'!$J257)</f>
        <v>-</v>
      </c>
      <c r="P147" s="264"/>
      <c r="Q147" s="264"/>
      <c r="R147" s="264"/>
      <c r="S147" s="264"/>
      <c r="T147" s="264"/>
      <c r="U147" s="264"/>
      <c r="V147" s="264"/>
      <c r="W147" s="264"/>
      <c r="X147" s="264"/>
      <c r="Y147" s="264"/>
      <c r="Z147" s="264"/>
      <c r="AA147" s="264"/>
      <c r="AB147" s="264"/>
      <c r="AC147" s="264"/>
    </row>
    <row r="148" spans="1:29" x14ac:dyDescent="0.25">
      <c r="A148" s="264"/>
      <c r="B148" s="199" t="e">
        <f>IF(DATEVALUE("1 "&amp;C148&amp;" "&amp;'Ввод исходных данных'!$E$202)&lt;=DATEVALUE("1 "&amp;'Ввод исходных данных'!$D$202&amp;" "&amp;'Ввод исходных данных'!$E$202),
               'Ввод исходных данных'!$E$202,
               'Ввод исходных данных'!$E$202-1)</f>
        <v>#VALUE!</v>
      </c>
      <c r="C148" s="1665" t="s">
        <v>801</v>
      </c>
      <c r="D148" s="1764" t="str">
        <f>IF(ISBLANK('Ввод исходных данных'!$E278),"-",'Ввод исходных данных'!$E278)</f>
        <v>-</v>
      </c>
      <c r="E148" s="1765" t="str">
        <f>IF(ISBLANK('Ввод исходных данных'!$D222),"-",'Ввод исходных данных'!$D222)</f>
        <v>-</v>
      </c>
      <c r="F148" s="1766" t="str">
        <f>IF(ISBLANK('Ввод исходных данных'!$E222),"-",'Ввод исходных данных'!$E222)</f>
        <v>-</v>
      </c>
      <c r="G148" s="1767" t="str">
        <f>IF(ISBLANK('Ввод исходных данных'!$F222),"-",'Ввод исходных данных'!$F222)</f>
        <v>-</v>
      </c>
      <c r="H148" s="1765" t="str">
        <f>IF(ISBLANK('Ввод исходных данных'!$D241),"-",'Ввод исходных данных'!$D241)</f>
        <v>-</v>
      </c>
      <c r="I148" s="1766" t="str">
        <f>IF(ISBLANK('Ввод исходных данных'!$E241),"-",'Ввод исходных данных'!$E241)</f>
        <v>-</v>
      </c>
      <c r="J148" s="1767" t="str">
        <f>IF(ISBLANK('Ввод исходных данных'!$F241),"-",'Ввод исходных данных'!$F241)</f>
        <v>-</v>
      </c>
      <c r="K148" s="1765" t="str">
        <f>IF(ISBLANK('Ввод исходных данных'!$F258),"-",'Ввод исходных данных'!$F258)</f>
        <v>-</v>
      </c>
      <c r="L148" s="1766" t="str">
        <f>IF(ISBLANK('Ввод исходных данных'!$G258),"-",'Ввод исходных данных'!$G258)</f>
        <v>-</v>
      </c>
      <c r="M148" s="1766" t="str">
        <f>IF(ISBLANK('Ввод исходных данных'!$H258),"-",'Ввод исходных данных'!$H258)</f>
        <v>-</v>
      </c>
      <c r="N148" s="1766" t="str">
        <f>IF(ISBLANK('Ввод исходных данных'!$I258),"-",'Ввод исходных данных'!$I258)</f>
        <v>-</v>
      </c>
      <c r="O148" s="1767" t="str">
        <f>IF(ISBLANK('Ввод исходных данных'!$J258),"-",'Ввод исходных данных'!$J258)</f>
        <v>-</v>
      </c>
      <c r="P148" s="264"/>
      <c r="Q148" s="264"/>
      <c r="R148" s="264"/>
      <c r="S148" s="264"/>
      <c r="T148" s="264"/>
      <c r="U148" s="264"/>
      <c r="V148" s="264"/>
      <c r="W148" s="264"/>
      <c r="X148" s="264"/>
      <c r="Y148" s="264"/>
      <c r="Z148" s="264"/>
      <c r="AA148" s="264"/>
      <c r="AB148" s="264"/>
      <c r="AC148" s="264"/>
    </row>
    <row r="149" spans="1:29" x14ac:dyDescent="0.25">
      <c r="A149" s="264"/>
      <c r="B149" s="199" t="e">
        <f>IF(DATEVALUE("1 "&amp;C149&amp;" "&amp;'Ввод исходных данных'!$E$202)&lt;=DATEVALUE("1 "&amp;'Ввод исходных данных'!$D$202&amp;" "&amp;'Ввод исходных данных'!$E$202),
               'Ввод исходных данных'!$E$202,
               'Ввод исходных данных'!$E$202-1)</f>
        <v>#VALUE!</v>
      </c>
      <c r="C149" s="1665" t="s">
        <v>802</v>
      </c>
      <c r="D149" s="1764" t="str">
        <f>IF(ISBLANK('Ввод исходных данных'!$E279),"-",'Ввод исходных данных'!$E279)</f>
        <v>-</v>
      </c>
      <c r="E149" s="1765" t="str">
        <f>IF(ISBLANK('Ввод исходных данных'!$D223),"-",'Ввод исходных данных'!$D223)</f>
        <v>-</v>
      </c>
      <c r="F149" s="1766" t="str">
        <f>IF(ISBLANK('Ввод исходных данных'!$E223),"-",'Ввод исходных данных'!$E223)</f>
        <v>-</v>
      </c>
      <c r="G149" s="1767" t="str">
        <f>IF(ISBLANK('Ввод исходных данных'!$F223),"-",'Ввод исходных данных'!$F223)</f>
        <v>-</v>
      </c>
      <c r="H149" s="1765" t="str">
        <f>IF(ISBLANK('Ввод исходных данных'!$D242),"-",'Ввод исходных данных'!$D242)</f>
        <v>-</v>
      </c>
      <c r="I149" s="1766" t="str">
        <f>IF(ISBLANK('Ввод исходных данных'!$E242),"-",'Ввод исходных данных'!$E242)</f>
        <v>-</v>
      </c>
      <c r="J149" s="1767" t="str">
        <f>IF(ISBLANK('Ввод исходных данных'!$F242),"-",'Ввод исходных данных'!$F242)</f>
        <v>-</v>
      </c>
      <c r="K149" s="1765" t="str">
        <f>IF(ISBLANK('Ввод исходных данных'!$F259),"-",'Ввод исходных данных'!$F259)</f>
        <v>-</v>
      </c>
      <c r="L149" s="1766" t="str">
        <f>IF(ISBLANK('Ввод исходных данных'!$G259),"-",'Ввод исходных данных'!$G259)</f>
        <v>-</v>
      </c>
      <c r="M149" s="1766" t="str">
        <f>IF(ISBLANK('Ввод исходных данных'!$H259),"-",'Ввод исходных данных'!$H259)</f>
        <v>-</v>
      </c>
      <c r="N149" s="1766" t="str">
        <f>IF(ISBLANK('Ввод исходных данных'!$I259),"-",'Ввод исходных данных'!$I259)</f>
        <v>-</v>
      </c>
      <c r="O149" s="1767" t="str">
        <f>IF(ISBLANK('Ввод исходных данных'!$J259),"-",'Ввод исходных данных'!$J259)</f>
        <v>-</v>
      </c>
      <c r="P149" s="264"/>
      <c r="Q149" s="264"/>
      <c r="R149" s="264"/>
      <c r="S149" s="264"/>
      <c r="T149" s="264"/>
      <c r="U149" s="264"/>
      <c r="V149" s="264"/>
      <c r="W149" s="264"/>
      <c r="X149" s="264"/>
      <c r="Y149" s="264"/>
      <c r="Z149" s="264"/>
      <c r="AA149" s="264"/>
      <c r="AB149" s="264"/>
      <c r="AC149" s="264"/>
    </row>
    <row r="150" spans="1:29" x14ac:dyDescent="0.25">
      <c r="A150" s="264"/>
      <c r="B150" s="199" t="e">
        <f>IF(DATEVALUE("1 "&amp;C150&amp;" "&amp;'Ввод исходных данных'!$E$202)&lt;=DATEVALUE("1 "&amp;'Ввод исходных данных'!$D$202&amp;" "&amp;'Ввод исходных данных'!$E$202),
               'Ввод исходных данных'!$E$202,
               'Ввод исходных данных'!$E$202-1)</f>
        <v>#VALUE!</v>
      </c>
      <c r="C150" s="1665" t="s">
        <v>803</v>
      </c>
      <c r="D150" s="1764" t="str">
        <f>IF(ISBLANK('Ввод исходных данных'!$E280),"-",'Ввод исходных данных'!$E280)</f>
        <v>-</v>
      </c>
      <c r="E150" s="1765" t="str">
        <f>IF(ISBLANK('Ввод исходных данных'!$D224),"-",'Ввод исходных данных'!$D224)</f>
        <v>-</v>
      </c>
      <c r="F150" s="1766" t="str">
        <f>IF(ISBLANK('Ввод исходных данных'!$E224),"-",'Ввод исходных данных'!$E224)</f>
        <v>-</v>
      </c>
      <c r="G150" s="1767" t="str">
        <f>IF(ISBLANK('Ввод исходных данных'!$F224),"-",'Ввод исходных данных'!$F224)</f>
        <v>-</v>
      </c>
      <c r="H150" s="1765" t="str">
        <f>IF(ISBLANK('Ввод исходных данных'!$D243),"-",'Ввод исходных данных'!$D243)</f>
        <v>-</v>
      </c>
      <c r="I150" s="1766" t="str">
        <f>IF(ISBLANK('Ввод исходных данных'!$E243),"-",'Ввод исходных данных'!$E243)</f>
        <v>-</v>
      </c>
      <c r="J150" s="1767" t="str">
        <f>IF(ISBLANK('Ввод исходных данных'!$F243),"-",'Ввод исходных данных'!$F243)</f>
        <v>-</v>
      </c>
      <c r="K150" s="1765" t="str">
        <f>IF(ISBLANK('Ввод исходных данных'!$F260),"-",'Ввод исходных данных'!$F260)</f>
        <v>-</v>
      </c>
      <c r="L150" s="1766" t="str">
        <f>IF(ISBLANK('Ввод исходных данных'!$G260),"-",'Ввод исходных данных'!$G260)</f>
        <v>-</v>
      </c>
      <c r="M150" s="1766" t="str">
        <f>IF(ISBLANK('Ввод исходных данных'!$H260),"-",'Ввод исходных данных'!$H260)</f>
        <v>-</v>
      </c>
      <c r="N150" s="1766" t="str">
        <f>IF(ISBLANK('Ввод исходных данных'!$I260),"-",'Ввод исходных данных'!$I260)</f>
        <v>-</v>
      </c>
      <c r="O150" s="1767" t="str">
        <f>IF(ISBLANK('Ввод исходных данных'!$J260),"-",'Ввод исходных данных'!$J260)</f>
        <v>-</v>
      </c>
      <c r="P150" s="264"/>
      <c r="Q150" s="264"/>
      <c r="R150" s="264"/>
      <c r="S150" s="264"/>
      <c r="T150" s="264"/>
      <c r="U150" s="264"/>
      <c r="V150" s="264"/>
      <c r="W150" s="264"/>
      <c r="X150" s="264"/>
      <c r="Y150" s="264"/>
      <c r="Z150" s="264"/>
      <c r="AA150" s="264"/>
      <c r="AB150" s="264"/>
      <c r="AC150" s="264"/>
    </row>
    <row r="151" spans="1:29" x14ac:dyDescent="0.25">
      <c r="A151" s="264"/>
      <c r="B151" s="199" t="e">
        <f>IF(DATEVALUE("1 "&amp;C151&amp;" "&amp;'Ввод исходных данных'!$E$202)&lt;=DATEVALUE("1 "&amp;'Ввод исходных данных'!$D$202&amp;" "&amp;'Ввод исходных данных'!$E$202),
               'Ввод исходных данных'!$E$202,
               'Ввод исходных данных'!$E$202-1)</f>
        <v>#VALUE!</v>
      </c>
      <c r="C151" s="1665" t="s">
        <v>804</v>
      </c>
      <c r="D151" s="1764" t="str">
        <f>IF(ISBLANK('Ввод исходных данных'!$E281),"-",'Ввод исходных данных'!$E281)</f>
        <v>-</v>
      </c>
      <c r="E151" s="1765" t="str">
        <f>IF(ISBLANK('Ввод исходных данных'!$D225),"-",'Ввод исходных данных'!$D225)</f>
        <v>-</v>
      </c>
      <c r="F151" s="1766" t="str">
        <f>IF(ISBLANK('Ввод исходных данных'!$E225),"-",'Ввод исходных данных'!$E225)</f>
        <v>-</v>
      </c>
      <c r="G151" s="1767" t="str">
        <f>IF(ISBLANK('Ввод исходных данных'!$F225),"-",'Ввод исходных данных'!$F225)</f>
        <v>-</v>
      </c>
      <c r="H151" s="1765" t="str">
        <f>IF(ISBLANK('Ввод исходных данных'!$D244),"-",'Ввод исходных данных'!$D244)</f>
        <v>-</v>
      </c>
      <c r="I151" s="1766" t="str">
        <f>IF(ISBLANK('Ввод исходных данных'!$E244),"-",'Ввод исходных данных'!$E244)</f>
        <v>-</v>
      </c>
      <c r="J151" s="1767" t="str">
        <f>IF(ISBLANK('Ввод исходных данных'!$F244),"-",'Ввод исходных данных'!$F244)</f>
        <v>-</v>
      </c>
      <c r="K151" s="1765" t="str">
        <f>IF(ISBLANK('Ввод исходных данных'!$F261),"-",'Ввод исходных данных'!$F261)</f>
        <v>-</v>
      </c>
      <c r="L151" s="1766" t="str">
        <f>IF(ISBLANK('Ввод исходных данных'!$G261),"-",'Ввод исходных данных'!$G261)</f>
        <v>-</v>
      </c>
      <c r="M151" s="1766" t="str">
        <f>IF(ISBLANK('Ввод исходных данных'!$H261),"-",'Ввод исходных данных'!$H261)</f>
        <v>-</v>
      </c>
      <c r="N151" s="1766" t="str">
        <f>IF(ISBLANK('Ввод исходных данных'!$I261),"-",'Ввод исходных данных'!$I261)</f>
        <v>-</v>
      </c>
      <c r="O151" s="1767" t="str">
        <f>IF(ISBLANK('Ввод исходных данных'!$J261),"-",'Ввод исходных данных'!$J261)</f>
        <v>-</v>
      </c>
      <c r="P151" s="264"/>
      <c r="Q151" s="264"/>
      <c r="R151" s="264"/>
      <c r="S151" s="264"/>
      <c r="T151" s="264"/>
      <c r="U151" s="264"/>
      <c r="V151" s="264"/>
      <c r="W151" s="264"/>
      <c r="X151" s="264"/>
      <c r="Y151" s="264"/>
      <c r="Z151" s="264"/>
      <c r="AA151" s="264"/>
      <c r="AB151" s="264"/>
      <c r="AC151" s="264"/>
    </row>
    <row r="152" spans="1:29" x14ac:dyDescent="0.25">
      <c r="A152" s="264"/>
      <c r="B152" s="199" t="e">
        <f>IF(DATEVALUE("1 "&amp;C152&amp;" "&amp;'Ввод исходных данных'!$E$202)&lt;=DATEVALUE("1 "&amp;'Ввод исходных данных'!$D$202&amp;" "&amp;'Ввод исходных данных'!$E$202),
               'Ввод исходных данных'!$E$202,
               'Ввод исходных данных'!$E$202-1)</f>
        <v>#VALUE!</v>
      </c>
      <c r="C152" s="1665" t="s">
        <v>482</v>
      </c>
      <c r="D152" s="1764" t="str">
        <f>IF(ISBLANK('Ввод исходных данных'!$E282),"-",'Ввод исходных данных'!$E282)</f>
        <v>-</v>
      </c>
      <c r="E152" s="1765" t="str">
        <f>IF(ISBLANK('Ввод исходных данных'!$D226),"-",'Ввод исходных данных'!$D226)</f>
        <v>-</v>
      </c>
      <c r="F152" s="1766" t="str">
        <f>IF(ISBLANK('Ввод исходных данных'!$E226),"-",'Ввод исходных данных'!$E226)</f>
        <v>-</v>
      </c>
      <c r="G152" s="1767" t="str">
        <f>IF(ISBLANK('Ввод исходных данных'!$F226),"-",'Ввод исходных данных'!$F226)</f>
        <v>-</v>
      </c>
      <c r="H152" s="1765" t="str">
        <f>IF(ISBLANK('Ввод исходных данных'!$D245),"-",'Ввод исходных данных'!$D245)</f>
        <v>-</v>
      </c>
      <c r="I152" s="1766" t="str">
        <f>IF(ISBLANK('Ввод исходных данных'!$E245),"-",'Ввод исходных данных'!$E245)</f>
        <v>-</v>
      </c>
      <c r="J152" s="1767" t="str">
        <f>IF(ISBLANK('Ввод исходных данных'!$F245),"-",'Ввод исходных данных'!$F245)</f>
        <v>-</v>
      </c>
      <c r="K152" s="1765" t="str">
        <f>IF(ISBLANK('Ввод исходных данных'!$F262),"-",'Ввод исходных данных'!$F262)</f>
        <v>-</v>
      </c>
      <c r="L152" s="1766" t="str">
        <f>IF(ISBLANK('Ввод исходных данных'!$G262),"-",'Ввод исходных данных'!$G262)</f>
        <v>-</v>
      </c>
      <c r="M152" s="1766" t="str">
        <f>IF(ISBLANK('Ввод исходных данных'!$H262),"-",'Ввод исходных данных'!$H262)</f>
        <v>-</v>
      </c>
      <c r="N152" s="1766" t="str">
        <f>IF(ISBLANK('Ввод исходных данных'!$I262),"-",'Ввод исходных данных'!$I262)</f>
        <v>-</v>
      </c>
      <c r="O152" s="1767" t="str">
        <f>IF(ISBLANK('Ввод исходных данных'!$J262),"-",'Ввод исходных данных'!$J262)</f>
        <v>-</v>
      </c>
      <c r="P152" s="264"/>
      <c r="Q152" s="264"/>
      <c r="R152" s="264"/>
      <c r="S152" s="264"/>
      <c r="T152" s="264"/>
      <c r="U152" s="264"/>
      <c r="V152" s="264"/>
      <c r="W152" s="264"/>
      <c r="X152" s="264"/>
      <c r="Y152" s="264"/>
      <c r="Z152" s="264"/>
      <c r="AA152" s="264"/>
      <c r="AB152" s="264"/>
      <c r="AC152" s="264"/>
    </row>
    <row r="153" spans="1:29" x14ac:dyDescent="0.25">
      <c r="A153" s="264"/>
      <c r="B153" s="199" t="e">
        <f>IF(DATEVALUE("1 "&amp;C153&amp;" "&amp;'Ввод исходных данных'!$E$202)&lt;=DATEVALUE("1 "&amp;'Ввод исходных данных'!$D$202&amp;" "&amp;'Ввод исходных данных'!$E$202),
               'Ввод исходных данных'!$E$202,
               'Ввод исходных данных'!$E$202-1)</f>
        <v>#VALUE!</v>
      </c>
      <c r="C153" s="1665" t="s">
        <v>486</v>
      </c>
      <c r="D153" s="1764" t="str">
        <f>IF(ISBLANK('Ввод исходных данных'!$E283),"-",'Ввод исходных данных'!$E283)</f>
        <v>-</v>
      </c>
      <c r="E153" s="1765" t="str">
        <f>IF(ISBLANK('Ввод исходных данных'!$D227),"-",'Ввод исходных данных'!$D227)</f>
        <v>-</v>
      </c>
      <c r="F153" s="1766" t="str">
        <f>IF(ISBLANK('Ввод исходных данных'!$E227),"-",'Ввод исходных данных'!$E227)</f>
        <v>-</v>
      </c>
      <c r="G153" s="1767" t="str">
        <f>IF(ISBLANK('Ввод исходных данных'!$F227),"-",'Ввод исходных данных'!$F227)</f>
        <v>-</v>
      </c>
      <c r="H153" s="1765" t="str">
        <f>IF(ISBLANK('Ввод исходных данных'!$D246),"-",'Ввод исходных данных'!$D246)</f>
        <v>-</v>
      </c>
      <c r="I153" s="1766" t="str">
        <f>IF(ISBLANK('Ввод исходных данных'!$E246),"-",'Ввод исходных данных'!$E246)</f>
        <v>-</v>
      </c>
      <c r="J153" s="1767" t="str">
        <f>IF(ISBLANK('Ввод исходных данных'!$F246),"-",'Ввод исходных данных'!$F246)</f>
        <v>-</v>
      </c>
      <c r="K153" s="1765" t="str">
        <f>IF(ISBLANK('Ввод исходных данных'!$F263),"-",'Ввод исходных данных'!$F263)</f>
        <v>-</v>
      </c>
      <c r="L153" s="1766" t="str">
        <f>IF(ISBLANK('Ввод исходных данных'!$G263),"-",'Ввод исходных данных'!$G263)</f>
        <v>-</v>
      </c>
      <c r="M153" s="1766" t="str">
        <f>IF(ISBLANK('Ввод исходных данных'!$H263),"-",'Ввод исходных данных'!$H263)</f>
        <v>-</v>
      </c>
      <c r="N153" s="1766" t="str">
        <f>IF(ISBLANK('Ввод исходных данных'!$I263),"-",'Ввод исходных данных'!$I263)</f>
        <v>-</v>
      </c>
      <c r="O153" s="1767" t="str">
        <f>IF(ISBLANK('Ввод исходных данных'!$J263),"-",'Ввод исходных данных'!$J263)</f>
        <v>-</v>
      </c>
      <c r="P153" s="264"/>
      <c r="Q153" s="264"/>
      <c r="R153" s="264"/>
      <c r="S153" s="264"/>
      <c r="T153" s="264"/>
      <c r="U153" s="264"/>
      <c r="V153" s="264"/>
      <c r="W153" s="264"/>
      <c r="X153" s="264"/>
      <c r="Y153" s="264"/>
      <c r="Z153" s="264"/>
      <c r="AA153" s="264"/>
      <c r="AB153" s="264"/>
      <c r="AC153" s="264"/>
    </row>
    <row r="154" spans="1:29" x14ac:dyDescent="0.25">
      <c r="A154" s="264"/>
      <c r="B154" s="199" t="e">
        <f>IF(DATEVALUE("1 "&amp;C154&amp;" "&amp;'Ввод исходных данных'!$E$202)&lt;=DATEVALUE("1 "&amp;'Ввод исходных данных'!$D$202&amp;" "&amp;'Ввод исходных данных'!$E$202),
               'Ввод исходных данных'!$E$202,
               'Ввод исходных данных'!$E$202-1)</f>
        <v>#VALUE!</v>
      </c>
      <c r="C154" s="1665" t="s">
        <v>487</v>
      </c>
      <c r="D154" s="1764" t="str">
        <f>IF(ISBLANK('Ввод исходных данных'!$E284),"-",'Ввод исходных данных'!$E284)</f>
        <v>-</v>
      </c>
      <c r="E154" s="1765" t="str">
        <f>IF(ISBLANK('Ввод исходных данных'!$D228),"-",'Ввод исходных данных'!$D228)</f>
        <v>-</v>
      </c>
      <c r="F154" s="1766" t="str">
        <f>IF(ISBLANK('Ввод исходных данных'!$E228),"-",'Ввод исходных данных'!$E228)</f>
        <v>-</v>
      </c>
      <c r="G154" s="1767" t="str">
        <f>IF(ISBLANK('Ввод исходных данных'!$F228),"-",'Ввод исходных данных'!$F228)</f>
        <v>-</v>
      </c>
      <c r="H154" s="1765" t="str">
        <f>IF(ISBLANK('Ввод исходных данных'!$D247),"-",'Ввод исходных данных'!$D247)</f>
        <v>-</v>
      </c>
      <c r="I154" s="1766" t="str">
        <f>IF(ISBLANK('Ввод исходных данных'!$E247),"-",'Ввод исходных данных'!$E247)</f>
        <v>-</v>
      </c>
      <c r="J154" s="1767" t="str">
        <f>IF(ISBLANK('Ввод исходных данных'!$F247),"-",'Ввод исходных данных'!$F247)</f>
        <v>-</v>
      </c>
      <c r="K154" s="1765" t="str">
        <f>IF(ISBLANK('Ввод исходных данных'!$F264),"-",'Ввод исходных данных'!$F264)</f>
        <v>-</v>
      </c>
      <c r="L154" s="1766" t="str">
        <f>IF(ISBLANK('Ввод исходных данных'!$G264),"-",'Ввод исходных данных'!$G264)</f>
        <v>-</v>
      </c>
      <c r="M154" s="1766" t="str">
        <f>IF(ISBLANK('Ввод исходных данных'!$H264),"-",'Ввод исходных данных'!$H264)</f>
        <v>-</v>
      </c>
      <c r="N154" s="1766" t="str">
        <f>IF(ISBLANK('Ввод исходных данных'!$I264),"-",'Ввод исходных данных'!$I264)</f>
        <v>-</v>
      </c>
      <c r="O154" s="1767" t="str">
        <f>IF(ISBLANK('Ввод исходных данных'!$J264),"-",'Ввод исходных данных'!$J264)</f>
        <v>-</v>
      </c>
      <c r="P154" s="264"/>
      <c r="Q154" s="264"/>
      <c r="R154" s="264"/>
      <c r="S154" s="264"/>
      <c r="T154" s="264"/>
      <c r="U154" s="264"/>
      <c r="V154" s="264"/>
      <c r="W154" s="264"/>
      <c r="X154" s="264"/>
      <c r="Y154" s="264"/>
      <c r="Z154" s="264"/>
      <c r="AA154" s="264"/>
      <c r="AB154" s="264"/>
      <c r="AC154" s="264"/>
    </row>
    <row r="155" spans="1:29" x14ac:dyDescent="0.25">
      <c r="A155" s="264"/>
      <c r="B155" s="2316" t="s">
        <v>2282</v>
      </c>
      <c r="C155" s="2317"/>
      <c r="D155" s="1771" t="str">
        <f ca="1">IF(ISBLANK('Ввод исходных данных'!$E285),"-",'Ввод исходных данных'!$E285)</f>
        <v/>
      </c>
      <c r="E155" s="1768">
        <f>IF(ISBLANK('Ввод исходных данных'!$D229),"-",'Ввод исходных данных'!$D229)</f>
        <v>0</v>
      </c>
      <c r="F155" s="1769">
        <f>IF(ISBLANK('Ввод исходных данных'!$E229),"-",'Ввод исходных данных'!$E229)</f>
        <v>0</v>
      </c>
      <c r="G155" s="1770">
        <f>IF(ISBLANK('Ввод исходных данных'!$F229),"-",'Ввод исходных данных'!$F229)</f>
        <v>0</v>
      </c>
      <c r="H155" s="1768">
        <f>IF(ISBLANK('Ввод исходных данных'!$D248),"-",'Ввод исходных данных'!$D248)</f>
        <v>0</v>
      </c>
      <c r="I155" s="1769">
        <f>IF(ISBLANK('Ввод исходных данных'!$E248),"-",'Ввод исходных данных'!$E248)</f>
        <v>0</v>
      </c>
      <c r="J155" s="1770">
        <f>IF(ISBLANK('Ввод исходных данных'!$F248),"-",'Ввод исходных данных'!$F248)</f>
        <v>0</v>
      </c>
      <c r="K155" s="1768">
        <f>IF(ISBLANK('Ввод исходных данных'!$F265),"-",'Ввод исходных данных'!$F265)</f>
        <v>0</v>
      </c>
      <c r="L155" s="1769">
        <f>IF(ISBLANK('Ввод исходных данных'!$G265),"-",'Ввод исходных данных'!$G265)</f>
        <v>0</v>
      </c>
      <c r="M155" s="1769">
        <f>IF(ISBLANK('Ввод исходных данных'!$H265),"-",'Ввод исходных данных'!$H265)</f>
        <v>0</v>
      </c>
      <c r="N155" s="1769">
        <f>IF(ISBLANK('Ввод исходных данных'!$I265),"-",'Ввод исходных данных'!$I265)</f>
        <v>0</v>
      </c>
      <c r="O155" s="1770">
        <f>IF(ISBLANK('Ввод исходных данных'!$J265),"-",'Ввод исходных данных'!$J265)</f>
        <v>0</v>
      </c>
      <c r="P155" s="264"/>
      <c r="Q155" s="264"/>
      <c r="R155" s="264"/>
      <c r="S155" s="264"/>
      <c r="T155" s="264"/>
      <c r="U155" s="264"/>
      <c r="V155" s="264"/>
      <c r="W155" s="264"/>
      <c r="X155" s="264"/>
      <c r="Y155" s="264"/>
      <c r="Z155" s="264"/>
      <c r="AA155" s="264"/>
      <c r="AB155" s="264"/>
      <c r="AC155" s="264"/>
    </row>
    <row r="156" spans="1:29" s="1686" customFormat="1" ht="30" customHeight="1" x14ac:dyDescent="0.25">
      <c r="A156" s="264"/>
      <c r="B156" s="2314" t="s">
        <v>2283</v>
      </c>
      <c r="C156" s="2314"/>
      <c r="D156" s="2314"/>
      <c r="E156" s="2314"/>
      <c r="F156" s="2314"/>
      <c r="G156" s="2314"/>
      <c r="H156" s="2314"/>
      <c r="I156" s="2314"/>
      <c r="J156" s="2314"/>
      <c r="K156" s="2314"/>
      <c r="L156" s="2314"/>
      <c r="M156" s="2314"/>
      <c r="N156" s="2314"/>
      <c r="O156" s="2314"/>
      <c r="P156" s="264"/>
      <c r="Q156" s="264"/>
      <c r="R156" s="264"/>
      <c r="S156" s="264"/>
      <c r="T156" s="264"/>
      <c r="U156" s="264"/>
      <c r="V156" s="264"/>
      <c r="W156" s="264"/>
      <c r="X156" s="264"/>
      <c r="Y156" s="264"/>
      <c r="Z156" s="264"/>
      <c r="AA156" s="264"/>
      <c r="AB156" s="264"/>
      <c r="AC156" s="264"/>
    </row>
    <row r="157" spans="1:29" x14ac:dyDescent="0.25">
      <c r="A157" s="264"/>
      <c r="B157" s="2318" t="s">
        <v>2152</v>
      </c>
      <c r="C157" s="2319" t="s">
        <v>2284</v>
      </c>
      <c r="D157" s="2320"/>
      <c r="E157" s="2321"/>
      <c r="F157" s="2325" t="s">
        <v>2285</v>
      </c>
      <c r="G157" s="2326"/>
      <c r="H157" s="2326"/>
      <c r="I157" s="2327"/>
      <c r="J157" s="2325" t="s">
        <v>2286</v>
      </c>
      <c r="K157" s="2326"/>
      <c r="L157" s="2327"/>
      <c r="M157" s="2318" t="s">
        <v>2287</v>
      </c>
      <c r="N157" s="2318"/>
      <c r="O157" s="2318"/>
      <c r="P157" s="264"/>
      <c r="Q157" s="264"/>
      <c r="R157" s="264"/>
      <c r="S157" s="264"/>
      <c r="T157" s="264"/>
      <c r="U157" s="264"/>
      <c r="V157" s="264"/>
      <c r="W157" s="264"/>
      <c r="X157" s="264"/>
      <c r="Y157" s="264"/>
      <c r="Z157" s="264"/>
      <c r="AA157" s="264"/>
      <c r="AB157" s="264"/>
      <c r="AC157" s="264"/>
    </row>
    <row r="158" spans="1:29" x14ac:dyDescent="0.25">
      <c r="A158" s="264"/>
      <c r="B158" s="2318"/>
      <c r="C158" s="2322"/>
      <c r="D158" s="2323"/>
      <c r="E158" s="2324"/>
      <c r="F158" s="2328"/>
      <c r="G158" s="2329"/>
      <c r="H158" s="2329"/>
      <c r="I158" s="2330"/>
      <c r="J158" s="2328"/>
      <c r="K158" s="2329"/>
      <c r="L158" s="2330"/>
      <c r="M158" s="2331" t="s">
        <v>1773</v>
      </c>
      <c r="N158" s="2302"/>
      <c r="O158" s="2302"/>
      <c r="P158" s="264"/>
      <c r="Q158" s="264"/>
      <c r="R158" s="264"/>
      <c r="S158" s="264"/>
      <c r="T158" s="264"/>
      <c r="U158" s="264"/>
      <c r="V158" s="264"/>
      <c r="W158" s="264"/>
      <c r="X158" s="264"/>
      <c r="Y158" s="264"/>
      <c r="Z158" s="264"/>
      <c r="AA158" s="264"/>
      <c r="AB158" s="264"/>
      <c r="AC158" s="264"/>
    </row>
    <row r="159" spans="1:29" ht="41.25" customHeight="1" x14ac:dyDescent="0.25">
      <c r="A159" s="264"/>
      <c r="B159" s="1669">
        <v>1</v>
      </c>
      <c r="C159" s="2305" t="str">
        <f>IFERROR(VLOOKUP($B159,'Список мероприятий'!$AX$8:$BB$30,2,FALSE),"")</f>
        <v>Установка узлов управления и регулирования потребления ТЭ</v>
      </c>
      <c r="D159" s="2306"/>
      <c r="E159" s="2307"/>
      <c r="F159" s="2308" t="str">
        <f>IFERROR(VLOOKUP($B159,'Список мероприятий'!$AX$8:$BB$30,3,FALSE),"")</f>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
      <c r="G159" s="2309"/>
      <c r="H159" s="2309"/>
      <c r="I159" s="2310"/>
      <c r="J159" s="2308" t="str">
        <f>IFERROR(VLOOKUP($B159,'Список мероприятий'!$AX$8:$BB$30,4,FALSE),"")</f>
        <v>-</v>
      </c>
      <c r="K159" s="2309"/>
      <c r="L159" s="2310"/>
      <c r="M159" s="2311">
        <f>IFERROR(VLOOKUP($B159,'Список мероприятий'!$AX$8:$BB$30,5,FALSE),"")</f>
        <v>0</v>
      </c>
      <c r="N159" s="2312"/>
      <c r="O159" s="2313"/>
      <c r="P159" s="264"/>
      <c r="Q159" s="264"/>
      <c r="R159" s="264"/>
      <c r="S159" s="264"/>
      <c r="T159" s="264"/>
      <c r="U159" s="264"/>
      <c r="V159" s="264"/>
      <c r="W159" s="264"/>
      <c r="X159" s="264"/>
      <c r="Y159" s="264"/>
      <c r="Z159" s="264"/>
      <c r="AA159" s="264"/>
      <c r="AB159" s="264"/>
      <c r="AC159" s="264"/>
    </row>
    <row r="160" spans="1:29" ht="30" customHeight="1" x14ac:dyDescent="0.25">
      <c r="A160" s="264"/>
      <c r="B160" s="1669">
        <v>2</v>
      </c>
      <c r="C160" s="2305" t="str">
        <f>IFERROR(VLOOKUP($B160,'Список мероприятий'!$AX$8:$BB$30,2,FALSE),"")</f>
        <v/>
      </c>
      <c r="D160" s="2306"/>
      <c r="E160" s="2307"/>
      <c r="F160" s="2308" t="str">
        <f>IFERROR(VLOOKUP($B160,'Список мероприятий'!$AX$8:$BB$30,3,FALSE),"")</f>
        <v/>
      </c>
      <c r="G160" s="2309"/>
      <c r="H160" s="2309"/>
      <c r="I160" s="2310"/>
      <c r="J160" s="2308" t="str">
        <f>IFERROR(VLOOKUP($B160,'Список мероприятий'!$AX$8:$BB$30,4,FALSE),"")</f>
        <v/>
      </c>
      <c r="K160" s="2309"/>
      <c r="L160" s="2310"/>
      <c r="M160" s="2311" t="str">
        <f>IFERROR(VLOOKUP($B160,'Список мероприятий'!$AX$8:$BB$30,5,FALSE),"")</f>
        <v/>
      </c>
      <c r="N160" s="2312"/>
      <c r="O160" s="2313"/>
      <c r="P160" s="264"/>
      <c r="Q160" s="264"/>
      <c r="R160" s="264"/>
      <c r="S160" s="264"/>
      <c r="T160" s="264"/>
      <c r="U160" s="264"/>
      <c r="V160" s="264"/>
      <c r="W160" s="264"/>
      <c r="X160" s="264"/>
      <c r="Y160" s="264"/>
      <c r="Z160" s="264"/>
      <c r="AA160" s="264"/>
      <c r="AB160" s="264"/>
      <c r="AC160" s="264"/>
    </row>
    <row r="161" spans="1:29" ht="30" customHeight="1" x14ac:dyDescent="0.25">
      <c r="A161" s="264"/>
      <c r="B161" s="1669">
        <v>3</v>
      </c>
      <c r="C161" s="2305" t="str">
        <f>IFERROR(VLOOKUP($B161,'Список мероприятий'!$AX$8:$BB$30,2,FALSE),"")</f>
        <v/>
      </c>
      <c r="D161" s="2306"/>
      <c r="E161" s="2307"/>
      <c r="F161" s="2308" t="str">
        <f>IFERROR(VLOOKUP($B161,'Список мероприятий'!$AX$8:$BB$30,3,FALSE),"")</f>
        <v/>
      </c>
      <c r="G161" s="2309"/>
      <c r="H161" s="2309"/>
      <c r="I161" s="2310"/>
      <c r="J161" s="2308" t="str">
        <f>IFERROR(VLOOKUP($B161,'Список мероприятий'!$AX$8:$BB$30,4,FALSE),"")</f>
        <v/>
      </c>
      <c r="K161" s="2309"/>
      <c r="L161" s="2310"/>
      <c r="M161" s="2311" t="str">
        <f>IFERROR(VLOOKUP($B161,'Список мероприятий'!$AX$8:$BB$30,5,FALSE),"")</f>
        <v/>
      </c>
      <c r="N161" s="2312"/>
      <c r="O161" s="2313"/>
      <c r="P161" s="264"/>
      <c r="Q161" s="264"/>
      <c r="R161" s="264"/>
      <c r="S161" s="264"/>
      <c r="T161" s="264"/>
      <c r="U161" s="264"/>
      <c r="V161" s="264"/>
      <c r="W161" s="264"/>
      <c r="X161" s="264"/>
      <c r="Y161" s="264"/>
      <c r="Z161" s="264"/>
      <c r="AA161" s="264"/>
      <c r="AB161" s="264"/>
      <c r="AC161" s="264"/>
    </row>
    <row r="162" spans="1:29" ht="30" customHeight="1" x14ac:dyDescent="0.25">
      <c r="A162" s="264"/>
      <c r="B162" s="1669">
        <v>4</v>
      </c>
      <c r="C162" s="2305" t="str">
        <f>IFERROR(VLOOKUP($B162,'Список мероприятий'!$AX$8:$BB$30,2,FALSE),"")</f>
        <v/>
      </c>
      <c r="D162" s="2306"/>
      <c r="E162" s="2307"/>
      <c r="F162" s="2308" t="str">
        <f>IFERROR(VLOOKUP($B162,'Список мероприятий'!$AX$8:$BB$30,3,FALSE),"")</f>
        <v/>
      </c>
      <c r="G162" s="2309"/>
      <c r="H162" s="2309"/>
      <c r="I162" s="2310"/>
      <c r="J162" s="2308" t="str">
        <f>IFERROR(VLOOKUP($B162,'Список мероприятий'!$AX$8:$BB$30,4,FALSE),"")</f>
        <v/>
      </c>
      <c r="K162" s="2309"/>
      <c r="L162" s="2310"/>
      <c r="M162" s="2311" t="str">
        <f>IFERROR(VLOOKUP($B162,'Список мероприятий'!$AX$8:$BB$30,5,FALSE),"")</f>
        <v/>
      </c>
      <c r="N162" s="2312"/>
      <c r="O162" s="2313"/>
      <c r="P162" s="264"/>
      <c r="Q162" s="264"/>
      <c r="R162" s="264"/>
      <c r="S162" s="264"/>
      <c r="T162" s="264"/>
      <c r="U162" s="264"/>
      <c r="V162" s="264"/>
      <c r="W162" s="264"/>
      <c r="X162" s="264"/>
      <c r="Y162" s="264"/>
      <c r="Z162" s="264"/>
      <c r="AA162" s="264"/>
      <c r="AB162" s="264"/>
      <c r="AC162" s="264"/>
    </row>
    <row r="163" spans="1:29" ht="30" customHeight="1" x14ac:dyDescent="0.25">
      <c r="A163" s="264"/>
      <c r="B163" s="1669">
        <v>5</v>
      </c>
      <c r="C163" s="2305" t="str">
        <f>IFERROR(VLOOKUP($B163,'Список мероприятий'!$AX$8:$BB$30,2,FALSE),"")</f>
        <v/>
      </c>
      <c r="D163" s="2306"/>
      <c r="E163" s="2307"/>
      <c r="F163" s="2308" t="str">
        <f>IFERROR(VLOOKUP($B163,'Список мероприятий'!$AX$8:$BB$30,3,FALSE),"")</f>
        <v/>
      </c>
      <c r="G163" s="2309"/>
      <c r="H163" s="2309"/>
      <c r="I163" s="2310"/>
      <c r="J163" s="2308" t="str">
        <f>IFERROR(VLOOKUP($B163,'Список мероприятий'!$AX$8:$BB$30,4,FALSE),"")</f>
        <v/>
      </c>
      <c r="K163" s="2309"/>
      <c r="L163" s="2310"/>
      <c r="M163" s="2311" t="str">
        <f>IFERROR(VLOOKUP($B163,'Список мероприятий'!$AX$8:$BB$30,5,FALSE),"")</f>
        <v/>
      </c>
      <c r="N163" s="2312"/>
      <c r="O163" s="2313"/>
      <c r="P163" s="264"/>
      <c r="Q163" s="264"/>
      <c r="R163" s="264"/>
      <c r="S163" s="264"/>
      <c r="T163" s="264"/>
      <c r="U163" s="264"/>
      <c r="V163" s="264"/>
      <c r="W163" s="264"/>
      <c r="X163" s="264"/>
      <c r="Y163" s="264"/>
      <c r="Z163" s="264"/>
      <c r="AA163" s="264"/>
      <c r="AB163" s="264"/>
      <c r="AC163" s="264"/>
    </row>
    <row r="164" spans="1:29" ht="30" customHeight="1" x14ac:dyDescent="0.25">
      <c r="A164" s="264"/>
      <c r="B164" s="1669">
        <v>6</v>
      </c>
      <c r="C164" s="2305" t="str">
        <f>IFERROR(VLOOKUP($B164,'Список мероприятий'!$AX$8:$BB$30,2,FALSE),"")</f>
        <v/>
      </c>
      <c r="D164" s="2306"/>
      <c r="E164" s="2307"/>
      <c r="F164" s="2308" t="str">
        <f>IFERROR(VLOOKUP($B164,'Список мероприятий'!$AX$8:$BB$30,3,FALSE),"")</f>
        <v/>
      </c>
      <c r="G164" s="2309"/>
      <c r="H164" s="2309"/>
      <c r="I164" s="2310"/>
      <c r="J164" s="2308" t="str">
        <f>IFERROR(VLOOKUP($B164,'Список мероприятий'!$AX$8:$BB$30,4,FALSE),"")</f>
        <v/>
      </c>
      <c r="K164" s="2309"/>
      <c r="L164" s="2310"/>
      <c r="M164" s="2311" t="str">
        <f>IFERROR(VLOOKUP($B164,'Список мероприятий'!$AX$8:$BB$30,5,FALSE),"")</f>
        <v/>
      </c>
      <c r="N164" s="2312"/>
      <c r="O164" s="2313"/>
      <c r="P164" s="264"/>
      <c r="Q164" s="264"/>
      <c r="R164" s="264"/>
      <c r="S164" s="264"/>
      <c r="T164" s="264"/>
      <c r="U164" s="264"/>
      <c r="V164" s="264"/>
      <c r="W164" s="264"/>
      <c r="X164" s="264"/>
      <c r="Y164" s="264"/>
      <c r="Z164" s="264"/>
      <c r="AA164" s="264"/>
      <c r="AB164" s="264"/>
      <c r="AC164" s="264"/>
    </row>
    <row r="165" spans="1:29" ht="30" customHeight="1" x14ac:dyDescent="0.25">
      <c r="A165" s="264"/>
      <c r="B165" s="1669">
        <v>7</v>
      </c>
      <c r="C165" s="2305" t="str">
        <f>IFERROR(VLOOKUP($B165,'Список мероприятий'!$AX$8:$BB$30,2,FALSE),"")</f>
        <v/>
      </c>
      <c r="D165" s="2306"/>
      <c r="E165" s="2307"/>
      <c r="F165" s="2308" t="str">
        <f>IFERROR(VLOOKUP($B165,'Список мероприятий'!$AX$8:$BB$30,3,FALSE),"")</f>
        <v/>
      </c>
      <c r="G165" s="2309"/>
      <c r="H165" s="2309"/>
      <c r="I165" s="2310"/>
      <c r="J165" s="2308" t="str">
        <f>IFERROR(VLOOKUP($B165,'Список мероприятий'!$AX$8:$BB$30,4,FALSE),"")</f>
        <v/>
      </c>
      <c r="K165" s="2309"/>
      <c r="L165" s="2310"/>
      <c r="M165" s="2311" t="str">
        <f>IFERROR(VLOOKUP($B165,'Список мероприятий'!$AX$8:$BB$30,5,FALSE),"")</f>
        <v/>
      </c>
      <c r="N165" s="2312"/>
      <c r="O165" s="2313"/>
      <c r="P165" s="264"/>
      <c r="Q165" s="264"/>
      <c r="R165" s="264"/>
      <c r="S165" s="264"/>
      <c r="T165" s="264"/>
      <c r="U165" s="264"/>
      <c r="V165" s="264"/>
      <c r="W165" s="264"/>
      <c r="X165" s="264"/>
      <c r="Y165" s="264"/>
      <c r="Z165" s="264"/>
      <c r="AA165" s="264"/>
      <c r="AB165" s="264"/>
      <c r="AC165" s="264"/>
    </row>
    <row r="166" spans="1:29" ht="30" customHeight="1" x14ac:dyDescent="0.25">
      <c r="A166" s="264"/>
      <c r="B166" s="1669">
        <v>8</v>
      </c>
      <c r="C166" s="2305" t="str">
        <f>IFERROR(VLOOKUP($B166,'Список мероприятий'!$AX$8:$BB$30,2,FALSE),"")</f>
        <v/>
      </c>
      <c r="D166" s="2306"/>
      <c r="E166" s="2307"/>
      <c r="F166" s="2308" t="str">
        <f>IFERROR(VLOOKUP($B166,'Список мероприятий'!$AX$8:$BB$30,3,FALSE),"")</f>
        <v/>
      </c>
      <c r="G166" s="2309"/>
      <c r="H166" s="2309"/>
      <c r="I166" s="2310"/>
      <c r="J166" s="2308" t="str">
        <f>IFERROR(VLOOKUP($B166,'Список мероприятий'!$AX$8:$BB$30,4,FALSE),"")</f>
        <v/>
      </c>
      <c r="K166" s="2309"/>
      <c r="L166" s="2310"/>
      <c r="M166" s="2311" t="str">
        <f>IFERROR(VLOOKUP($B166,'Список мероприятий'!$AX$8:$BB$30,5,FALSE),"")</f>
        <v/>
      </c>
      <c r="N166" s="2312"/>
      <c r="O166" s="2313"/>
      <c r="P166" s="264"/>
      <c r="Q166" s="264"/>
      <c r="R166" s="264"/>
      <c r="S166" s="264"/>
      <c r="T166" s="264"/>
      <c r="U166" s="264"/>
      <c r="V166" s="264"/>
      <c r="W166" s="264"/>
      <c r="X166" s="264"/>
      <c r="Y166" s="264"/>
      <c r="Z166" s="264"/>
      <c r="AA166" s="264"/>
      <c r="AB166" s="264"/>
      <c r="AC166" s="264"/>
    </row>
    <row r="167" spans="1:29" ht="30" customHeight="1" x14ac:dyDescent="0.25">
      <c r="A167" s="264"/>
      <c r="B167" s="1669">
        <v>9</v>
      </c>
      <c r="C167" s="2305" t="str">
        <f>IFERROR(VLOOKUP($B167,'Список мероприятий'!$AX$8:$BB$30,2,FALSE),"")</f>
        <v/>
      </c>
      <c r="D167" s="2306"/>
      <c r="E167" s="2307"/>
      <c r="F167" s="2308" t="str">
        <f>IFERROR(VLOOKUP($B167,'Список мероприятий'!$AX$8:$BB$30,3,FALSE),"")</f>
        <v/>
      </c>
      <c r="G167" s="2309"/>
      <c r="H167" s="2309"/>
      <c r="I167" s="2310"/>
      <c r="J167" s="2308" t="str">
        <f>IFERROR(VLOOKUP($B167,'Список мероприятий'!$AX$8:$BB$30,4,FALSE),"")</f>
        <v/>
      </c>
      <c r="K167" s="2309"/>
      <c r="L167" s="2310"/>
      <c r="M167" s="2311" t="str">
        <f>IFERROR(VLOOKUP($B167,'Список мероприятий'!$AX$8:$BB$30,5,FALSE),"")</f>
        <v/>
      </c>
      <c r="N167" s="2312"/>
      <c r="O167" s="2313"/>
      <c r="P167" s="264"/>
      <c r="Q167" s="264"/>
      <c r="R167" s="264"/>
      <c r="S167" s="264"/>
      <c r="T167" s="264"/>
      <c r="U167" s="264"/>
      <c r="V167" s="264"/>
      <c r="W167" s="264"/>
      <c r="X167" s="264"/>
      <c r="Y167" s="264"/>
      <c r="Z167" s="264"/>
      <c r="AA167" s="264"/>
      <c r="AB167" s="264"/>
      <c r="AC167" s="264"/>
    </row>
    <row r="168" spans="1:29" ht="30" customHeight="1" x14ac:dyDescent="0.25">
      <c r="A168" s="264"/>
      <c r="B168" s="1669">
        <v>10</v>
      </c>
      <c r="C168" s="2305" t="str">
        <f>IFERROR(VLOOKUP($B168,'Список мероприятий'!$AX$8:$BB$30,2,FALSE),"")</f>
        <v/>
      </c>
      <c r="D168" s="2306"/>
      <c r="E168" s="2307"/>
      <c r="F168" s="2308" t="str">
        <f>IFERROR(VLOOKUP($B168,'Список мероприятий'!$AX$8:$BB$30,3,FALSE),"")</f>
        <v/>
      </c>
      <c r="G168" s="2309"/>
      <c r="H168" s="2309"/>
      <c r="I168" s="2310"/>
      <c r="J168" s="2308" t="str">
        <f>IFERROR(VLOOKUP($B168,'Список мероприятий'!$AX$8:$BB$30,4,FALSE),"")</f>
        <v/>
      </c>
      <c r="K168" s="2309"/>
      <c r="L168" s="2310"/>
      <c r="M168" s="2311" t="str">
        <f>IFERROR(VLOOKUP($B168,'Список мероприятий'!$AX$8:$BB$30,5,FALSE),"")</f>
        <v/>
      </c>
      <c r="N168" s="2312"/>
      <c r="O168" s="2313"/>
      <c r="P168" s="264"/>
      <c r="Q168" s="264"/>
      <c r="R168" s="264"/>
      <c r="S168" s="264"/>
      <c r="T168" s="264"/>
      <c r="U168" s="264"/>
      <c r="V168" s="264"/>
      <c r="W168" s="264"/>
      <c r="X168" s="264"/>
      <c r="Y168" s="264"/>
      <c r="Z168" s="264"/>
      <c r="AA168" s="264"/>
      <c r="AB168" s="264"/>
      <c r="AC168" s="264"/>
    </row>
    <row r="169" spans="1:29" ht="30" customHeight="1" x14ac:dyDescent="0.25">
      <c r="A169" s="264"/>
      <c r="B169" s="1669">
        <v>11</v>
      </c>
      <c r="C169" s="2305" t="str">
        <f>IFERROR(VLOOKUP($B169,'Список мероприятий'!$AX$8:$BB$30,2,FALSE),"")</f>
        <v/>
      </c>
      <c r="D169" s="2306"/>
      <c r="E169" s="2307"/>
      <c r="F169" s="2308" t="str">
        <f>IFERROR(VLOOKUP($B169,'Список мероприятий'!$AX$8:$BB$30,3,FALSE),"")</f>
        <v/>
      </c>
      <c r="G169" s="2309"/>
      <c r="H169" s="2309"/>
      <c r="I169" s="2310"/>
      <c r="J169" s="2308" t="str">
        <f>IFERROR(VLOOKUP($B169,'Список мероприятий'!$AX$8:$BB$30,4,FALSE),"")</f>
        <v/>
      </c>
      <c r="K169" s="2309"/>
      <c r="L169" s="2310"/>
      <c r="M169" s="2311" t="str">
        <f>IFERROR(VLOOKUP($B169,'Список мероприятий'!$AX$8:$BB$30,5,FALSE),"")</f>
        <v/>
      </c>
      <c r="N169" s="2312"/>
      <c r="O169" s="2313"/>
      <c r="P169" s="264"/>
      <c r="Q169" s="264"/>
      <c r="R169" s="264"/>
      <c r="S169" s="264"/>
      <c r="T169" s="264"/>
      <c r="U169" s="264"/>
      <c r="V169" s="264"/>
      <c r="W169" s="264"/>
      <c r="X169" s="264"/>
      <c r="Y169" s="264"/>
      <c r="Z169" s="264"/>
      <c r="AA169" s="264"/>
      <c r="AB169" s="264"/>
      <c r="AC169" s="264"/>
    </row>
    <row r="170" spans="1:29" ht="30" customHeight="1" x14ac:dyDescent="0.25">
      <c r="A170" s="264"/>
      <c r="B170" s="1669">
        <v>12</v>
      </c>
      <c r="C170" s="2305" t="str">
        <f>IFERROR(VLOOKUP($B170,'Список мероприятий'!$AX$8:$BB$30,2,FALSE),"")</f>
        <v/>
      </c>
      <c r="D170" s="2306"/>
      <c r="E170" s="2307"/>
      <c r="F170" s="2308" t="str">
        <f>IFERROR(VLOOKUP($B170,'Список мероприятий'!$AX$8:$BB$30,3,FALSE),"")</f>
        <v/>
      </c>
      <c r="G170" s="2309"/>
      <c r="H170" s="2309"/>
      <c r="I170" s="2310"/>
      <c r="J170" s="2308" t="str">
        <f>IFERROR(VLOOKUP($B170,'Список мероприятий'!$AX$8:$BB$30,4,FALSE),"")</f>
        <v/>
      </c>
      <c r="K170" s="2309"/>
      <c r="L170" s="2310"/>
      <c r="M170" s="2311" t="str">
        <f>IFERROR(VLOOKUP($B170,'Список мероприятий'!$AX$8:$BB$30,5,FALSE),"")</f>
        <v/>
      </c>
      <c r="N170" s="2312"/>
      <c r="O170" s="2313"/>
      <c r="P170" s="264"/>
      <c r="Q170" s="264"/>
      <c r="R170" s="264"/>
      <c r="S170" s="264"/>
      <c r="T170" s="264"/>
      <c r="U170" s="264"/>
      <c r="V170" s="264"/>
      <c r="W170" s="264"/>
      <c r="X170" s="264"/>
      <c r="Y170" s="264"/>
      <c r="Z170" s="264"/>
      <c r="AA170" s="264"/>
      <c r="AB170" s="264"/>
      <c r="AC170" s="264"/>
    </row>
    <row r="171" spans="1:29" ht="30" customHeight="1" x14ac:dyDescent="0.25">
      <c r="A171" s="264"/>
      <c r="B171" s="1669">
        <v>13</v>
      </c>
      <c r="C171" s="2305" t="str">
        <f>IFERROR(VLOOKUP($B171,'Список мероприятий'!$AX$8:$BB$30,2,FALSE),"")</f>
        <v/>
      </c>
      <c r="D171" s="2306"/>
      <c r="E171" s="2307"/>
      <c r="F171" s="2308" t="str">
        <f>IFERROR(VLOOKUP($B171,'Список мероприятий'!$AX$8:$BB$30,3,FALSE),"")</f>
        <v/>
      </c>
      <c r="G171" s="2309"/>
      <c r="H171" s="2309"/>
      <c r="I171" s="2310"/>
      <c r="J171" s="2308" t="str">
        <f>IFERROR(VLOOKUP($B171,'Список мероприятий'!$AX$8:$BB$30,4,FALSE),"")</f>
        <v/>
      </c>
      <c r="K171" s="2309"/>
      <c r="L171" s="2310"/>
      <c r="M171" s="2311" t="str">
        <f>IFERROR(VLOOKUP($B171,'Список мероприятий'!$AX$8:$BB$30,5,FALSE),"")</f>
        <v/>
      </c>
      <c r="N171" s="2312"/>
      <c r="O171" s="2313"/>
      <c r="P171" s="264"/>
      <c r="Q171" s="264"/>
      <c r="R171" s="264"/>
      <c r="S171" s="264"/>
      <c r="T171" s="264"/>
      <c r="U171" s="264"/>
      <c r="V171" s="264"/>
      <c r="W171" s="264"/>
      <c r="X171" s="264"/>
      <c r="Y171" s="264"/>
      <c r="Z171" s="264"/>
      <c r="AA171" s="264"/>
      <c r="AB171" s="264"/>
      <c r="AC171" s="264"/>
    </row>
    <row r="172" spans="1:29" ht="30" customHeight="1" x14ac:dyDescent="0.25">
      <c r="A172" s="264"/>
      <c r="B172" s="1669">
        <v>14</v>
      </c>
      <c r="C172" s="2305" t="str">
        <f>IFERROR(VLOOKUP($B172,'Список мероприятий'!$AX$8:$BB$30,2,FALSE),"")</f>
        <v/>
      </c>
      <c r="D172" s="2306"/>
      <c r="E172" s="2307"/>
      <c r="F172" s="2308" t="str">
        <f>IFERROR(VLOOKUP($B172,'Список мероприятий'!$AX$8:$BB$30,3,FALSE),"")</f>
        <v/>
      </c>
      <c r="G172" s="2309"/>
      <c r="H172" s="2309"/>
      <c r="I172" s="2310"/>
      <c r="J172" s="2308" t="str">
        <f>IFERROR(VLOOKUP($B172,'Список мероприятий'!$AX$8:$BB$30,4,FALSE),"")</f>
        <v/>
      </c>
      <c r="K172" s="2309"/>
      <c r="L172" s="2310"/>
      <c r="M172" s="2311" t="str">
        <f>IFERROR(VLOOKUP($B172,'Список мероприятий'!$AX$8:$BB$30,5,FALSE),"")</f>
        <v/>
      </c>
      <c r="N172" s="2312"/>
      <c r="O172" s="2313"/>
      <c r="P172" s="264"/>
      <c r="Q172" s="264"/>
      <c r="R172" s="264"/>
      <c r="S172" s="264"/>
      <c r="T172" s="264"/>
      <c r="U172" s="264"/>
      <c r="V172" s="264"/>
      <c r="W172" s="264"/>
      <c r="X172" s="264"/>
      <c r="Y172" s="264"/>
      <c r="Z172" s="264"/>
      <c r="AA172" s="264"/>
      <c r="AB172" s="264"/>
      <c r="AC172" s="264"/>
    </row>
    <row r="173" spans="1:29" ht="30" customHeight="1" x14ac:dyDescent="0.25">
      <c r="A173" s="264"/>
      <c r="B173" s="1669">
        <v>15</v>
      </c>
      <c r="C173" s="2305" t="str">
        <f>IFERROR(VLOOKUP($B173,'Список мероприятий'!$AX$8:$BB$30,2,FALSE),"")</f>
        <v/>
      </c>
      <c r="D173" s="2306"/>
      <c r="E173" s="2307"/>
      <c r="F173" s="2308" t="str">
        <f>IFERROR(VLOOKUP($B173,'Список мероприятий'!$AX$8:$BB$30,3,FALSE),"")</f>
        <v/>
      </c>
      <c r="G173" s="2309"/>
      <c r="H173" s="2309"/>
      <c r="I173" s="2310"/>
      <c r="J173" s="2308" t="str">
        <f>IFERROR(VLOOKUP($B173,'Список мероприятий'!$AX$8:$BB$30,4,FALSE),"")</f>
        <v/>
      </c>
      <c r="K173" s="2309"/>
      <c r="L173" s="2310"/>
      <c r="M173" s="2311" t="str">
        <f>IFERROR(VLOOKUP($B173,'Список мероприятий'!$AX$8:$BB$30,5,FALSE),"")</f>
        <v/>
      </c>
      <c r="N173" s="2312"/>
      <c r="O173" s="2313"/>
      <c r="P173" s="264"/>
      <c r="Q173" s="264"/>
      <c r="R173" s="264"/>
      <c r="S173" s="264"/>
      <c r="T173" s="264"/>
      <c r="U173" s="264"/>
      <c r="V173" s="264"/>
      <c r="W173" s="264"/>
      <c r="X173" s="264"/>
      <c r="Y173" s="264"/>
      <c r="Z173" s="264"/>
      <c r="AA173" s="264"/>
      <c r="AB173" s="264"/>
      <c r="AC173" s="264"/>
    </row>
    <row r="174" spans="1:29" ht="30" customHeight="1" x14ac:dyDescent="0.25">
      <c r="A174" s="264"/>
      <c r="B174" s="1669">
        <v>16</v>
      </c>
      <c r="C174" s="2305" t="str">
        <f>IFERROR(VLOOKUP($B174,'Список мероприятий'!$AX$8:$BB$30,2,FALSE),"")</f>
        <v/>
      </c>
      <c r="D174" s="2306"/>
      <c r="E174" s="2307"/>
      <c r="F174" s="2308" t="str">
        <f>IFERROR(VLOOKUP($B174,'Список мероприятий'!$AX$8:$BB$30,3,FALSE),"")</f>
        <v/>
      </c>
      <c r="G174" s="2309"/>
      <c r="H174" s="2309"/>
      <c r="I174" s="2310"/>
      <c r="J174" s="2308" t="str">
        <f>IFERROR(VLOOKUP($B174,'Список мероприятий'!$AX$8:$BB$30,4,FALSE),"")</f>
        <v/>
      </c>
      <c r="K174" s="2309"/>
      <c r="L174" s="2310"/>
      <c r="M174" s="2311" t="str">
        <f>IFERROR(VLOOKUP($B174,'Список мероприятий'!$AX$8:$BB$30,5,FALSE),"")</f>
        <v/>
      </c>
      <c r="N174" s="2312"/>
      <c r="O174" s="2313"/>
      <c r="P174" s="264"/>
      <c r="Q174" s="264"/>
      <c r="R174" s="264"/>
      <c r="S174" s="264"/>
      <c r="T174" s="264"/>
      <c r="U174" s="264"/>
      <c r="V174" s="264"/>
      <c r="W174" s="264"/>
      <c r="X174" s="264"/>
      <c r="Y174" s="264"/>
      <c r="Z174" s="264"/>
      <c r="AA174" s="264"/>
      <c r="AB174" s="264"/>
      <c r="AC174" s="264"/>
    </row>
    <row r="175" spans="1:29" ht="30" customHeight="1" x14ac:dyDescent="0.25">
      <c r="A175" s="264"/>
      <c r="B175" s="1669">
        <v>17</v>
      </c>
      <c r="C175" s="2305" t="str">
        <f>IFERROR(VLOOKUP($B175,'Список мероприятий'!$AX$8:$BB$30,2,FALSE),"")</f>
        <v/>
      </c>
      <c r="D175" s="2306"/>
      <c r="E175" s="2307"/>
      <c r="F175" s="2308" t="str">
        <f>IFERROR(VLOOKUP($B175,'Список мероприятий'!$AX$8:$BB$30,3,FALSE),"")</f>
        <v/>
      </c>
      <c r="G175" s="2309"/>
      <c r="H175" s="2309"/>
      <c r="I175" s="2310"/>
      <c r="J175" s="2308" t="str">
        <f>IFERROR(VLOOKUP($B175,'Список мероприятий'!$AX$8:$BB$30,4,FALSE),"")</f>
        <v/>
      </c>
      <c r="K175" s="2309"/>
      <c r="L175" s="2310"/>
      <c r="M175" s="2311" t="str">
        <f>IFERROR(VLOOKUP($B175,'Список мероприятий'!$AX$8:$BB$30,5,FALSE),"")</f>
        <v/>
      </c>
      <c r="N175" s="2312"/>
      <c r="O175" s="2313"/>
      <c r="P175" s="264"/>
      <c r="Q175" s="264"/>
      <c r="R175" s="264"/>
      <c r="S175" s="264"/>
      <c r="T175" s="264"/>
      <c r="U175" s="264"/>
      <c r="V175" s="264"/>
      <c r="W175" s="264"/>
      <c r="X175" s="264"/>
      <c r="Y175" s="264"/>
      <c r="Z175" s="264"/>
      <c r="AA175" s="264"/>
      <c r="AB175" s="264"/>
      <c r="AC175" s="264"/>
    </row>
    <row r="176" spans="1:29" ht="30" customHeight="1" x14ac:dyDescent="0.25">
      <c r="A176" s="264"/>
      <c r="B176" s="1669">
        <v>18</v>
      </c>
      <c r="C176" s="2305" t="str">
        <f>IFERROR(VLOOKUP($B176,'Список мероприятий'!$AX$8:$BB$30,2,FALSE),"")</f>
        <v/>
      </c>
      <c r="D176" s="2306"/>
      <c r="E176" s="2307"/>
      <c r="F176" s="2308" t="str">
        <f>IFERROR(VLOOKUP($B176,'Список мероприятий'!$AX$8:$BB$30,3,FALSE),"")</f>
        <v/>
      </c>
      <c r="G176" s="2309"/>
      <c r="H176" s="2309"/>
      <c r="I176" s="2310"/>
      <c r="J176" s="2308" t="str">
        <f>IFERROR(VLOOKUP($B176,'Список мероприятий'!$AX$8:$BB$30,4,FALSE),"")</f>
        <v/>
      </c>
      <c r="K176" s="2309"/>
      <c r="L176" s="2310"/>
      <c r="M176" s="2311" t="str">
        <f>IFERROR(VLOOKUP($B176,'Список мероприятий'!$AX$8:$BB$30,5,FALSE),"")</f>
        <v/>
      </c>
      <c r="N176" s="2312"/>
      <c r="O176" s="2313"/>
      <c r="P176" s="264"/>
      <c r="Q176" s="264"/>
      <c r="R176" s="264"/>
      <c r="S176" s="264"/>
      <c r="T176" s="264"/>
      <c r="U176" s="264"/>
      <c r="V176" s="264"/>
      <c r="W176" s="264"/>
      <c r="X176" s="264"/>
      <c r="Y176" s="264"/>
      <c r="Z176" s="264"/>
      <c r="AA176" s="264"/>
      <c r="AB176" s="264"/>
      <c r="AC176" s="264"/>
    </row>
    <row r="177" spans="1:29" ht="30" customHeight="1" x14ac:dyDescent="0.25">
      <c r="A177" s="264"/>
      <c r="B177" s="1669">
        <v>19</v>
      </c>
      <c r="C177" s="2305" t="str">
        <f>IFERROR(VLOOKUP($B177,'Список мероприятий'!$AX$8:$BB$30,2,FALSE),"")</f>
        <v/>
      </c>
      <c r="D177" s="2306"/>
      <c r="E177" s="2307"/>
      <c r="F177" s="2308" t="str">
        <f>IFERROR(VLOOKUP($B177,'Список мероприятий'!$AX$8:$BB$30,3,FALSE),"")</f>
        <v/>
      </c>
      <c r="G177" s="2309"/>
      <c r="H177" s="2309"/>
      <c r="I177" s="2310"/>
      <c r="J177" s="2308" t="str">
        <f>IFERROR(VLOOKUP($B177,'Список мероприятий'!$AX$8:$BB$30,4,FALSE),"")</f>
        <v/>
      </c>
      <c r="K177" s="2309"/>
      <c r="L177" s="2310"/>
      <c r="M177" s="2311" t="str">
        <f>IFERROR(VLOOKUP($B177,'Список мероприятий'!$AX$8:$BB$30,5,FALSE),"")</f>
        <v/>
      </c>
      <c r="N177" s="2312"/>
      <c r="O177" s="2313"/>
      <c r="P177" s="264"/>
      <c r="Q177" s="264"/>
      <c r="R177" s="264"/>
      <c r="S177" s="264"/>
      <c r="T177" s="264"/>
      <c r="U177" s="264"/>
      <c r="V177" s="264"/>
      <c r="W177" s="264"/>
      <c r="X177" s="264"/>
      <c r="Y177" s="264"/>
      <c r="Z177" s="264"/>
      <c r="AA177" s="264"/>
      <c r="AB177" s="264"/>
      <c r="AC177" s="264"/>
    </row>
    <row r="178" spans="1:29" ht="30" customHeight="1" x14ac:dyDescent="0.25">
      <c r="A178" s="264"/>
      <c r="B178" s="1669">
        <v>20</v>
      </c>
      <c r="C178" s="2305" t="str">
        <f>IFERROR(VLOOKUP($B178,'Список мероприятий'!$AX$8:$BB$30,2,FALSE),"")</f>
        <v/>
      </c>
      <c r="D178" s="2306"/>
      <c r="E178" s="2307"/>
      <c r="F178" s="2308" t="str">
        <f>IFERROR(VLOOKUP($B178,'Список мероприятий'!$AX$8:$BB$30,3,FALSE),"")</f>
        <v/>
      </c>
      <c r="G178" s="2309"/>
      <c r="H178" s="2309"/>
      <c r="I178" s="2310"/>
      <c r="J178" s="2308" t="str">
        <f>IFERROR(VLOOKUP($B178,'Список мероприятий'!$AX$8:$BB$30,4,FALSE),"")</f>
        <v/>
      </c>
      <c r="K178" s="2309"/>
      <c r="L178" s="2310"/>
      <c r="M178" s="2311" t="str">
        <f>IFERROR(VLOOKUP($B178,'Список мероприятий'!$AX$8:$BB$30,5,FALSE),"")</f>
        <v/>
      </c>
      <c r="N178" s="2312"/>
      <c r="O178" s="2313"/>
      <c r="P178" s="264"/>
      <c r="Q178" s="264"/>
      <c r="R178" s="264"/>
      <c r="S178" s="264"/>
      <c r="T178" s="264"/>
      <c r="U178" s="264"/>
      <c r="V178" s="264"/>
      <c r="W178" s="264"/>
      <c r="X178" s="264"/>
      <c r="Y178" s="264"/>
      <c r="Z178" s="264"/>
      <c r="AA178" s="264"/>
      <c r="AB178" s="264"/>
      <c r="AC178" s="264"/>
    </row>
    <row r="179" spans="1:29" ht="30" customHeight="1" x14ac:dyDescent="0.25">
      <c r="A179" s="264"/>
      <c r="B179" s="1669">
        <v>21</v>
      </c>
      <c r="C179" s="2305" t="str">
        <f>IFERROR(VLOOKUP($B179,'Список мероприятий'!$AX$8:$BB$30,2,FALSE),"")</f>
        <v/>
      </c>
      <c r="D179" s="2306"/>
      <c r="E179" s="2307"/>
      <c r="F179" s="2308" t="str">
        <f>IFERROR(VLOOKUP($B179,'Список мероприятий'!$AX$8:$BB$30,3,FALSE),"")</f>
        <v/>
      </c>
      <c r="G179" s="2309"/>
      <c r="H179" s="2309"/>
      <c r="I179" s="2310"/>
      <c r="J179" s="2308" t="str">
        <f>IFERROR(VLOOKUP($B179,'Список мероприятий'!$AX$8:$BB$30,4,FALSE),"")</f>
        <v/>
      </c>
      <c r="K179" s="2309"/>
      <c r="L179" s="2310"/>
      <c r="M179" s="2311" t="str">
        <f>IFERROR(VLOOKUP($B179,'Список мероприятий'!$AX$8:$BB$30,5,FALSE),"")</f>
        <v/>
      </c>
      <c r="N179" s="2312"/>
      <c r="O179" s="2313"/>
      <c r="P179" s="264"/>
      <c r="Q179" s="264"/>
      <c r="R179" s="264"/>
      <c r="S179" s="264"/>
      <c r="T179" s="264"/>
      <c r="U179" s="264"/>
      <c r="V179" s="264"/>
      <c r="W179" s="264"/>
      <c r="X179" s="264"/>
      <c r="Y179" s="264"/>
      <c r="Z179" s="264"/>
      <c r="AA179" s="264"/>
      <c r="AB179" s="264"/>
      <c r="AC179" s="264"/>
    </row>
    <row r="180" spans="1:29" ht="30" customHeight="1" x14ac:dyDescent="0.25">
      <c r="A180" s="264"/>
      <c r="B180" s="1669">
        <v>22</v>
      </c>
      <c r="C180" s="2305" t="str">
        <f>IFERROR(VLOOKUP($B180,'Список мероприятий'!$AX$8:$BB$30,2,FALSE),"")</f>
        <v/>
      </c>
      <c r="D180" s="2306"/>
      <c r="E180" s="2307"/>
      <c r="F180" s="2308" t="str">
        <f>IFERROR(VLOOKUP($B180,'Список мероприятий'!$AX$8:$BB$30,3,FALSE),"")</f>
        <v/>
      </c>
      <c r="G180" s="2309"/>
      <c r="H180" s="2309"/>
      <c r="I180" s="2310"/>
      <c r="J180" s="2308" t="str">
        <f>IFERROR(VLOOKUP($B180,'Список мероприятий'!$AX$8:$BB$30,4,FALSE),"")</f>
        <v/>
      </c>
      <c r="K180" s="2309"/>
      <c r="L180" s="2310"/>
      <c r="M180" s="2311" t="str">
        <f>IFERROR(VLOOKUP($B180,'Список мероприятий'!$AX$8:$BB$30,5,FALSE),"")</f>
        <v/>
      </c>
      <c r="N180" s="2312"/>
      <c r="O180" s="2313"/>
      <c r="P180" s="264"/>
      <c r="Q180" s="264"/>
      <c r="R180" s="264"/>
      <c r="S180" s="264"/>
      <c r="T180" s="264"/>
      <c r="U180" s="264"/>
      <c r="V180" s="264"/>
      <c r="W180" s="264"/>
      <c r="X180" s="264"/>
      <c r="Y180" s="264"/>
      <c r="Z180" s="264"/>
      <c r="AA180" s="264"/>
      <c r="AB180" s="264"/>
      <c r="AC180" s="264"/>
    </row>
    <row r="181" spans="1:29" ht="30" customHeight="1" x14ac:dyDescent="0.25">
      <c r="A181" s="264"/>
      <c r="B181" s="1669">
        <v>23</v>
      </c>
      <c r="C181" s="2305" t="str">
        <f>IFERROR(VLOOKUP($B181,'Список мероприятий'!$AX$8:$BB$30,2,FALSE),"")</f>
        <v/>
      </c>
      <c r="D181" s="2306"/>
      <c r="E181" s="2307"/>
      <c r="F181" s="2308" t="str">
        <f>IFERROR(VLOOKUP($B181,'Список мероприятий'!$AX$8:$BB$30,3,FALSE),"")</f>
        <v/>
      </c>
      <c r="G181" s="2309"/>
      <c r="H181" s="2309"/>
      <c r="I181" s="2310"/>
      <c r="J181" s="2308" t="str">
        <f>IFERROR(VLOOKUP($B181,'Список мероприятий'!$AX$8:$BB$30,4,FALSE),"")</f>
        <v/>
      </c>
      <c r="K181" s="2309"/>
      <c r="L181" s="2310"/>
      <c r="M181" s="2311" t="str">
        <f>IFERROR(VLOOKUP($B181,'Список мероприятий'!$AX$8:$BB$30,5,FALSE),"")</f>
        <v/>
      </c>
      <c r="N181" s="2312"/>
      <c r="O181" s="2313"/>
      <c r="P181" s="264"/>
      <c r="Q181" s="264"/>
      <c r="R181" s="264"/>
      <c r="S181" s="264"/>
      <c r="T181" s="264"/>
      <c r="U181" s="264"/>
      <c r="V181" s="264"/>
      <c r="W181" s="264"/>
      <c r="X181" s="264"/>
      <c r="Y181" s="264"/>
      <c r="Z181" s="264"/>
      <c r="AA181" s="264"/>
      <c r="AB181" s="264"/>
      <c r="AC181" s="264"/>
    </row>
    <row r="182" spans="1:29" s="1686" customFormat="1" ht="30" customHeight="1" x14ac:dyDescent="0.25">
      <c r="A182" s="264"/>
      <c r="B182" s="2314" t="s">
        <v>2288</v>
      </c>
      <c r="C182" s="2314"/>
      <c r="D182" s="2314"/>
      <c r="E182" s="2314"/>
      <c r="F182" s="2314"/>
      <c r="G182" s="2314"/>
      <c r="H182" s="2314"/>
      <c r="I182" s="2314"/>
      <c r="J182" s="2314"/>
      <c r="K182" s="2314"/>
      <c r="L182" s="2314"/>
      <c r="M182" s="2314"/>
      <c r="N182" s="2314"/>
      <c r="O182" s="2314"/>
      <c r="P182" s="264"/>
      <c r="Q182" s="264"/>
      <c r="R182" s="264"/>
      <c r="S182" s="264"/>
      <c r="T182" s="264"/>
      <c r="U182" s="264"/>
      <c r="V182" s="264"/>
      <c r="W182" s="264"/>
      <c r="X182" s="264"/>
      <c r="Y182" s="264"/>
      <c r="Z182" s="264"/>
      <c r="AA182" s="264"/>
      <c r="AB182" s="264"/>
      <c r="AC182" s="264"/>
    </row>
    <row r="183" spans="1:29" s="1686" customFormat="1" ht="28.5" x14ac:dyDescent="0.25">
      <c r="A183" s="1653"/>
      <c r="B183" s="1668" t="s">
        <v>2152</v>
      </c>
      <c r="C183" s="2315" t="s">
        <v>829</v>
      </c>
      <c r="D183" s="2315"/>
      <c r="E183" s="2315"/>
      <c r="F183" s="2315"/>
      <c r="G183" s="2315"/>
      <c r="H183" s="2315"/>
      <c r="I183" s="2315"/>
      <c r="J183" s="2315"/>
      <c r="K183" s="2315"/>
      <c r="L183" s="1667" t="s">
        <v>2171</v>
      </c>
      <c r="M183" s="2315" t="s">
        <v>862</v>
      </c>
      <c r="N183" s="2315"/>
      <c r="O183" s="2315"/>
      <c r="P183" s="1653"/>
      <c r="Q183" s="1653"/>
      <c r="R183" s="1653"/>
      <c r="S183" s="1653"/>
      <c r="T183" s="1653"/>
      <c r="U183" s="1653"/>
      <c r="V183" s="1653"/>
      <c r="W183" s="1653"/>
      <c r="X183" s="1653"/>
      <c r="Y183" s="1653"/>
      <c r="Z183" s="1653"/>
      <c r="AA183" s="1653"/>
      <c r="AB183" s="1653"/>
      <c r="AC183" s="1653"/>
    </row>
    <row r="184" spans="1:29" s="1686" customFormat="1" ht="15" customHeight="1" x14ac:dyDescent="0.25">
      <c r="A184" s="1653"/>
      <c r="B184" s="1669">
        <v>1</v>
      </c>
      <c r="C184" s="2298" t="s">
        <v>2289</v>
      </c>
      <c r="D184" s="2298"/>
      <c r="E184" s="2298"/>
      <c r="F184" s="2298"/>
      <c r="G184" s="2298"/>
      <c r="H184" s="2298"/>
      <c r="I184" s="2298"/>
      <c r="J184" s="2301" t="s">
        <v>1686</v>
      </c>
      <c r="K184" s="2301"/>
      <c r="L184" s="1666" t="s">
        <v>1168</v>
      </c>
      <c r="M184" s="2303">
        <f ca="1">ROUND('Расчет базового уровня'!D13+'Расчет базового уровня'!D16,3)</f>
        <v>0</v>
      </c>
      <c r="N184" s="2303"/>
      <c r="O184" s="2303"/>
      <c r="P184" s="1653"/>
      <c r="Q184" s="1653"/>
      <c r="R184" s="1653"/>
      <c r="S184" s="1653"/>
      <c r="T184" s="1653"/>
      <c r="U184" s="1653"/>
      <c r="V184" s="1653"/>
      <c r="W184" s="1653"/>
      <c r="X184" s="1653"/>
      <c r="Y184" s="1653"/>
      <c r="Z184" s="1653"/>
      <c r="AA184" s="1653"/>
      <c r="AB184" s="1653"/>
      <c r="AC184" s="1653"/>
    </row>
    <row r="185" spans="1:29" s="1686" customFormat="1" ht="15" customHeight="1" x14ac:dyDescent="0.25">
      <c r="A185" s="1653"/>
      <c r="B185" s="1669">
        <v>2</v>
      </c>
      <c r="C185" s="2298"/>
      <c r="D185" s="2298"/>
      <c r="E185" s="2298"/>
      <c r="F185" s="2298"/>
      <c r="G185" s="2298"/>
      <c r="H185" s="2298"/>
      <c r="I185" s="2298"/>
      <c r="J185" s="2301" t="s">
        <v>1687</v>
      </c>
      <c r="K185" s="2301"/>
      <c r="L185" s="1666" t="s">
        <v>2281</v>
      </c>
      <c r="M185" s="2304">
        <f>ROUND('Расчет базового уровня'!D18/1000,2)</f>
        <v>0</v>
      </c>
      <c r="N185" s="2304"/>
      <c r="O185" s="2304"/>
      <c r="P185" s="1653"/>
      <c r="Q185" s="1653"/>
      <c r="R185" s="1653"/>
      <c r="S185" s="1653"/>
      <c r="T185" s="1653"/>
      <c r="U185" s="1653"/>
      <c r="V185" s="1653"/>
      <c r="W185" s="1653"/>
      <c r="X185" s="1653"/>
      <c r="Y185" s="1653"/>
      <c r="Z185" s="1653"/>
      <c r="AA185" s="1653"/>
      <c r="AB185" s="1653"/>
      <c r="AC185" s="1653"/>
    </row>
    <row r="186" spans="1:29" ht="15" customHeight="1" x14ac:dyDescent="0.25">
      <c r="A186" s="264"/>
      <c r="B186" s="1669">
        <v>3</v>
      </c>
      <c r="C186" s="2298" t="s">
        <v>2290</v>
      </c>
      <c r="D186" s="2298"/>
      <c r="E186" s="2298"/>
      <c r="F186" s="2298"/>
      <c r="G186" s="2298"/>
      <c r="H186" s="2298"/>
      <c r="I186" s="2298"/>
      <c r="J186" s="2301" t="s">
        <v>1292</v>
      </c>
      <c r="K186" s="2301"/>
      <c r="L186" s="1669" t="s">
        <v>1773</v>
      </c>
      <c r="M186" s="2300">
        <f ca="1">IFERROR('Экономический расчет'!H22,"-")</f>
        <v>0</v>
      </c>
      <c r="N186" s="2300"/>
      <c r="O186" s="2300"/>
      <c r="P186" s="264"/>
      <c r="Q186" s="264"/>
      <c r="R186" s="264"/>
      <c r="S186" s="264"/>
      <c r="T186" s="264"/>
      <c r="U186" s="264"/>
      <c r="V186" s="264"/>
      <c r="W186" s="264"/>
      <c r="X186" s="264"/>
      <c r="Y186" s="264"/>
      <c r="Z186" s="264"/>
      <c r="AA186" s="264"/>
      <c r="AB186" s="264"/>
      <c r="AC186" s="264"/>
    </row>
    <row r="187" spans="1:29" ht="15" customHeight="1" x14ac:dyDescent="0.25">
      <c r="A187" s="264"/>
      <c r="B187" s="1669">
        <v>4</v>
      </c>
      <c r="C187" s="2298"/>
      <c r="D187" s="2298"/>
      <c r="E187" s="2298"/>
      <c r="F187" s="2298"/>
      <c r="G187" s="2298"/>
      <c r="H187" s="2298"/>
      <c r="I187" s="2298"/>
      <c r="J187" s="2301" t="s">
        <v>2291</v>
      </c>
      <c r="K187" s="2301"/>
      <c r="L187" s="1669" t="s">
        <v>1773</v>
      </c>
      <c r="M187" s="2300">
        <f ca="1">IFERROR('Экономический расчет'!H23,"-")</f>
        <v>0</v>
      </c>
      <c r="N187" s="2302"/>
      <c r="O187" s="2302"/>
      <c r="P187" s="264"/>
      <c r="Q187" s="264"/>
      <c r="R187" s="264"/>
      <c r="S187" s="264"/>
      <c r="T187" s="264"/>
      <c r="U187" s="264"/>
      <c r="V187" s="264"/>
      <c r="W187" s="264"/>
      <c r="X187" s="264"/>
      <c r="Y187" s="264"/>
      <c r="Z187" s="264"/>
      <c r="AA187" s="264"/>
      <c r="AB187" s="264"/>
      <c r="AC187" s="264"/>
    </row>
    <row r="188" spans="1:29" ht="15" customHeight="1" x14ac:dyDescent="0.25">
      <c r="A188" s="264"/>
      <c r="B188" s="1669">
        <v>5</v>
      </c>
      <c r="C188" s="2298"/>
      <c r="D188" s="2298"/>
      <c r="E188" s="2298"/>
      <c r="F188" s="2298"/>
      <c r="G188" s="2298"/>
      <c r="H188" s="2298"/>
      <c r="I188" s="2298"/>
      <c r="J188" s="2301" t="s">
        <v>2292</v>
      </c>
      <c r="K188" s="2301"/>
      <c r="L188" s="1669" t="s">
        <v>1773</v>
      </c>
      <c r="M188" s="2300">
        <f>IFERROR('Экономический расчет'!H26,"-")</f>
        <v>0</v>
      </c>
      <c r="N188" s="2302"/>
      <c r="O188" s="2302"/>
      <c r="P188" s="264"/>
      <c r="Q188" s="264"/>
      <c r="R188" s="264"/>
      <c r="S188" s="264"/>
      <c r="T188" s="264"/>
      <c r="U188" s="264"/>
      <c r="V188" s="264"/>
      <c r="W188" s="264"/>
      <c r="X188" s="264"/>
      <c r="Y188" s="264"/>
      <c r="Z188" s="264"/>
      <c r="AA188" s="264"/>
      <c r="AB188" s="264"/>
      <c r="AC188" s="264"/>
    </row>
    <row r="189" spans="1:29" ht="15" customHeight="1" x14ac:dyDescent="0.25">
      <c r="A189" s="264"/>
      <c r="B189" s="1669">
        <v>6</v>
      </c>
      <c r="C189" s="2298" t="s">
        <v>2293</v>
      </c>
      <c r="D189" s="2298"/>
      <c r="E189" s="2298"/>
      <c r="F189" s="2298"/>
      <c r="G189" s="2298"/>
      <c r="H189" s="2298"/>
      <c r="I189" s="2298"/>
      <c r="J189" s="2301" t="s">
        <v>1686</v>
      </c>
      <c r="K189" s="2301"/>
      <c r="L189" s="1666" t="s">
        <v>1168</v>
      </c>
      <c r="M189" s="2303">
        <f ca="1">ROUND(IF(списки!C53=0,0,'Расчет после реализации'!D12+'Расчет после реализации'!D15)/1163,3)</f>
        <v>0</v>
      </c>
      <c r="N189" s="2303"/>
      <c r="O189" s="2303"/>
      <c r="P189" s="264"/>
      <c r="Q189" s="264"/>
      <c r="R189" s="264"/>
      <c r="S189" s="264"/>
      <c r="T189" s="264"/>
      <c r="U189" s="264"/>
      <c r="V189" s="264"/>
      <c r="W189" s="264"/>
      <c r="X189" s="264"/>
      <c r="Y189" s="264"/>
      <c r="Z189" s="264"/>
      <c r="AA189" s="264"/>
      <c r="AB189" s="264"/>
      <c r="AC189" s="264"/>
    </row>
    <row r="190" spans="1:29" ht="15" customHeight="1" x14ac:dyDescent="0.25">
      <c r="A190" s="264"/>
      <c r="B190" s="1669">
        <v>7</v>
      </c>
      <c r="C190" s="2298"/>
      <c r="D190" s="2298"/>
      <c r="E190" s="2298"/>
      <c r="F190" s="2298"/>
      <c r="G190" s="2298"/>
      <c r="H190" s="2298"/>
      <c r="I190" s="2298"/>
      <c r="J190" s="2301" t="s">
        <v>1687</v>
      </c>
      <c r="K190" s="2301"/>
      <c r="L190" s="1666" t="s">
        <v>2281</v>
      </c>
      <c r="M190" s="2304">
        <f ca="1">ROUND(IF(списки!C53=0,0,'Расчет после реализации'!D18)/1000,2)</f>
        <v>0</v>
      </c>
      <c r="N190" s="2304"/>
      <c r="O190" s="2304"/>
      <c r="P190" s="264"/>
      <c r="Q190" s="264"/>
      <c r="R190" s="264"/>
      <c r="S190" s="264"/>
      <c r="T190" s="264"/>
      <c r="U190" s="264"/>
      <c r="V190" s="264"/>
      <c r="W190" s="264"/>
      <c r="X190" s="264"/>
      <c r="Y190" s="264"/>
      <c r="Z190" s="264"/>
      <c r="AA190" s="264"/>
      <c r="AB190" s="264"/>
      <c r="AC190" s="264"/>
    </row>
    <row r="191" spans="1:29" ht="15" customHeight="1" x14ac:dyDescent="0.25">
      <c r="A191" s="264"/>
      <c r="B191" s="1669">
        <v>8</v>
      </c>
      <c r="C191" s="2298" t="s">
        <v>2294</v>
      </c>
      <c r="D191" s="2298"/>
      <c r="E191" s="2298"/>
      <c r="F191" s="2298"/>
      <c r="G191" s="2298"/>
      <c r="H191" s="2298"/>
      <c r="I191" s="2298"/>
      <c r="J191" s="2301" t="s">
        <v>1292</v>
      </c>
      <c r="K191" s="2301"/>
      <c r="L191" s="1669" t="s">
        <v>1773</v>
      </c>
      <c r="M191" s="2300">
        <f ca="1">IFERROR('Экономический расчет'!J22,"-")</f>
        <v>0</v>
      </c>
      <c r="N191" s="2300"/>
      <c r="O191" s="2300"/>
      <c r="P191" s="264"/>
      <c r="Q191" s="264"/>
      <c r="R191" s="264"/>
      <c r="S191" s="264"/>
      <c r="T191" s="264"/>
      <c r="U191" s="264"/>
      <c r="V191" s="264"/>
      <c r="W191" s="264"/>
      <c r="X191" s="264"/>
      <c r="Y191" s="264"/>
      <c r="Z191" s="264"/>
      <c r="AA191" s="264"/>
      <c r="AB191" s="264"/>
      <c r="AC191" s="264"/>
    </row>
    <row r="192" spans="1:29" ht="15" customHeight="1" x14ac:dyDescent="0.25">
      <c r="A192" s="264"/>
      <c r="B192" s="1669">
        <v>9</v>
      </c>
      <c r="C192" s="2298"/>
      <c r="D192" s="2298"/>
      <c r="E192" s="2298"/>
      <c r="F192" s="2298"/>
      <c r="G192" s="2298"/>
      <c r="H192" s="2298"/>
      <c r="I192" s="2298"/>
      <c r="J192" s="2301" t="s">
        <v>2291</v>
      </c>
      <c r="K192" s="2301"/>
      <c r="L192" s="1669" t="s">
        <v>1773</v>
      </c>
      <c r="M192" s="2300">
        <f ca="1">IFERROR('Экономический расчет'!J23,"-")</f>
        <v>0</v>
      </c>
      <c r="N192" s="2302"/>
      <c r="O192" s="2302"/>
      <c r="P192" s="264"/>
      <c r="Q192" s="264"/>
      <c r="R192" s="264"/>
      <c r="S192" s="264"/>
      <c r="T192" s="264"/>
      <c r="U192" s="264"/>
      <c r="V192" s="264"/>
      <c r="W192" s="264"/>
      <c r="X192" s="264"/>
      <c r="Y192" s="264"/>
      <c r="Z192" s="264"/>
      <c r="AA192" s="264"/>
      <c r="AB192" s="264"/>
      <c r="AC192" s="264"/>
    </row>
    <row r="193" spans="1:29" ht="15" customHeight="1" x14ac:dyDescent="0.25">
      <c r="A193" s="264"/>
      <c r="B193" s="1669">
        <v>10</v>
      </c>
      <c r="C193" s="2298"/>
      <c r="D193" s="2298"/>
      <c r="E193" s="2298"/>
      <c r="F193" s="2298"/>
      <c r="G193" s="2298"/>
      <c r="H193" s="2298"/>
      <c r="I193" s="2298"/>
      <c r="J193" s="2301" t="s">
        <v>2292</v>
      </c>
      <c r="K193" s="2301"/>
      <c r="L193" s="1669" t="s">
        <v>1773</v>
      </c>
      <c r="M193" s="2300">
        <f ca="1">IFERROR('Экономический расчет'!J26,"-")</f>
        <v>0</v>
      </c>
      <c r="N193" s="2302"/>
      <c r="O193" s="2302"/>
      <c r="P193" s="264"/>
      <c r="Q193" s="264"/>
      <c r="R193" s="264"/>
      <c r="S193" s="264"/>
      <c r="T193" s="264"/>
      <c r="U193" s="264"/>
      <c r="V193" s="264"/>
      <c r="W193" s="264"/>
      <c r="X193" s="264"/>
      <c r="Y193" s="264"/>
      <c r="Z193" s="264"/>
      <c r="AA193" s="264"/>
      <c r="AB193" s="264"/>
      <c r="AC193" s="264"/>
    </row>
    <row r="194" spans="1:29" ht="15" customHeight="1" x14ac:dyDescent="0.25">
      <c r="A194" s="264"/>
      <c r="B194" s="1669">
        <v>11</v>
      </c>
      <c r="C194" s="2298" t="s">
        <v>2295</v>
      </c>
      <c r="D194" s="2298"/>
      <c r="E194" s="2298"/>
      <c r="F194" s="2298"/>
      <c r="G194" s="2298"/>
      <c r="H194" s="2298"/>
      <c r="I194" s="2298"/>
      <c r="J194" s="2298"/>
      <c r="K194" s="2298"/>
      <c r="L194" s="1669" t="s">
        <v>1165</v>
      </c>
      <c r="M194" s="2299" t="str">
        <f ca="1">IFERROR(ROUND(100*'Экономический расчет'!H33,2),"-")</f>
        <v>-</v>
      </c>
      <c r="N194" s="2299"/>
      <c r="O194" s="2299"/>
      <c r="P194" s="264"/>
      <c r="Q194" s="264"/>
      <c r="R194" s="264"/>
      <c r="S194" s="264"/>
      <c r="T194" s="264"/>
      <c r="U194" s="264"/>
      <c r="V194" s="264"/>
      <c r="W194" s="264"/>
      <c r="X194" s="264"/>
      <c r="Y194" s="264"/>
      <c r="Z194" s="264"/>
      <c r="AA194" s="264"/>
      <c r="AB194" s="264"/>
      <c r="AC194" s="264"/>
    </row>
    <row r="195" spans="1:29" ht="15" customHeight="1" x14ac:dyDescent="0.25">
      <c r="A195" s="264"/>
      <c r="B195" s="1669">
        <v>12</v>
      </c>
      <c r="C195" s="2298" t="s">
        <v>2296</v>
      </c>
      <c r="D195" s="2298"/>
      <c r="E195" s="2298"/>
      <c r="F195" s="2298"/>
      <c r="G195" s="2298"/>
      <c r="H195" s="2298"/>
      <c r="I195" s="2298"/>
      <c r="J195" s="2298"/>
      <c r="K195" s="2298"/>
      <c r="L195" s="1669" t="s">
        <v>1773</v>
      </c>
      <c r="M195" s="2300">
        <f ca="1">IFERROR('Экономический расчет'!H32,"-")</f>
        <v>0</v>
      </c>
      <c r="N195" s="2300"/>
      <c r="O195" s="2300"/>
      <c r="P195" s="264"/>
      <c r="Q195" s="264"/>
      <c r="R195" s="264"/>
      <c r="S195" s="264"/>
      <c r="T195" s="264"/>
      <c r="U195" s="264"/>
      <c r="V195" s="264"/>
      <c r="W195" s="264"/>
      <c r="X195" s="264"/>
      <c r="Y195" s="264"/>
      <c r="Z195" s="264"/>
      <c r="AA195" s="264"/>
      <c r="AB195" s="264"/>
      <c r="AC195" s="264"/>
    </row>
    <row r="196" spans="1:29" ht="15" customHeight="1" x14ac:dyDescent="0.25">
      <c r="A196" s="264"/>
      <c r="B196" s="1669">
        <v>13</v>
      </c>
      <c r="C196" s="2298" t="s">
        <v>2297</v>
      </c>
      <c r="D196" s="2298"/>
      <c r="E196" s="2298"/>
      <c r="F196" s="2298"/>
      <c r="G196" s="2298"/>
      <c r="H196" s="2298"/>
      <c r="I196" s="2298"/>
      <c r="J196" s="2298"/>
      <c r="K196" s="2298"/>
      <c r="L196" s="1669" t="s">
        <v>1773</v>
      </c>
      <c r="M196" s="2300" t="str">
        <f ca="1">IFERROR('Экономический расчет'!H81,"-")</f>
        <v/>
      </c>
      <c r="N196" s="2300"/>
      <c r="O196" s="2300"/>
      <c r="P196" s="264"/>
      <c r="Q196" s="264"/>
      <c r="R196" s="264"/>
      <c r="S196" s="264"/>
      <c r="T196" s="264"/>
      <c r="U196" s="264"/>
      <c r="V196" s="264"/>
      <c r="W196" s="264"/>
      <c r="X196" s="264"/>
      <c r="Y196" s="264"/>
      <c r="Z196" s="264"/>
      <c r="AA196" s="264"/>
      <c r="AB196" s="264"/>
      <c r="AC196" s="264"/>
    </row>
    <row r="197" spans="1:29" x14ac:dyDescent="0.25">
      <c r="A197" s="264"/>
      <c r="B197" s="1654"/>
      <c r="C197" s="1655"/>
      <c r="D197" s="1656"/>
      <c r="E197" s="1654"/>
      <c r="F197" s="1654"/>
      <c r="G197" s="1656"/>
      <c r="H197" s="1657"/>
      <c r="I197" s="1657"/>
      <c r="J197" s="1657"/>
      <c r="K197" s="1657"/>
      <c r="L197" s="1657"/>
      <c r="M197" s="1657"/>
      <c r="N197" s="1657"/>
      <c r="O197" s="1657"/>
      <c r="P197" s="264"/>
      <c r="Q197" s="264"/>
      <c r="R197" s="264"/>
      <c r="S197" s="264"/>
      <c r="T197" s="264"/>
      <c r="U197" s="264"/>
      <c r="V197" s="264"/>
      <c r="W197" s="264"/>
      <c r="X197" s="264"/>
      <c r="Y197" s="264"/>
      <c r="Z197" s="264"/>
      <c r="AA197" s="264"/>
      <c r="AB197" s="264"/>
      <c r="AC197" s="264"/>
    </row>
    <row r="198" spans="1:29" ht="15.75" customHeight="1" x14ac:dyDescent="0.25">
      <c r="A198" s="264"/>
      <c r="B198" s="2295" t="s">
        <v>2298</v>
      </c>
      <c r="C198" s="2295"/>
      <c r="D198" s="2295"/>
      <c r="E198" s="2295"/>
      <c r="F198" s="2295"/>
      <c r="G198" s="2295"/>
      <c r="H198" s="1657"/>
      <c r="I198" s="1657"/>
      <c r="J198" s="2296"/>
      <c r="K198" s="2296"/>
      <c r="L198" s="1657"/>
      <c r="M198" s="1657"/>
      <c r="N198" s="1657"/>
      <c r="O198" s="1657"/>
      <c r="P198" s="264"/>
      <c r="Q198" s="264"/>
      <c r="R198" s="264"/>
      <c r="S198" s="264"/>
      <c r="T198" s="264"/>
      <c r="U198" s="264"/>
      <c r="V198" s="264"/>
      <c r="W198" s="264"/>
      <c r="X198" s="264"/>
      <c r="Y198" s="264"/>
      <c r="Z198" s="264"/>
      <c r="AA198" s="264"/>
      <c r="AB198" s="264"/>
      <c r="AC198" s="264"/>
    </row>
    <row r="199" spans="1:29" ht="30.75" customHeight="1" x14ac:dyDescent="0.25">
      <c r="A199" s="264"/>
      <c r="B199" s="2295"/>
      <c r="C199" s="2295"/>
      <c r="D199" s="2295"/>
      <c r="E199" s="2295"/>
      <c r="F199" s="2295"/>
      <c r="G199" s="2295"/>
      <c r="H199" s="1657"/>
      <c r="I199" s="1657"/>
      <c r="J199" s="2297" t="s">
        <v>2299</v>
      </c>
      <c r="K199" s="2297"/>
      <c r="L199" s="1657"/>
      <c r="M199" s="2297" t="s">
        <v>2300</v>
      </c>
      <c r="N199" s="2297"/>
      <c r="O199" s="1657"/>
      <c r="P199" s="264"/>
      <c r="Q199" s="264"/>
      <c r="R199" s="264"/>
      <c r="S199" s="264"/>
      <c r="T199" s="264"/>
      <c r="U199" s="264"/>
      <c r="V199" s="264"/>
      <c r="W199" s="264"/>
      <c r="X199" s="264"/>
      <c r="Y199" s="264"/>
      <c r="Z199" s="264"/>
      <c r="AA199" s="264"/>
      <c r="AB199" s="264"/>
      <c r="AC199" s="264"/>
    </row>
    <row r="200" spans="1:29" x14ac:dyDescent="0.25">
      <c r="A200" s="264"/>
      <c r="B200" s="1658"/>
      <c r="C200" s="1659"/>
      <c r="D200" s="1660"/>
      <c r="E200" s="1658"/>
      <c r="F200" s="1658"/>
      <c r="G200" s="1660"/>
      <c r="H200" s="1661"/>
      <c r="I200" s="1661"/>
      <c r="J200" s="1661"/>
      <c r="K200" s="1661"/>
      <c r="L200" s="1661"/>
      <c r="M200" s="1661"/>
      <c r="N200" s="1661"/>
      <c r="O200" s="1661"/>
      <c r="P200" s="264"/>
      <c r="Q200" s="264"/>
      <c r="R200" s="264"/>
      <c r="S200" s="264"/>
      <c r="T200" s="264"/>
      <c r="U200" s="264"/>
      <c r="V200" s="264"/>
      <c r="W200" s="264"/>
      <c r="X200" s="264"/>
      <c r="Y200" s="264"/>
      <c r="Z200" s="264"/>
      <c r="AA200" s="264"/>
      <c r="AB200" s="264"/>
      <c r="AC200" s="264"/>
    </row>
    <row r="201" spans="1:29" x14ac:dyDescent="0.25">
      <c r="A201" s="264"/>
      <c r="B201" s="1658"/>
      <c r="C201" s="1659"/>
      <c r="D201" s="1660"/>
      <c r="E201" s="1658"/>
      <c r="F201" s="1658"/>
      <c r="G201" s="1660"/>
      <c r="H201" s="1661"/>
      <c r="I201" s="1661"/>
      <c r="J201" s="1661"/>
      <c r="K201" s="1661"/>
      <c r="L201" s="1661"/>
      <c r="M201" s="1661"/>
      <c r="N201" s="1661"/>
      <c r="O201" s="1661"/>
      <c r="P201" s="264"/>
      <c r="Q201" s="264"/>
      <c r="R201" s="264"/>
      <c r="S201" s="264"/>
      <c r="T201" s="264"/>
      <c r="U201" s="264"/>
      <c r="V201" s="264"/>
      <c r="W201" s="264"/>
      <c r="X201" s="264"/>
      <c r="Y201" s="264"/>
      <c r="Z201" s="264"/>
      <c r="AA201" s="264"/>
      <c r="AB201" s="264"/>
      <c r="AC201" s="264"/>
    </row>
    <row r="202" spans="1:29" x14ac:dyDescent="0.25">
      <c r="A202" s="264"/>
      <c r="B202" s="1664"/>
      <c r="C202" s="1664"/>
      <c r="D202" s="1662"/>
      <c r="E202" s="1663"/>
      <c r="F202" s="1663"/>
      <c r="G202" s="1662"/>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row>
    <row r="203" spans="1:29" x14ac:dyDescent="0.25">
      <c r="A203" s="264"/>
      <c r="B203" s="1664"/>
      <c r="C203" s="1664"/>
      <c r="D203" s="1662"/>
      <c r="E203" s="1663"/>
      <c r="F203" s="1663"/>
      <c r="G203" s="1662"/>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row>
    <row r="204" spans="1:29" hidden="1" x14ac:dyDescent="0.25">
      <c r="A204" s="264"/>
      <c r="B204" s="1664"/>
      <c r="C204" s="1664"/>
      <c r="D204" s="1662"/>
      <c r="E204" s="1663"/>
      <c r="F204" s="1663"/>
      <c r="G204" s="1662"/>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row>
    <row r="205" spans="1:29" hidden="1" x14ac:dyDescent="0.25">
      <c r="A205" s="264"/>
      <c r="B205" s="1663"/>
      <c r="C205" s="1664"/>
      <c r="D205" s="1662"/>
      <c r="E205" s="1663"/>
      <c r="F205" s="1663"/>
      <c r="G205" s="1662"/>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row>
    <row r="206" spans="1:29" hidden="1" x14ac:dyDescent="0.25">
      <c r="A206" s="264"/>
      <c r="B206" s="1663"/>
      <c r="C206" s="1664"/>
      <c r="D206" s="1662"/>
      <c r="E206" s="1663"/>
      <c r="F206" s="1663"/>
      <c r="G206" s="1662"/>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row>
    <row r="207" spans="1:29" hidden="1" x14ac:dyDescent="0.25">
      <c r="A207" s="264"/>
      <c r="B207" s="1663"/>
      <c r="C207" s="1664"/>
      <c r="D207" s="1662"/>
      <c r="E207" s="1663"/>
      <c r="F207" s="1663"/>
      <c r="G207" s="1662"/>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row>
    <row r="208" spans="1:29" hidden="1" x14ac:dyDescent="0.25">
      <c r="A208" s="264"/>
      <c r="B208" s="1663"/>
      <c r="C208" s="1664"/>
      <c r="D208" s="1662"/>
      <c r="E208" s="1663"/>
      <c r="F208" s="1663"/>
      <c r="G208" s="1662"/>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row>
    <row r="209" spans="1:29" hidden="1" x14ac:dyDescent="0.25">
      <c r="A209" s="264"/>
      <c r="B209" s="1663"/>
      <c r="C209" s="1664"/>
      <c r="D209" s="1662"/>
      <c r="E209" s="1663"/>
      <c r="F209" s="1663"/>
      <c r="G209" s="1662"/>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row>
    <row r="210" spans="1:29" hidden="1" x14ac:dyDescent="0.25">
      <c r="A210" s="264"/>
      <c r="B210" s="1663"/>
      <c r="C210" s="1664"/>
      <c r="D210" s="1662"/>
      <c r="E210" s="1663"/>
      <c r="F210" s="1663"/>
      <c r="G210" s="1662"/>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row>
    <row r="211" spans="1:29" hidden="1" x14ac:dyDescent="0.25">
      <c r="A211" s="264"/>
      <c r="B211" s="1663"/>
      <c r="C211" s="1664"/>
      <c r="D211" s="1662"/>
      <c r="E211" s="1663"/>
      <c r="F211" s="1663"/>
      <c r="G211" s="1662"/>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row>
    <row r="212" spans="1:29" hidden="1" x14ac:dyDescent="0.25">
      <c r="A212" s="264"/>
      <c r="B212" s="1663"/>
      <c r="C212" s="1664"/>
      <c r="D212" s="1662"/>
      <c r="E212" s="1663"/>
      <c r="F212" s="1663"/>
      <c r="G212" s="1662"/>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row>
    <row r="213" spans="1:29" hidden="1" x14ac:dyDescent="0.25">
      <c r="A213" s="264"/>
      <c r="B213" s="1663"/>
      <c r="C213" s="1664"/>
      <c r="D213" s="1662"/>
      <c r="E213" s="1663"/>
      <c r="F213" s="1663"/>
      <c r="G213" s="1662"/>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row>
    <row r="214" spans="1:29" hidden="1" x14ac:dyDescent="0.25">
      <c r="A214" s="264"/>
      <c r="B214" s="1663"/>
      <c r="C214" s="1664"/>
      <c r="D214" s="1662"/>
      <c r="E214" s="1663"/>
      <c r="F214" s="1663"/>
      <c r="G214" s="1662"/>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row>
    <row r="215" spans="1:29" hidden="1" x14ac:dyDescent="0.25">
      <c r="A215" s="264"/>
      <c r="B215" s="1663"/>
      <c r="C215" s="1664"/>
      <c r="D215" s="1662"/>
      <c r="E215" s="1663"/>
      <c r="F215" s="1663"/>
      <c r="G215" s="1662"/>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row>
    <row r="216" spans="1:29" hidden="1" x14ac:dyDescent="0.25">
      <c r="A216" s="264"/>
      <c r="B216" s="1663"/>
      <c r="C216" s="1664"/>
      <c r="D216" s="1662"/>
      <c r="E216" s="1663"/>
      <c r="F216" s="1663"/>
      <c r="G216" s="1662"/>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row>
    <row r="217" spans="1:29" hidden="1" x14ac:dyDescent="0.25">
      <c r="A217" s="264"/>
      <c r="B217" s="1663"/>
      <c r="C217" s="1664"/>
      <c r="D217" s="1662"/>
      <c r="E217" s="1663"/>
      <c r="F217" s="1663"/>
      <c r="G217" s="1662"/>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row>
  </sheetData>
  <sheetProtection password="ECB1" sheet="1" objects="1" scenarios="1" formatCells="0" formatRows="0"/>
  <mergeCells count="458">
    <mergeCell ref="C3:K3"/>
    <mergeCell ref="L3:O3"/>
    <mergeCell ref="C4:O4"/>
    <mergeCell ref="C6:K6"/>
    <mergeCell ref="M6:O6"/>
    <mergeCell ref="B5:O5"/>
    <mergeCell ref="C10:K10"/>
    <mergeCell ref="M10:O10"/>
    <mergeCell ref="C11:K11"/>
    <mergeCell ref="M11:O11"/>
    <mergeCell ref="C12:K12"/>
    <mergeCell ref="M12:O12"/>
    <mergeCell ref="C7:K7"/>
    <mergeCell ref="M7:O7"/>
    <mergeCell ref="C8:K8"/>
    <mergeCell ref="M8:O8"/>
    <mergeCell ref="C9:K9"/>
    <mergeCell ref="M9:O9"/>
    <mergeCell ref="C13:D14"/>
    <mergeCell ref="E13:K13"/>
    <mergeCell ref="M13:O13"/>
    <mergeCell ref="E14:K14"/>
    <mergeCell ref="M14:O14"/>
    <mergeCell ref="C15:D16"/>
    <mergeCell ref="E15:K15"/>
    <mergeCell ref="M15:O15"/>
    <mergeCell ref="E16:K16"/>
    <mergeCell ref="M16:O16"/>
    <mergeCell ref="M21:O21"/>
    <mergeCell ref="C22:D23"/>
    <mergeCell ref="E22:K22"/>
    <mergeCell ref="M22:O22"/>
    <mergeCell ref="E23:K23"/>
    <mergeCell ref="M23:O23"/>
    <mergeCell ref="C17:K17"/>
    <mergeCell ref="M17:O17"/>
    <mergeCell ref="C18:D21"/>
    <mergeCell ref="E18:K18"/>
    <mergeCell ref="M18:O18"/>
    <mergeCell ref="E19:K19"/>
    <mergeCell ref="M19:O19"/>
    <mergeCell ref="E20:K20"/>
    <mergeCell ref="M20:O20"/>
    <mergeCell ref="E21:K21"/>
    <mergeCell ref="C24:D25"/>
    <mergeCell ref="E24:K24"/>
    <mergeCell ref="M24:O24"/>
    <mergeCell ref="E25:K25"/>
    <mergeCell ref="M25:O25"/>
    <mergeCell ref="C26:D28"/>
    <mergeCell ref="E26:K26"/>
    <mergeCell ref="M26:O26"/>
    <mergeCell ref="E27:K27"/>
    <mergeCell ref="M27:O27"/>
    <mergeCell ref="M32:O32"/>
    <mergeCell ref="C33:D34"/>
    <mergeCell ref="E33:K33"/>
    <mergeCell ref="M33:O33"/>
    <mergeCell ref="E34:K34"/>
    <mergeCell ref="M34:O34"/>
    <mergeCell ref="E28:K28"/>
    <mergeCell ref="M28:O28"/>
    <mergeCell ref="C29:D32"/>
    <mergeCell ref="E29:K29"/>
    <mergeCell ref="M29:O29"/>
    <mergeCell ref="E30:K30"/>
    <mergeCell ref="M30:O30"/>
    <mergeCell ref="E31:K31"/>
    <mergeCell ref="M31:O31"/>
    <mergeCell ref="E32:K32"/>
    <mergeCell ref="C39:K39"/>
    <mergeCell ref="M39:O39"/>
    <mergeCell ref="C40:K40"/>
    <mergeCell ref="M40:O40"/>
    <mergeCell ref="C41:K41"/>
    <mergeCell ref="M41:O41"/>
    <mergeCell ref="B35:O35"/>
    <mergeCell ref="C36:K36"/>
    <mergeCell ref="M36:O36"/>
    <mergeCell ref="C37:K37"/>
    <mergeCell ref="M37:O37"/>
    <mergeCell ref="C38:K38"/>
    <mergeCell ref="M38:O38"/>
    <mergeCell ref="C42:K42"/>
    <mergeCell ref="M42:O42"/>
    <mergeCell ref="C43:D48"/>
    <mergeCell ref="E43:K43"/>
    <mergeCell ref="M43:O43"/>
    <mergeCell ref="E44:K44"/>
    <mergeCell ref="M44:O44"/>
    <mergeCell ref="E45:K45"/>
    <mergeCell ref="M45:O45"/>
    <mergeCell ref="E46:K46"/>
    <mergeCell ref="C50:K50"/>
    <mergeCell ref="M50:O50"/>
    <mergeCell ref="C51:K51"/>
    <mergeCell ref="M51:O51"/>
    <mergeCell ref="C52:K52"/>
    <mergeCell ref="M52:O52"/>
    <mergeCell ref="M46:O46"/>
    <mergeCell ref="E47:K47"/>
    <mergeCell ref="M47:O47"/>
    <mergeCell ref="E48:K48"/>
    <mergeCell ref="M48:O48"/>
    <mergeCell ref="C49:K49"/>
    <mergeCell ref="M49:O49"/>
    <mergeCell ref="C56:K56"/>
    <mergeCell ref="M56:O56"/>
    <mergeCell ref="C57:K57"/>
    <mergeCell ref="M57:O57"/>
    <mergeCell ref="C58:K58"/>
    <mergeCell ref="M58:O58"/>
    <mergeCell ref="C53:K53"/>
    <mergeCell ref="M53:O53"/>
    <mergeCell ref="C54:K54"/>
    <mergeCell ref="M54:O54"/>
    <mergeCell ref="C55:K55"/>
    <mergeCell ref="M55:O55"/>
    <mergeCell ref="C63:K63"/>
    <mergeCell ref="M63:O63"/>
    <mergeCell ref="C64:K64"/>
    <mergeCell ref="M64:O64"/>
    <mergeCell ref="C65:K65"/>
    <mergeCell ref="M65:O65"/>
    <mergeCell ref="C59:K59"/>
    <mergeCell ref="M59:O59"/>
    <mergeCell ref="B60:O60"/>
    <mergeCell ref="C61:K61"/>
    <mergeCell ref="M61:O61"/>
    <mergeCell ref="C62:K62"/>
    <mergeCell ref="M62:O62"/>
    <mergeCell ref="B69:O69"/>
    <mergeCell ref="C70:K70"/>
    <mergeCell ref="M70:O70"/>
    <mergeCell ref="C71:K71"/>
    <mergeCell ref="M71:O71"/>
    <mergeCell ref="C72:K72"/>
    <mergeCell ref="M72:O72"/>
    <mergeCell ref="C66:K66"/>
    <mergeCell ref="M66:O66"/>
    <mergeCell ref="C67:K67"/>
    <mergeCell ref="M67:O67"/>
    <mergeCell ref="C68:K68"/>
    <mergeCell ref="M68:O68"/>
    <mergeCell ref="C76:K76"/>
    <mergeCell ref="M76:O76"/>
    <mergeCell ref="B77:O77"/>
    <mergeCell ref="C78:K78"/>
    <mergeCell ref="M78:O78"/>
    <mergeCell ref="C79:K79"/>
    <mergeCell ref="M79:O79"/>
    <mergeCell ref="C73:K73"/>
    <mergeCell ref="M73:O73"/>
    <mergeCell ref="C74:K74"/>
    <mergeCell ref="M74:O74"/>
    <mergeCell ref="C75:K75"/>
    <mergeCell ref="M75:O75"/>
    <mergeCell ref="C83:K83"/>
    <mergeCell ref="M83:O83"/>
    <mergeCell ref="C84:K84"/>
    <mergeCell ref="M84:O84"/>
    <mergeCell ref="C85:K85"/>
    <mergeCell ref="M85:O85"/>
    <mergeCell ref="C80:K80"/>
    <mergeCell ref="M80:O80"/>
    <mergeCell ref="C81:K81"/>
    <mergeCell ref="M81:O81"/>
    <mergeCell ref="C82:K82"/>
    <mergeCell ref="M82:O82"/>
    <mergeCell ref="C86:K86"/>
    <mergeCell ref="M86:O86"/>
    <mergeCell ref="C87:K87"/>
    <mergeCell ref="M87:O87"/>
    <mergeCell ref="C88:D90"/>
    <mergeCell ref="E88:K88"/>
    <mergeCell ref="M88:O88"/>
    <mergeCell ref="E89:K89"/>
    <mergeCell ref="M89:O89"/>
    <mergeCell ref="E90:K90"/>
    <mergeCell ref="J93:K93"/>
    <mergeCell ref="L93:M93"/>
    <mergeCell ref="C94:E94"/>
    <mergeCell ref="F94:G94"/>
    <mergeCell ref="H94:I94"/>
    <mergeCell ref="J94:K94"/>
    <mergeCell ref="L94:M94"/>
    <mergeCell ref="M90:O90"/>
    <mergeCell ref="B91:O91"/>
    <mergeCell ref="B92:B93"/>
    <mergeCell ref="C92:E93"/>
    <mergeCell ref="F92:G92"/>
    <mergeCell ref="H92:I93"/>
    <mergeCell ref="J92:K92"/>
    <mergeCell ref="L92:M92"/>
    <mergeCell ref="N92:O93"/>
    <mergeCell ref="F93:G93"/>
    <mergeCell ref="C96:E96"/>
    <mergeCell ref="F96:G96"/>
    <mergeCell ref="H96:I96"/>
    <mergeCell ref="J96:K96"/>
    <mergeCell ref="L96:M96"/>
    <mergeCell ref="N96:O96"/>
    <mergeCell ref="N94:O94"/>
    <mergeCell ref="C95:E95"/>
    <mergeCell ref="F95:G95"/>
    <mergeCell ref="H95:I95"/>
    <mergeCell ref="J95:K95"/>
    <mergeCell ref="L95:M95"/>
    <mergeCell ref="N95:O95"/>
    <mergeCell ref="C98:E98"/>
    <mergeCell ref="F98:G98"/>
    <mergeCell ref="H98:I98"/>
    <mergeCell ref="J98:K98"/>
    <mergeCell ref="L98:M98"/>
    <mergeCell ref="N98:O98"/>
    <mergeCell ref="C97:E97"/>
    <mergeCell ref="F97:G97"/>
    <mergeCell ref="H97:I97"/>
    <mergeCell ref="J97:K97"/>
    <mergeCell ref="L97:M97"/>
    <mergeCell ref="N97:O97"/>
    <mergeCell ref="B100:O100"/>
    <mergeCell ref="C101:K101"/>
    <mergeCell ref="M101:O101"/>
    <mergeCell ref="C102:D103"/>
    <mergeCell ref="E102:K102"/>
    <mergeCell ref="M102:O102"/>
    <mergeCell ref="E103:K103"/>
    <mergeCell ref="M103:O103"/>
    <mergeCell ref="C99:E99"/>
    <mergeCell ref="F99:G99"/>
    <mergeCell ref="H99:I99"/>
    <mergeCell ref="J99:K99"/>
    <mergeCell ref="L99:M99"/>
    <mergeCell ref="N99:O99"/>
    <mergeCell ref="C104:K104"/>
    <mergeCell ref="M104:O104"/>
    <mergeCell ref="C105:K105"/>
    <mergeCell ref="M105:O105"/>
    <mergeCell ref="C106:D107"/>
    <mergeCell ref="E106:K106"/>
    <mergeCell ref="M106:O106"/>
    <mergeCell ref="E107:K107"/>
    <mergeCell ref="M107:O107"/>
    <mergeCell ref="C108:K108"/>
    <mergeCell ref="M108:O108"/>
    <mergeCell ref="C109:K109"/>
    <mergeCell ref="M109:O109"/>
    <mergeCell ref="C110:D111"/>
    <mergeCell ref="E110:K110"/>
    <mergeCell ref="M110:O110"/>
    <mergeCell ref="E111:K111"/>
    <mergeCell ref="M111:O111"/>
    <mergeCell ref="C116:K116"/>
    <mergeCell ref="M116:O116"/>
    <mergeCell ref="C117:K117"/>
    <mergeCell ref="M117:O117"/>
    <mergeCell ref="C118:K118"/>
    <mergeCell ref="M118:O118"/>
    <mergeCell ref="C112:K112"/>
    <mergeCell ref="M112:O112"/>
    <mergeCell ref="C113:K113"/>
    <mergeCell ref="M113:O113"/>
    <mergeCell ref="C114:D115"/>
    <mergeCell ref="E114:K114"/>
    <mergeCell ref="M114:O114"/>
    <mergeCell ref="E115:K115"/>
    <mergeCell ref="M115:O115"/>
    <mergeCell ref="C119:K119"/>
    <mergeCell ref="M119:O119"/>
    <mergeCell ref="B120:O120"/>
    <mergeCell ref="C121:K121"/>
    <mergeCell ref="M121:O121"/>
    <mergeCell ref="C122:D125"/>
    <mergeCell ref="E122:K122"/>
    <mergeCell ref="M122:O122"/>
    <mergeCell ref="E123:K123"/>
    <mergeCell ref="M123:O123"/>
    <mergeCell ref="C128:D129"/>
    <mergeCell ref="E128:K128"/>
    <mergeCell ref="M128:O128"/>
    <mergeCell ref="E129:K129"/>
    <mergeCell ref="M129:O129"/>
    <mergeCell ref="C130:K130"/>
    <mergeCell ref="M130:O130"/>
    <mergeCell ref="E124:K124"/>
    <mergeCell ref="M124:O124"/>
    <mergeCell ref="E125:K125"/>
    <mergeCell ref="M125:O125"/>
    <mergeCell ref="C126:D127"/>
    <mergeCell ref="E126:K126"/>
    <mergeCell ref="M126:O126"/>
    <mergeCell ref="E127:K127"/>
    <mergeCell ref="M127:O127"/>
    <mergeCell ref="C134:K134"/>
    <mergeCell ref="M134:O134"/>
    <mergeCell ref="C135:K135"/>
    <mergeCell ref="M135:O135"/>
    <mergeCell ref="C136:K136"/>
    <mergeCell ref="M136:O136"/>
    <mergeCell ref="C131:K131"/>
    <mergeCell ref="M131:O131"/>
    <mergeCell ref="C132:K132"/>
    <mergeCell ref="M132:O132"/>
    <mergeCell ref="C133:K133"/>
    <mergeCell ref="M133:O133"/>
    <mergeCell ref="C137:K137"/>
    <mergeCell ref="M137:O137"/>
    <mergeCell ref="C138:K138"/>
    <mergeCell ref="M138:O138"/>
    <mergeCell ref="B139:O139"/>
    <mergeCell ref="B140:C140"/>
    <mergeCell ref="D140:D141"/>
    <mergeCell ref="E140:G140"/>
    <mergeCell ref="H140:J140"/>
    <mergeCell ref="K140:O140"/>
    <mergeCell ref="B141:B142"/>
    <mergeCell ref="C141:C142"/>
    <mergeCell ref="B155:C155"/>
    <mergeCell ref="B156:O156"/>
    <mergeCell ref="B157:B158"/>
    <mergeCell ref="C157:E158"/>
    <mergeCell ref="F157:I158"/>
    <mergeCell ref="J157:L158"/>
    <mergeCell ref="M157:O157"/>
    <mergeCell ref="M158:O158"/>
    <mergeCell ref="C161:E161"/>
    <mergeCell ref="F161:I161"/>
    <mergeCell ref="J161:L161"/>
    <mergeCell ref="M161:O161"/>
    <mergeCell ref="C162:E162"/>
    <mergeCell ref="F162:I162"/>
    <mergeCell ref="J162:L162"/>
    <mergeCell ref="M162:O162"/>
    <mergeCell ref="C159:E159"/>
    <mergeCell ref="F159:I159"/>
    <mergeCell ref="J159:L159"/>
    <mergeCell ref="M159:O159"/>
    <mergeCell ref="C160:E160"/>
    <mergeCell ref="F160:I160"/>
    <mergeCell ref="J160:L160"/>
    <mergeCell ref="M160:O160"/>
    <mergeCell ref="C165:E165"/>
    <mergeCell ref="F165:I165"/>
    <mergeCell ref="J165:L165"/>
    <mergeCell ref="M165:O165"/>
    <mergeCell ref="C166:E166"/>
    <mergeCell ref="F166:I166"/>
    <mergeCell ref="J166:L166"/>
    <mergeCell ref="M166:O166"/>
    <mergeCell ref="C163:E163"/>
    <mergeCell ref="F163:I163"/>
    <mergeCell ref="J163:L163"/>
    <mergeCell ref="M163:O163"/>
    <mergeCell ref="C164:E164"/>
    <mergeCell ref="F164:I164"/>
    <mergeCell ref="J164:L164"/>
    <mergeCell ref="M164:O164"/>
    <mergeCell ref="C169:E169"/>
    <mergeCell ref="F169:I169"/>
    <mergeCell ref="J169:L169"/>
    <mergeCell ref="M169:O169"/>
    <mergeCell ref="C170:E170"/>
    <mergeCell ref="F170:I170"/>
    <mergeCell ref="J170:L170"/>
    <mergeCell ref="M170:O170"/>
    <mergeCell ref="C167:E167"/>
    <mergeCell ref="F167:I167"/>
    <mergeCell ref="J167:L167"/>
    <mergeCell ref="M167:O167"/>
    <mergeCell ref="C168:E168"/>
    <mergeCell ref="F168:I168"/>
    <mergeCell ref="J168:L168"/>
    <mergeCell ref="M168:O168"/>
    <mergeCell ref="C173:E173"/>
    <mergeCell ref="F173:I173"/>
    <mergeCell ref="J173:L173"/>
    <mergeCell ref="M173:O173"/>
    <mergeCell ref="C174:E174"/>
    <mergeCell ref="F174:I174"/>
    <mergeCell ref="J174:L174"/>
    <mergeCell ref="M174:O174"/>
    <mergeCell ref="C171:E171"/>
    <mergeCell ref="F171:I171"/>
    <mergeCell ref="J171:L171"/>
    <mergeCell ref="M171:O171"/>
    <mergeCell ref="C172:E172"/>
    <mergeCell ref="F172:I172"/>
    <mergeCell ref="J172:L172"/>
    <mergeCell ref="M172:O172"/>
    <mergeCell ref="C177:E177"/>
    <mergeCell ref="F177:I177"/>
    <mergeCell ref="J177:L177"/>
    <mergeCell ref="M177:O177"/>
    <mergeCell ref="C178:E178"/>
    <mergeCell ref="F178:I178"/>
    <mergeCell ref="J178:L178"/>
    <mergeCell ref="M178:O178"/>
    <mergeCell ref="C175:E175"/>
    <mergeCell ref="F175:I175"/>
    <mergeCell ref="J175:L175"/>
    <mergeCell ref="M175:O175"/>
    <mergeCell ref="C176:E176"/>
    <mergeCell ref="F176:I176"/>
    <mergeCell ref="J176:L176"/>
    <mergeCell ref="M176:O176"/>
    <mergeCell ref="C181:E181"/>
    <mergeCell ref="F181:I181"/>
    <mergeCell ref="J181:L181"/>
    <mergeCell ref="M181:O181"/>
    <mergeCell ref="B182:O182"/>
    <mergeCell ref="C183:K183"/>
    <mergeCell ref="M183:O183"/>
    <mergeCell ref="C179:E179"/>
    <mergeCell ref="F179:I179"/>
    <mergeCell ref="J179:L179"/>
    <mergeCell ref="M179:O179"/>
    <mergeCell ref="C180:E180"/>
    <mergeCell ref="F180:I180"/>
    <mergeCell ref="J180:L180"/>
    <mergeCell ref="M180:O180"/>
    <mergeCell ref="M189:O189"/>
    <mergeCell ref="J190:K190"/>
    <mergeCell ref="M190:O190"/>
    <mergeCell ref="C184:I185"/>
    <mergeCell ref="J184:K184"/>
    <mergeCell ref="M184:O184"/>
    <mergeCell ref="J185:K185"/>
    <mergeCell ref="M185:O185"/>
    <mergeCell ref="C186:I188"/>
    <mergeCell ref="J186:K186"/>
    <mergeCell ref="M186:O186"/>
    <mergeCell ref="J187:K187"/>
    <mergeCell ref="M187:O187"/>
    <mergeCell ref="B1:E1"/>
    <mergeCell ref="K1:O1"/>
    <mergeCell ref="F1:J1"/>
    <mergeCell ref="B198:G199"/>
    <mergeCell ref="J198:K198"/>
    <mergeCell ref="J199:K199"/>
    <mergeCell ref="M199:N199"/>
    <mergeCell ref="C194:K194"/>
    <mergeCell ref="M194:O194"/>
    <mergeCell ref="C195:K195"/>
    <mergeCell ref="M195:O195"/>
    <mergeCell ref="C196:K196"/>
    <mergeCell ref="M196:O196"/>
    <mergeCell ref="C191:I193"/>
    <mergeCell ref="J191:K191"/>
    <mergeCell ref="M191:O191"/>
    <mergeCell ref="J192:K192"/>
    <mergeCell ref="M192:O192"/>
    <mergeCell ref="J193:K193"/>
    <mergeCell ref="M193:O193"/>
    <mergeCell ref="J188:K188"/>
    <mergeCell ref="M188:O188"/>
    <mergeCell ref="C189:I190"/>
    <mergeCell ref="J189:K189"/>
  </mergeCells>
  <dataValidations disablePrompts="1" count="1">
    <dataValidation allowBlank="1" showErrorMessage="1" promptTitle="&quot;Теплый&quot; чердак" prompt="Отметьте, если вентиляция выведена в чердачное помещение" sqref="C22"/>
  </dataValidations>
  <hyperlinks>
    <hyperlink ref="K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K1:M1" r:id="rId2" tooltip="http://fondgkh.ru/finances/finansovaya-podderzhka-kapitalnogo-remonta-v-2017-godu/pomoshhnik-ekr/" display="открыть руководство пользователя…"/>
  </hyperlinks>
  <pageMargins left="0.23622047244094491" right="0.23622047244094491" top="0.55118110236220474" bottom="0.35433070866141736" header="0.31496062992125984" footer="0.31496062992125984"/>
  <pageSetup paperSize="9" scale="69" fitToHeight="0" orientation="landscape" r:id="rId3"/>
  <rowBreaks count="6" manualBreakCount="6">
    <brk id="34" min="1" max="14" man="1"/>
    <brk id="76" min="1" max="14" man="1"/>
    <brk id="99" min="1" max="14" man="1"/>
    <brk id="138" min="1" max="14" man="1"/>
    <brk id="155" min="1" max="14" man="1"/>
    <brk id="181"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0" tint="-0.499984740745262"/>
    <pageSetUpPr fitToPage="1"/>
  </sheetPr>
  <dimension ref="A1:WVM89"/>
  <sheetViews>
    <sheetView showGridLines="0" showRowColHeaders="0" zoomScaleNormal="100" zoomScaleSheetLayoutView="90" workbookViewId="0">
      <pane ySplit="1" topLeftCell="A2" activePane="bottomLeft" state="frozen"/>
      <selection pane="bottomLeft" activeCell="E5" sqref="E5"/>
    </sheetView>
  </sheetViews>
  <sheetFormatPr defaultColWidth="0" defaultRowHeight="12.75" zeroHeight="1" x14ac:dyDescent="0.2"/>
  <cols>
    <col min="1" max="1" width="7.140625" style="44" customWidth="1"/>
    <col min="2" max="3" width="4.28515625" style="45" customWidth="1"/>
    <col min="4" max="4" width="39" style="46" customWidth="1"/>
    <col min="5" max="5" width="65" style="47" customWidth="1"/>
    <col min="6" max="6" width="7.140625" style="46" customWidth="1"/>
    <col min="7" max="7" width="32.85546875" style="48" hidden="1"/>
    <col min="8" max="8" width="33.5703125" style="48" hidden="1"/>
    <col min="9" max="9" width="28.140625" style="48" hidden="1"/>
    <col min="10" max="256" width="9.140625" style="27" hidden="1"/>
    <col min="257" max="257" width="2.5703125" style="27" hidden="1"/>
    <col min="258" max="259" width="4.28515625" style="27" hidden="1"/>
    <col min="260" max="260" width="39" style="27" hidden="1"/>
    <col min="261" max="261" width="55.7109375" style="27" hidden="1"/>
    <col min="262" max="512" width="9.140625" style="27" hidden="1"/>
    <col min="513" max="513" width="2.5703125" style="27" hidden="1"/>
    <col min="514" max="515" width="4.28515625" style="27" hidden="1"/>
    <col min="516" max="516" width="39" style="27" hidden="1"/>
    <col min="517" max="517" width="55.7109375" style="27" hidden="1"/>
    <col min="518" max="768" width="9.140625" style="27" hidden="1"/>
    <col min="769" max="769" width="2.5703125" style="27" hidden="1"/>
    <col min="770" max="771" width="4.28515625" style="27" hidden="1"/>
    <col min="772" max="772" width="39" style="27" hidden="1"/>
    <col min="773" max="773" width="55.7109375" style="27" hidden="1"/>
    <col min="774" max="1024" width="9.140625" style="27" hidden="1"/>
    <col min="1025" max="1025" width="2.5703125" style="27" hidden="1"/>
    <col min="1026" max="1027" width="4.28515625" style="27" hidden="1"/>
    <col min="1028" max="1028" width="39" style="27" hidden="1"/>
    <col min="1029" max="1029" width="55.7109375" style="27" hidden="1"/>
    <col min="1030" max="1280" width="9.140625" style="27" hidden="1"/>
    <col min="1281" max="1281" width="2.5703125" style="27" hidden="1"/>
    <col min="1282" max="1283" width="4.28515625" style="27" hidden="1"/>
    <col min="1284" max="1284" width="39" style="27" hidden="1"/>
    <col min="1285" max="1285" width="55.7109375" style="27" hidden="1"/>
    <col min="1286" max="1536" width="9.140625" style="27" hidden="1"/>
    <col min="1537" max="1537" width="2.5703125" style="27" hidden="1"/>
    <col min="1538" max="1539" width="4.28515625" style="27" hidden="1"/>
    <col min="1540" max="1540" width="39" style="27" hidden="1"/>
    <col min="1541" max="1541" width="55.7109375" style="27" hidden="1"/>
    <col min="1542" max="1792" width="9.140625" style="27" hidden="1"/>
    <col min="1793" max="1793" width="2.5703125" style="27" hidden="1"/>
    <col min="1794" max="1795" width="4.28515625" style="27" hidden="1"/>
    <col min="1796" max="1796" width="39" style="27" hidden="1"/>
    <col min="1797" max="1797" width="55.7109375" style="27" hidden="1"/>
    <col min="1798" max="2048" width="9.140625" style="27" hidden="1"/>
    <col min="2049" max="2049" width="2.5703125" style="27" hidden="1"/>
    <col min="2050" max="2051" width="4.28515625" style="27" hidden="1"/>
    <col min="2052" max="2052" width="39" style="27" hidden="1"/>
    <col min="2053" max="2053" width="55.7109375" style="27" hidden="1"/>
    <col min="2054" max="2304" width="9.140625" style="27" hidden="1"/>
    <col min="2305" max="2305" width="2.5703125" style="27" hidden="1"/>
    <col min="2306" max="2307" width="4.28515625" style="27" hidden="1"/>
    <col min="2308" max="2308" width="39" style="27" hidden="1"/>
    <col min="2309" max="2309" width="55.7109375" style="27" hidden="1"/>
    <col min="2310" max="2560" width="9.140625" style="27" hidden="1"/>
    <col min="2561" max="2561" width="2.5703125" style="27" hidden="1"/>
    <col min="2562" max="2563" width="4.28515625" style="27" hidden="1"/>
    <col min="2564" max="2564" width="39" style="27" hidden="1"/>
    <col min="2565" max="2565" width="55.7109375" style="27" hidden="1"/>
    <col min="2566" max="2816" width="9.140625" style="27" hidden="1"/>
    <col min="2817" max="2817" width="2.5703125" style="27" hidden="1"/>
    <col min="2818" max="2819" width="4.28515625" style="27" hidden="1"/>
    <col min="2820" max="2820" width="39" style="27" hidden="1"/>
    <col min="2821" max="2821" width="55.7109375" style="27" hidden="1"/>
    <col min="2822" max="3072" width="9.140625" style="27" hidden="1"/>
    <col min="3073" max="3073" width="2.5703125" style="27" hidden="1"/>
    <col min="3074" max="3075" width="4.28515625" style="27" hidden="1"/>
    <col min="3076" max="3076" width="39" style="27" hidden="1"/>
    <col min="3077" max="3077" width="55.7109375" style="27" hidden="1"/>
    <col min="3078" max="3328" width="9.140625" style="27" hidden="1"/>
    <col min="3329" max="3329" width="2.5703125" style="27" hidden="1"/>
    <col min="3330" max="3331" width="4.28515625" style="27" hidden="1"/>
    <col min="3332" max="3332" width="39" style="27" hidden="1"/>
    <col min="3333" max="3333" width="55.7109375" style="27" hidden="1"/>
    <col min="3334" max="3584" width="9.140625" style="27" hidden="1"/>
    <col min="3585" max="3585" width="2.5703125" style="27" hidden="1"/>
    <col min="3586" max="3587" width="4.28515625" style="27" hidden="1"/>
    <col min="3588" max="3588" width="39" style="27" hidden="1"/>
    <col min="3589" max="3589" width="55.7109375" style="27" hidden="1"/>
    <col min="3590" max="3840" width="9.140625" style="27" hidden="1"/>
    <col min="3841" max="3841" width="2.5703125" style="27" hidden="1"/>
    <col min="3842" max="3843" width="4.28515625" style="27" hidden="1"/>
    <col min="3844" max="3844" width="39" style="27" hidden="1"/>
    <col min="3845" max="3845" width="55.7109375" style="27" hidden="1"/>
    <col min="3846" max="4096" width="9.140625" style="27" hidden="1"/>
    <col min="4097" max="4097" width="2.5703125" style="27" hidden="1"/>
    <col min="4098" max="4099" width="4.28515625" style="27" hidden="1"/>
    <col min="4100" max="4100" width="39" style="27" hidden="1"/>
    <col min="4101" max="4101" width="55.7109375" style="27" hidden="1"/>
    <col min="4102" max="4352" width="9.140625" style="27" hidden="1"/>
    <col min="4353" max="4353" width="2.5703125" style="27" hidden="1"/>
    <col min="4354" max="4355" width="4.28515625" style="27" hidden="1"/>
    <col min="4356" max="4356" width="39" style="27" hidden="1"/>
    <col min="4357" max="4357" width="55.7109375" style="27" hidden="1"/>
    <col min="4358" max="4608" width="9.140625" style="27" hidden="1"/>
    <col min="4609" max="4609" width="2.5703125" style="27" hidden="1"/>
    <col min="4610" max="4611" width="4.28515625" style="27" hidden="1"/>
    <col min="4612" max="4612" width="39" style="27" hidden="1"/>
    <col min="4613" max="4613" width="55.7109375" style="27" hidden="1"/>
    <col min="4614" max="4864" width="9.140625" style="27" hidden="1"/>
    <col min="4865" max="4865" width="2.5703125" style="27" hidden="1"/>
    <col min="4866" max="4867" width="4.28515625" style="27" hidden="1"/>
    <col min="4868" max="4868" width="39" style="27" hidden="1"/>
    <col min="4869" max="4869" width="55.7109375" style="27" hidden="1"/>
    <col min="4870" max="5120" width="9.140625" style="27" hidden="1"/>
    <col min="5121" max="5121" width="2.5703125" style="27" hidden="1"/>
    <col min="5122" max="5123" width="4.28515625" style="27" hidden="1"/>
    <col min="5124" max="5124" width="39" style="27" hidden="1"/>
    <col min="5125" max="5125" width="55.7109375" style="27" hidden="1"/>
    <col min="5126" max="5376" width="9.140625" style="27" hidden="1"/>
    <col min="5377" max="5377" width="2.5703125" style="27" hidden="1"/>
    <col min="5378" max="5379" width="4.28515625" style="27" hidden="1"/>
    <col min="5380" max="5380" width="39" style="27" hidden="1"/>
    <col min="5381" max="5381" width="55.7109375" style="27" hidden="1"/>
    <col min="5382" max="5632" width="9.140625" style="27" hidden="1"/>
    <col min="5633" max="5633" width="2.5703125" style="27" hidden="1"/>
    <col min="5634" max="5635" width="4.28515625" style="27" hidden="1"/>
    <col min="5636" max="5636" width="39" style="27" hidden="1"/>
    <col min="5637" max="5637" width="55.7109375" style="27" hidden="1"/>
    <col min="5638" max="5888" width="9.140625" style="27" hidden="1"/>
    <col min="5889" max="5889" width="2.5703125" style="27" hidden="1"/>
    <col min="5890" max="5891" width="4.28515625" style="27" hidden="1"/>
    <col min="5892" max="5892" width="39" style="27" hidden="1"/>
    <col min="5893" max="5893" width="55.7109375" style="27" hidden="1"/>
    <col min="5894" max="6144" width="9.140625" style="27" hidden="1"/>
    <col min="6145" max="6145" width="2.5703125" style="27" hidden="1"/>
    <col min="6146" max="6147" width="4.28515625" style="27" hidden="1"/>
    <col min="6148" max="6148" width="39" style="27" hidden="1"/>
    <col min="6149" max="6149" width="55.7109375" style="27" hidden="1"/>
    <col min="6150" max="6400" width="9.140625" style="27" hidden="1"/>
    <col min="6401" max="6401" width="2.5703125" style="27" hidden="1"/>
    <col min="6402" max="6403" width="4.28515625" style="27" hidden="1"/>
    <col min="6404" max="6404" width="39" style="27" hidden="1"/>
    <col min="6405" max="6405" width="55.7109375" style="27" hidden="1"/>
    <col min="6406" max="6656" width="9.140625" style="27" hidden="1"/>
    <col min="6657" max="6657" width="2.5703125" style="27" hidden="1"/>
    <col min="6658" max="6659" width="4.28515625" style="27" hidden="1"/>
    <col min="6660" max="6660" width="39" style="27" hidden="1"/>
    <col min="6661" max="6661" width="55.7109375" style="27" hidden="1"/>
    <col min="6662" max="6912" width="9.140625" style="27" hidden="1"/>
    <col min="6913" max="6913" width="2.5703125" style="27" hidden="1"/>
    <col min="6914" max="6915" width="4.28515625" style="27" hidden="1"/>
    <col min="6916" max="6916" width="39" style="27" hidden="1"/>
    <col min="6917" max="6917" width="55.7109375" style="27" hidden="1"/>
    <col min="6918" max="7168" width="9.140625" style="27" hidden="1"/>
    <col min="7169" max="7169" width="2.5703125" style="27" hidden="1"/>
    <col min="7170" max="7171" width="4.28515625" style="27" hidden="1"/>
    <col min="7172" max="7172" width="39" style="27" hidden="1"/>
    <col min="7173" max="7173" width="55.7109375" style="27" hidden="1"/>
    <col min="7174" max="7424" width="9.140625" style="27" hidden="1"/>
    <col min="7425" max="7425" width="2.5703125" style="27" hidden="1"/>
    <col min="7426" max="7427" width="4.28515625" style="27" hidden="1"/>
    <col min="7428" max="7428" width="39" style="27" hidden="1"/>
    <col min="7429" max="7429" width="55.7109375" style="27" hidden="1"/>
    <col min="7430" max="7680" width="9.140625" style="27" hidden="1"/>
    <col min="7681" max="7681" width="2.5703125" style="27" hidden="1"/>
    <col min="7682" max="7683" width="4.28515625" style="27" hidden="1"/>
    <col min="7684" max="7684" width="39" style="27" hidden="1"/>
    <col min="7685" max="7685" width="55.7109375" style="27" hidden="1"/>
    <col min="7686" max="7936" width="9.140625" style="27" hidden="1"/>
    <col min="7937" max="7937" width="2.5703125" style="27" hidden="1"/>
    <col min="7938" max="7939" width="4.28515625" style="27" hidden="1"/>
    <col min="7940" max="7940" width="39" style="27" hidden="1"/>
    <col min="7941" max="7941" width="55.7109375" style="27" hidden="1"/>
    <col min="7942" max="8192" width="9.140625" style="27" hidden="1"/>
    <col min="8193" max="8193" width="2.5703125" style="27" hidden="1"/>
    <col min="8194" max="8195" width="4.28515625" style="27" hidden="1"/>
    <col min="8196" max="8196" width="39" style="27" hidden="1"/>
    <col min="8197" max="8197" width="55.7109375" style="27" hidden="1"/>
    <col min="8198" max="8448" width="9.140625" style="27" hidden="1"/>
    <col min="8449" max="8449" width="2.5703125" style="27" hidden="1"/>
    <col min="8450" max="8451" width="4.28515625" style="27" hidden="1"/>
    <col min="8452" max="8452" width="39" style="27" hidden="1"/>
    <col min="8453" max="8453" width="55.7109375" style="27" hidden="1"/>
    <col min="8454" max="8704" width="9.140625" style="27" hidden="1"/>
    <col min="8705" max="8705" width="2.5703125" style="27" hidden="1"/>
    <col min="8706" max="8707" width="4.28515625" style="27" hidden="1"/>
    <col min="8708" max="8708" width="39" style="27" hidden="1"/>
    <col min="8709" max="8709" width="55.7109375" style="27" hidden="1"/>
    <col min="8710" max="8960" width="9.140625" style="27" hidden="1"/>
    <col min="8961" max="8961" width="2.5703125" style="27" hidden="1"/>
    <col min="8962" max="8963" width="4.28515625" style="27" hidden="1"/>
    <col min="8964" max="8964" width="39" style="27" hidden="1"/>
    <col min="8965" max="8965" width="55.7109375" style="27" hidden="1"/>
    <col min="8966" max="9216" width="9.140625" style="27" hidden="1"/>
    <col min="9217" max="9217" width="2.5703125" style="27" hidden="1"/>
    <col min="9218" max="9219" width="4.28515625" style="27" hidden="1"/>
    <col min="9220" max="9220" width="39" style="27" hidden="1"/>
    <col min="9221" max="9221" width="55.7109375" style="27" hidden="1"/>
    <col min="9222" max="9472" width="9.140625" style="27" hidden="1"/>
    <col min="9473" max="9473" width="2.5703125" style="27" hidden="1"/>
    <col min="9474" max="9475" width="4.28515625" style="27" hidden="1"/>
    <col min="9476" max="9476" width="39" style="27" hidden="1"/>
    <col min="9477" max="9477" width="55.7109375" style="27" hidden="1"/>
    <col min="9478" max="9728" width="9.140625" style="27" hidden="1"/>
    <col min="9729" max="9729" width="2.5703125" style="27" hidden="1"/>
    <col min="9730" max="9731" width="4.28515625" style="27" hidden="1"/>
    <col min="9732" max="9732" width="39" style="27" hidden="1"/>
    <col min="9733" max="9733" width="55.7109375" style="27" hidden="1"/>
    <col min="9734" max="9984" width="9.140625" style="27" hidden="1"/>
    <col min="9985" max="9985" width="2.5703125" style="27" hidden="1"/>
    <col min="9986" max="9987" width="4.28515625" style="27" hidden="1"/>
    <col min="9988" max="9988" width="39" style="27" hidden="1"/>
    <col min="9989" max="9989" width="55.7109375" style="27" hidden="1"/>
    <col min="9990" max="10240" width="9.140625" style="27" hidden="1"/>
    <col min="10241" max="10241" width="2.5703125" style="27" hidden="1"/>
    <col min="10242" max="10243" width="4.28515625" style="27" hidden="1"/>
    <col min="10244" max="10244" width="39" style="27" hidden="1"/>
    <col min="10245" max="10245" width="55.7109375" style="27" hidden="1"/>
    <col min="10246" max="10496" width="9.140625" style="27" hidden="1"/>
    <col min="10497" max="10497" width="2.5703125" style="27" hidden="1"/>
    <col min="10498" max="10499" width="4.28515625" style="27" hidden="1"/>
    <col min="10500" max="10500" width="39" style="27" hidden="1"/>
    <col min="10501" max="10501" width="55.7109375" style="27" hidden="1"/>
    <col min="10502" max="10752" width="9.140625" style="27" hidden="1"/>
    <col min="10753" max="10753" width="2.5703125" style="27" hidden="1"/>
    <col min="10754" max="10755" width="4.28515625" style="27" hidden="1"/>
    <col min="10756" max="10756" width="39" style="27" hidden="1"/>
    <col min="10757" max="10757" width="55.7109375" style="27" hidden="1"/>
    <col min="10758" max="11008" width="9.140625" style="27" hidden="1"/>
    <col min="11009" max="11009" width="2.5703125" style="27" hidden="1"/>
    <col min="11010" max="11011" width="4.28515625" style="27" hidden="1"/>
    <col min="11012" max="11012" width="39" style="27" hidden="1"/>
    <col min="11013" max="11013" width="55.7109375" style="27" hidden="1"/>
    <col min="11014" max="11264" width="9.140625" style="27" hidden="1"/>
    <col min="11265" max="11265" width="2.5703125" style="27" hidden="1"/>
    <col min="11266" max="11267" width="4.28515625" style="27" hidden="1"/>
    <col min="11268" max="11268" width="39" style="27" hidden="1"/>
    <col min="11269" max="11269" width="55.7109375" style="27" hidden="1"/>
    <col min="11270" max="11520" width="9.140625" style="27" hidden="1"/>
    <col min="11521" max="11521" width="2.5703125" style="27" hidden="1"/>
    <col min="11522" max="11523" width="4.28515625" style="27" hidden="1"/>
    <col min="11524" max="11524" width="39" style="27" hidden="1"/>
    <col min="11525" max="11525" width="55.7109375" style="27" hidden="1"/>
    <col min="11526" max="11776" width="9.140625" style="27" hidden="1"/>
    <col min="11777" max="11777" width="2.5703125" style="27" hidden="1"/>
    <col min="11778" max="11779" width="4.28515625" style="27" hidden="1"/>
    <col min="11780" max="11780" width="39" style="27" hidden="1"/>
    <col min="11781" max="11781" width="55.7109375" style="27" hidden="1"/>
    <col min="11782" max="12032" width="9.140625" style="27" hidden="1"/>
    <col min="12033" max="12033" width="2.5703125" style="27" hidden="1"/>
    <col min="12034" max="12035" width="4.28515625" style="27" hidden="1"/>
    <col min="12036" max="12036" width="39" style="27" hidden="1"/>
    <col min="12037" max="12037" width="55.7109375" style="27" hidden="1"/>
    <col min="12038" max="12288" width="9.140625" style="27" hidden="1"/>
    <col min="12289" max="12289" width="2.5703125" style="27" hidden="1"/>
    <col min="12290" max="12291" width="4.28515625" style="27" hidden="1"/>
    <col min="12292" max="12292" width="39" style="27" hidden="1"/>
    <col min="12293" max="12293" width="55.7109375" style="27" hidden="1"/>
    <col min="12294" max="12544" width="9.140625" style="27" hidden="1"/>
    <col min="12545" max="12545" width="2.5703125" style="27" hidden="1"/>
    <col min="12546" max="12547" width="4.28515625" style="27" hidden="1"/>
    <col min="12548" max="12548" width="39" style="27" hidden="1"/>
    <col min="12549" max="12549" width="55.7109375" style="27" hidden="1"/>
    <col min="12550" max="12800" width="9.140625" style="27" hidden="1"/>
    <col min="12801" max="12801" width="2.5703125" style="27" hidden="1"/>
    <col min="12802" max="12803" width="4.28515625" style="27" hidden="1"/>
    <col min="12804" max="12804" width="39" style="27" hidden="1"/>
    <col min="12805" max="12805" width="55.7109375" style="27" hidden="1"/>
    <col min="12806" max="13056" width="9.140625" style="27" hidden="1"/>
    <col min="13057" max="13057" width="2.5703125" style="27" hidden="1"/>
    <col min="13058" max="13059" width="4.28515625" style="27" hidden="1"/>
    <col min="13060" max="13060" width="39" style="27" hidden="1"/>
    <col min="13061" max="13061" width="55.7109375" style="27" hidden="1"/>
    <col min="13062" max="13312" width="9.140625" style="27" hidden="1"/>
    <col min="13313" max="13313" width="2.5703125" style="27" hidden="1"/>
    <col min="13314" max="13315" width="4.28515625" style="27" hidden="1"/>
    <col min="13316" max="13316" width="39" style="27" hidden="1"/>
    <col min="13317" max="13317" width="55.7109375" style="27" hidden="1"/>
    <col min="13318" max="13568" width="9.140625" style="27" hidden="1"/>
    <col min="13569" max="13569" width="2.5703125" style="27" hidden="1"/>
    <col min="13570" max="13571" width="4.28515625" style="27" hidden="1"/>
    <col min="13572" max="13572" width="39" style="27" hidden="1"/>
    <col min="13573" max="13573" width="55.7109375" style="27" hidden="1"/>
    <col min="13574" max="13824" width="9.140625" style="27" hidden="1"/>
    <col min="13825" max="13825" width="2.5703125" style="27" hidden="1"/>
    <col min="13826" max="13827" width="4.28515625" style="27" hidden="1"/>
    <col min="13828" max="13828" width="39" style="27" hidden="1"/>
    <col min="13829" max="13829" width="55.7109375" style="27" hidden="1"/>
    <col min="13830" max="14080" width="9.140625" style="27" hidden="1"/>
    <col min="14081" max="14081" width="2.5703125" style="27" hidden="1"/>
    <col min="14082" max="14083" width="4.28515625" style="27" hidden="1"/>
    <col min="14084" max="14084" width="39" style="27" hidden="1"/>
    <col min="14085" max="14085" width="55.7109375" style="27" hidden="1"/>
    <col min="14086" max="14336" width="9.140625" style="27" hidden="1"/>
    <col min="14337" max="14337" width="2.5703125" style="27" hidden="1"/>
    <col min="14338" max="14339" width="4.28515625" style="27" hidden="1"/>
    <col min="14340" max="14340" width="39" style="27" hidden="1"/>
    <col min="14341" max="14341" width="55.7109375" style="27" hidden="1"/>
    <col min="14342" max="14592" width="9.140625" style="27" hidden="1"/>
    <col min="14593" max="14593" width="2.5703125" style="27" hidden="1"/>
    <col min="14594" max="14595" width="4.28515625" style="27" hidden="1"/>
    <col min="14596" max="14596" width="39" style="27" hidden="1"/>
    <col min="14597" max="14597" width="55.7109375" style="27" hidden="1"/>
    <col min="14598" max="14848" width="9.140625" style="27" hidden="1"/>
    <col min="14849" max="14849" width="2.5703125" style="27" hidden="1"/>
    <col min="14850" max="14851" width="4.28515625" style="27" hidden="1"/>
    <col min="14852" max="14852" width="39" style="27" hidden="1"/>
    <col min="14853" max="14853" width="55.7109375" style="27" hidden="1"/>
    <col min="14854" max="15104" width="9.140625" style="27" hidden="1"/>
    <col min="15105" max="15105" width="2.5703125" style="27" hidden="1"/>
    <col min="15106" max="15107" width="4.28515625" style="27" hidden="1"/>
    <col min="15108" max="15108" width="39" style="27" hidden="1"/>
    <col min="15109" max="15109" width="55.7109375" style="27" hidden="1"/>
    <col min="15110" max="15360" width="9.140625" style="27" hidden="1"/>
    <col min="15361" max="15361" width="2.5703125" style="27" hidden="1"/>
    <col min="15362" max="15363" width="4.28515625" style="27" hidden="1"/>
    <col min="15364" max="15364" width="39" style="27" hidden="1"/>
    <col min="15365" max="15365" width="55.7109375" style="27" hidden="1"/>
    <col min="15366" max="15616" width="9.140625" style="27" hidden="1"/>
    <col min="15617" max="15617" width="2.5703125" style="27" hidden="1"/>
    <col min="15618" max="15619" width="4.28515625" style="27" hidden="1"/>
    <col min="15620" max="15620" width="39" style="27" hidden="1"/>
    <col min="15621" max="15621" width="55.7109375" style="27" hidden="1"/>
    <col min="15622" max="15872" width="9.140625" style="27" hidden="1"/>
    <col min="15873" max="15873" width="2.5703125" style="27" hidden="1"/>
    <col min="15874" max="15875" width="4.28515625" style="27" hidden="1"/>
    <col min="15876" max="15876" width="39" style="27" hidden="1"/>
    <col min="15877" max="15877" width="55.7109375" style="27" hidden="1"/>
    <col min="15878" max="16128" width="9.140625" style="27" hidden="1"/>
    <col min="16129" max="16129" width="2.5703125" style="27" hidden="1"/>
    <col min="16130" max="16131" width="4.28515625" style="27" hidden="1"/>
    <col min="16132" max="16132" width="39" style="27" hidden="1"/>
    <col min="16133" max="16133" width="55.7109375" style="27" hidden="1"/>
    <col min="16134" max="16384" width="9.140625" style="27" hidden="1"/>
  </cols>
  <sheetData>
    <row r="1" spans="1:26" s="25" customFormat="1" ht="15" customHeight="1" x14ac:dyDescent="0.2">
      <c r="A1" s="22"/>
      <c r="B1" s="2091" t="s">
        <v>1573</v>
      </c>
      <c r="C1" s="2091"/>
      <c r="D1" s="2091"/>
      <c r="E1" s="1299" t="s">
        <v>1571</v>
      </c>
      <c r="F1" s="23"/>
      <c r="G1" s="24"/>
      <c r="H1" s="24"/>
      <c r="I1" s="24"/>
    </row>
    <row r="2" spans="1:26" ht="53.25" customHeight="1" x14ac:dyDescent="0.2">
      <c r="A2" s="26"/>
      <c r="B2" s="2432" t="s">
        <v>1726</v>
      </c>
      <c r="C2" s="2432"/>
      <c r="D2" s="2432"/>
      <c r="E2" s="2432"/>
      <c r="F2" s="26"/>
      <c r="G2" s="26"/>
      <c r="H2" s="26"/>
      <c r="I2" s="26"/>
      <c r="J2" s="26"/>
      <c r="K2" s="26"/>
      <c r="L2" s="26"/>
      <c r="M2" s="26"/>
      <c r="N2" s="26"/>
      <c r="O2" s="26"/>
      <c r="P2" s="26"/>
      <c r="Q2" s="26"/>
      <c r="R2" s="26"/>
      <c r="S2" s="26"/>
      <c r="T2" s="26"/>
      <c r="U2" s="26"/>
      <c r="V2" s="26"/>
      <c r="W2" s="26"/>
      <c r="X2" s="26"/>
      <c r="Y2" s="26"/>
      <c r="Z2" s="26"/>
    </row>
    <row r="3" spans="1:26" ht="70.5" customHeight="1" x14ac:dyDescent="0.2">
      <c r="A3" s="26"/>
      <c r="B3" s="2433" t="s">
        <v>1727</v>
      </c>
      <c r="C3" s="2433"/>
      <c r="D3" s="2433"/>
      <c r="E3" s="2433"/>
      <c r="F3" s="26"/>
      <c r="G3" s="26"/>
      <c r="H3" s="26"/>
      <c r="I3" s="26"/>
      <c r="J3" s="26"/>
      <c r="K3" s="26"/>
      <c r="L3" s="26"/>
      <c r="M3" s="26"/>
      <c r="N3" s="26"/>
      <c r="O3" s="26"/>
      <c r="P3" s="26"/>
      <c r="Q3" s="26"/>
      <c r="R3" s="26"/>
      <c r="S3" s="26"/>
      <c r="T3" s="26"/>
      <c r="U3" s="26"/>
      <c r="V3" s="26"/>
      <c r="W3" s="26"/>
      <c r="X3" s="26"/>
      <c r="Y3" s="26"/>
      <c r="Z3" s="26"/>
    </row>
    <row r="4" spans="1:26" s="28" customFormat="1" ht="18.75" customHeight="1" x14ac:dyDescent="0.2">
      <c r="A4" s="26"/>
      <c r="B4" s="2434" t="s">
        <v>1574</v>
      </c>
      <c r="C4" s="2435"/>
      <c r="D4" s="2435"/>
      <c r="E4" s="2436"/>
      <c r="F4" s="26"/>
      <c r="G4" s="26"/>
      <c r="H4" s="26"/>
      <c r="I4" s="26"/>
      <c r="J4" s="26"/>
      <c r="K4" s="26"/>
      <c r="L4" s="26"/>
      <c r="M4" s="26"/>
      <c r="N4" s="26"/>
      <c r="O4" s="26"/>
      <c r="P4" s="26"/>
      <c r="Q4" s="26"/>
      <c r="R4" s="26"/>
      <c r="S4" s="26"/>
      <c r="T4" s="26"/>
      <c r="U4" s="26"/>
      <c r="V4" s="26"/>
      <c r="W4" s="26"/>
      <c r="X4" s="26"/>
      <c r="Y4" s="26"/>
      <c r="Z4" s="26"/>
    </row>
    <row r="5" spans="1:26" s="28" customFormat="1" ht="15" customHeight="1" x14ac:dyDescent="0.2">
      <c r="A5" s="26"/>
      <c r="B5" s="2437" t="s">
        <v>1575</v>
      </c>
      <c r="C5" s="2438"/>
      <c r="D5" s="2439"/>
      <c r="E5" s="29"/>
      <c r="F5" s="26"/>
      <c r="G5" s="26" t="s">
        <v>0</v>
      </c>
      <c r="H5" s="26" t="s">
        <v>1576</v>
      </c>
      <c r="I5" s="26" t="s">
        <v>1577</v>
      </c>
      <c r="J5" s="26"/>
      <c r="K5" s="26"/>
      <c r="L5" s="26"/>
      <c r="M5" s="26"/>
      <c r="N5" s="26"/>
      <c r="O5" s="26"/>
      <c r="P5" s="26"/>
      <c r="Q5" s="26"/>
      <c r="R5" s="26"/>
      <c r="S5" s="26"/>
      <c r="T5" s="26"/>
      <c r="U5" s="26"/>
      <c r="V5" s="26"/>
      <c r="W5" s="26"/>
      <c r="X5" s="26"/>
      <c r="Y5" s="26"/>
      <c r="Z5" s="26"/>
    </row>
    <row r="6" spans="1:26" s="28" customFormat="1" ht="15" customHeight="1" x14ac:dyDescent="0.2">
      <c r="A6" s="26"/>
      <c r="B6" s="2429" t="s">
        <v>1578</v>
      </c>
      <c r="C6" s="2430"/>
      <c r="D6" s="2431"/>
      <c r="E6" s="30"/>
      <c r="F6" s="26"/>
      <c r="G6" s="26" t="s">
        <v>13</v>
      </c>
      <c r="H6" s="26" t="s">
        <v>1579</v>
      </c>
      <c r="I6" s="26" t="s">
        <v>1580</v>
      </c>
      <c r="J6" s="26"/>
      <c r="K6" s="26"/>
      <c r="L6" s="26"/>
      <c r="M6" s="26"/>
      <c r="N6" s="26"/>
      <c r="O6" s="26"/>
      <c r="P6" s="26"/>
      <c r="Q6" s="26"/>
      <c r="R6" s="26"/>
      <c r="S6" s="26"/>
      <c r="T6" s="26"/>
      <c r="U6" s="26"/>
      <c r="V6" s="26"/>
      <c r="W6" s="26"/>
      <c r="X6" s="26"/>
      <c r="Y6" s="26"/>
      <c r="Z6" s="26"/>
    </row>
    <row r="7" spans="1:26" s="28" customFormat="1" ht="15" customHeight="1" x14ac:dyDescent="0.2">
      <c r="A7" s="26"/>
      <c r="B7" s="2429" t="s">
        <v>1581</v>
      </c>
      <c r="C7" s="2430"/>
      <c r="D7" s="2431"/>
      <c r="E7" s="30"/>
      <c r="F7" s="26"/>
      <c r="G7" s="26" t="s">
        <v>36</v>
      </c>
      <c r="H7" s="26" t="s">
        <v>1582</v>
      </c>
      <c r="I7" s="26" t="s">
        <v>1583</v>
      </c>
      <c r="J7" s="26"/>
      <c r="K7" s="26"/>
      <c r="L7" s="26"/>
      <c r="M7" s="26"/>
      <c r="N7" s="26"/>
      <c r="O7" s="26"/>
      <c r="P7" s="26"/>
      <c r="Q7" s="26"/>
      <c r="R7" s="26"/>
      <c r="S7" s="26"/>
      <c r="T7" s="26"/>
      <c r="U7" s="26"/>
      <c r="V7" s="26"/>
      <c r="W7" s="26"/>
      <c r="X7" s="26"/>
      <c r="Y7" s="26"/>
      <c r="Z7" s="26"/>
    </row>
    <row r="8" spans="1:26" s="28" customFormat="1" ht="15" customHeight="1" x14ac:dyDescent="0.2">
      <c r="A8" s="26"/>
      <c r="B8" s="2429" t="s">
        <v>1584</v>
      </c>
      <c r="C8" s="2430"/>
      <c r="D8" s="2431"/>
      <c r="E8" s="31"/>
      <c r="F8" s="26"/>
      <c r="G8" s="26" t="s">
        <v>44</v>
      </c>
      <c r="H8" s="26" t="s">
        <v>1585</v>
      </c>
      <c r="I8" s="26" t="s">
        <v>1586</v>
      </c>
      <c r="J8" s="26"/>
      <c r="K8" s="26"/>
      <c r="L8" s="26"/>
      <c r="M8" s="26"/>
      <c r="N8" s="26"/>
      <c r="O8" s="26"/>
      <c r="P8" s="26"/>
      <c r="Q8" s="26"/>
      <c r="R8" s="26"/>
      <c r="S8" s="26"/>
      <c r="T8" s="26"/>
      <c r="U8" s="26"/>
      <c r="V8" s="26"/>
      <c r="W8" s="26"/>
      <c r="X8" s="26"/>
      <c r="Y8" s="26"/>
      <c r="Z8" s="26"/>
    </row>
    <row r="9" spans="1:26" s="28" customFormat="1" ht="15" customHeight="1" x14ac:dyDescent="0.2">
      <c r="A9" s="26"/>
      <c r="B9" s="2429" t="s">
        <v>1587</v>
      </c>
      <c r="C9" s="2430"/>
      <c r="D9" s="2431"/>
      <c r="E9" s="30"/>
      <c r="F9" s="26"/>
      <c r="G9" s="26" t="s">
        <v>47</v>
      </c>
      <c r="H9" s="26" t="s">
        <v>1588</v>
      </c>
      <c r="I9" s="26"/>
      <c r="J9" s="26"/>
      <c r="K9" s="26"/>
      <c r="L9" s="26"/>
      <c r="M9" s="26"/>
      <c r="N9" s="26"/>
      <c r="O9" s="26"/>
      <c r="P9" s="26"/>
      <c r="Q9" s="26"/>
      <c r="R9" s="26"/>
      <c r="S9" s="26"/>
      <c r="T9" s="26"/>
      <c r="U9" s="26"/>
      <c r="V9" s="26"/>
      <c r="W9" s="26"/>
      <c r="X9" s="26"/>
      <c r="Y9" s="26"/>
      <c r="Z9" s="26"/>
    </row>
    <row r="10" spans="1:26" s="28" customFormat="1" ht="15" customHeight="1" x14ac:dyDescent="0.2">
      <c r="A10" s="26"/>
      <c r="B10" s="2429" t="s">
        <v>1589</v>
      </c>
      <c r="C10" s="2430"/>
      <c r="D10" s="2431"/>
      <c r="E10" s="30"/>
      <c r="F10" s="26"/>
      <c r="G10" s="26" t="s">
        <v>50</v>
      </c>
      <c r="H10" s="26" t="s">
        <v>1590</v>
      </c>
      <c r="I10" s="26"/>
      <c r="J10" s="26"/>
      <c r="K10" s="26"/>
      <c r="L10" s="26"/>
      <c r="M10" s="26"/>
      <c r="N10" s="26"/>
      <c r="O10" s="26"/>
      <c r="P10" s="26"/>
      <c r="Q10" s="26"/>
      <c r="R10" s="26"/>
      <c r="S10" s="26"/>
      <c r="T10" s="26"/>
      <c r="U10" s="26"/>
      <c r="V10" s="26"/>
      <c r="W10" s="26"/>
      <c r="X10" s="26"/>
      <c r="Y10" s="26"/>
      <c r="Z10" s="26"/>
    </row>
    <row r="11" spans="1:26" s="28" customFormat="1" ht="15" customHeight="1" x14ac:dyDescent="0.2">
      <c r="A11" s="26"/>
      <c r="B11" s="2429" t="s">
        <v>1591</v>
      </c>
      <c r="C11" s="2430"/>
      <c r="D11" s="2431"/>
      <c r="E11" s="30"/>
      <c r="F11" s="26"/>
      <c r="G11" s="26" t="s">
        <v>409</v>
      </c>
      <c r="H11" s="26"/>
      <c r="I11" s="26"/>
      <c r="J11" s="26"/>
      <c r="K11" s="26"/>
      <c r="L11" s="26"/>
      <c r="M11" s="26"/>
      <c r="N11" s="26"/>
      <c r="O11" s="26"/>
      <c r="P11" s="26"/>
      <c r="Q11" s="26"/>
      <c r="R11" s="26"/>
      <c r="S11" s="26"/>
      <c r="T11" s="26"/>
      <c r="U11" s="26"/>
      <c r="V11" s="26"/>
      <c r="W11" s="26"/>
      <c r="X11" s="26"/>
      <c r="Y11" s="26"/>
      <c r="Z11" s="26"/>
    </row>
    <row r="12" spans="1:26" s="28" customFormat="1" ht="15" customHeight="1" x14ac:dyDescent="0.2">
      <c r="A12" s="26"/>
      <c r="B12" s="2429" t="s">
        <v>1592</v>
      </c>
      <c r="C12" s="2430"/>
      <c r="D12" s="2431"/>
      <c r="E12" s="30"/>
      <c r="F12" s="26"/>
      <c r="G12" s="26" t="s">
        <v>293</v>
      </c>
      <c r="H12" s="26"/>
      <c r="I12" s="26"/>
      <c r="J12" s="26"/>
      <c r="K12" s="26"/>
      <c r="L12" s="26"/>
      <c r="M12" s="26"/>
      <c r="N12" s="26"/>
      <c r="O12" s="26"/>
      <c r="P12" s="26"/>
      <c r="Q12" s="26"/>
      <c r="R12" s="26"/>
      <c r="S12" s="26"/>
      <c r="T12" s="26"/>
      <c r="U12" s="26"/>
      <c r="V12" s="26"/>
      <c r="W12" s="26"/>
      <c r="X12" s="26"/>
      <c r="Y12" s="26"/>
      <c r="Z12" s="26"/>
    </row>
    <row r="13" spans="1:26" s="28" customFormat="1" ht="22.5" customHeight="1" x14ac:dyDescent="0.2">
      <c r="A13" s="26"/>
      <c r="B13" s="2440"/>
      <c r="C13" s="2441"/>
      <c r="D13" s="2442"/>
      <c r="E13" s="32"/>
      <c r="F13" s="26"/>
      <c r="G13" s="26" t="s">
        <v>419</v>
      </c>
      <c r="H13" s="26"/>
      <c r="I13" s="26"/>
      <c r="J13" s="26"/>
      <c r="K13" s="26"/>
      <c r="L13" s="26"/>
      <c r="M13" s="26"/>
      <c r="N13" s="26"/>
      <c r="O13" s="26"/>
      <c r="P13" s="26"/>
      <c r="Q13" s="26"/>
      <c r="R13" s="26"/>
      <c r="S13" s="26"/>
      <c r="T13" s="26"/>
      <c r="U13" s="26"/>
      <c r="V13" s="26"/>
      <c r="W13" s="26"/>
      <c r="X13" s="26"/>
      <c r="Y13" s="26"/>
      <c r="Z13" s="26"/>
    </row>
    <row r="14" spans="1:26" s="28" customFormat="1" ht="18.75" customHeight="1" x14ac:dyDescent="0.2">
      <c r="A14" s="26"/>
      <c r="B14" s="2434" t="s">
        <v>1728</v>
      </c>
      <c r="C14" s="2435"/>
      <c r="D14" s="2435"/>
      <c r="E14" s="2436"/>
      <c r="F14" s="26"/>
      <c r="G14" s="26" t="s">
        <v>422</v>
      </c>
      <c r="H14" s="26"/>
      <c r="I14" s="26"/>
      <c r="J14" s="26"/>
      <c r="K14" s="26"/>
      <c r="L14" s="26"/>
      <c r="M14" s="26"/>
      <c r="N14" s="26"/>
      <c r="O14" s="26"/>
      <c r="P14" s="26"/>
      <c r="Q14" s="26"/>
      <c r="R14" s="26"/>
      <c r="S14" s="26"/>
      <c r="T14" s="26"/>
      <c r="U14" s="26"/>
      <c r="V14" s="26"/>
      <c r="W14" s="26"/>
      <c r="X14" s="26"/>
      <c r="Y14" s="26"/>
      <c r="Z14" s="26"/>
    </row>
    <row r="15" spans="1:26" ht="26.25" customHeight="1" x14ac:dyDescent="0.2">
      <c r="A15" s="26"/>
      <c r="B15" s="33" t="s">
        <v>1593</v>
      </c>
      <c r="C15" s="2393" t="s">
        <v>1729</v>
      </c>
      <c r="D15" s="2393"/>
      <c r="E15" s="2394"/>
      <c r="F15" s="26"/>
      <c r="G15" s="26" t="s">
        <v>1618</v>
      </c>
      <c r="H15" s="26"/>
      <c r="I15" s="26"/>
      <c r="J15" s="26"/>
      <c r="K15" s="26"/>
      <c r="L15" s="26"/>
      <c r="M15" s="26"/>
      <c r="N15" s="26"/>
      <c r="O15" s="26"/>
      <c r="P15" s="26"/>
      <c r="Q15" s="26"/>
      <c r="R15" s="26"/>
      <c r="S15" s="26"/>
      <c r="T15" s="26"/>
      <c r="U15" s="26"/>
      <c r="V15" s="26"/>
      <c r="W15" s="26"/>
      <c r="X15" s="26"/>
      <c r="Y15" s="26"/>
      <c r="Z15" s="26"/>
    </row>
    <row r="16" spans="1:26" ht="15" customHeight="1" x14ac:dyDescent="0.2">
      <c r="A16" s="26"/>
      <c r="B16" s="34" t="s">
        <v>1594</v>
      </c>
      <c r="C16" s="35"/>
      <c r="D16" s="2395" t="s">
        <v>1595</v>
      </c>
      <c r="E16" s="2396"/>
      <c r="F16" s="26"/>
      <c r="G16" s="26" t="s">
        <v>1652</v>
      </c>
      <c r="H16" s="26"/>
      <c r="I16" s="26"/>
      <c r="J16" s="26"/>
      <c r="K16" s="26"/>
      <c r="L16" s="26"/>
      <c r="M16" s="26"/>
      <c r="N16" s="26"/>
      <c r="O16" s="26"/>
      <c r="P16" s="26"/>
      <c r="Q16" s="26"/>
      <c r="R16" s="26"/>
      <c r="S16" s="26"/>
      <c r="T16" s="26"/>
      <c r="U16" s="26"/>
      <c r="V16" s="26"/>
      <c r="W16" s="26"/>
      <c r="X16" s="26"/>
      <c r="Y16" s="26"/>
      <c r="Z16" s="26"/>
    </row>
    <row r="17" spans="1:26" ht="15" customHeight="1" x14ac:dyDescent="0.2">
      <c r="A17" s="26"/>
      <c r="B17" s="36" t="s">
        <v>1596</v>
      </c>
      <c r="C17" s="37"/>
      <c r="D17" s="2397" t="s">
        <v>1597</v>
      </c>
      <c r="E17" s="2398"/>
      <c r="F17" s="26"/>
      <c r="G17" s="26" t="s">
        <v>1654</v>
      </c>
      <c r="H17" s="26"/>
      <c r="I17" s="26"/>
      <c r="J17" s="26"/>
      <c r="K17" s="26"/>
      <c r="L17" s="26"/>
      <c r="M17" s="26"/>
      <c r="N17" s="26"/>
      <c r="O17" s="26"/>
      <c r="P17" s="26"/>
      <c r="Q17" s="26"/>
      <c r="R17" s="26"/>
      <c r="S17" s="26"/>
      <c r="T17" s="26"/>
      <c r="U17" s="26"/>
      <c r="V17" s="26"/>
      <c r="W17" s="26"/>
      <c r="X17" s="26"/>
      <c r="Y17" s="26"/>
      <c r="Z17" s="26"/>
    </row>
    <row r="18" spans="1:26" ht="15" customHeight="1" x14ac:dyDescent="0.2">
      <c r="A18" s="26"/>
      <c r="B18" s="36" t="s">
        <v>1598</v>
      </c>
      <c r="C18" s="37"/>
      <c r="D18" s="2397" t="s">
        <v>1599</v>
      </c>
      <c r="E18" s="2398"/>
      <c r="F18" s="26"/>
      <c r="G18" s="26" t="s">
        <v>95</v>
      </c>
      <c r="H18" s="26"/>
      <c r="I18" s="26"/>
      <c r="J18" s="26"/>
      <c r="K18" s="26"/>
      <c r="L18" s="26"/>
      <c r="M18" s="26"/>
      <c r="N18" s="26"/>
      <c r="O18" s="26"/>
      <c r="P18" s="26"/>
      <c r="Q18" s="26"/>
      <c r="R18" s="26"/>
      <c r="S18" s="26"/>
      <c r="T18" s="26"/>
      <c r="U18" s="26"/>
      <c r="V18" s="26"/>
      <c r="W18" s="26"/>
      <c r="X18" s="26"/>
      <c r="Y18" s="26"/>
      <c r="Z18" s="26"/>
    </row>
    <row r="19" spans="1:26" ht="15" customHeight="1" x14ac:dyDescent="0.2">
      <c r="A19" s="26"/>
      <c r="B19" s="2403" t="s">
        <v>1600</v>
      </c>
      <c r="C19" s="2412"/>
      <c r="D19" s="2397" t="s">
        <v>1601</v>
      </c>
      <c r="E19" s="2398"/>
      <c r="F19" s="26"/>
      <c r="G19" s="26" t="s">
        <v>255</v>
      </c>
      <c r="H19" s="26"/>
      <c r="I19" s="26"/>
      <c r="J19" s="26"/>
      <c r="K19" s="26"/>
      <c r="L19" s="26"/>
      <c r="M19" s="26"/>
      <c r="N19" s="26"/>
      <c r="O19" s="26"/>
      <c r="P19" s="26"/>
      <c r="Q19" s="26"/>
      <c r="R19" s="26"/>
      <c r="S19" s="26"/>
      <c r="T19" s="26"/>
      <c r="U19" s="26"/>
      <c r="V19" s="26"/>
      <c r="W19" s="26"/>
      <c r="X19" s="26"/>
      <c r="Y19" s="26"/>
      <c r="Z19" s="26"/>
    </row>
    <row r="20" spans="1:26" ht="22.5" customHeight="1" x14ac:dyDescent="0.2">
      <c r="A20" s="26"/>
      <c r="B20" s="2404"/>
      <c r="C20" s="2413"/>
      <c r="D20" s="2419"/>
      <c r="E20" s="2420"/>
      <c r="F20" s="26"/>
      <c r="G20" s="26" t="s">
        <v>91</v>
      </c>
      <c r="H20" s="26"/>
      <c r="I20" s="26"/>
      <c r="J20" s="26"/>
      <c r="K20" s="26"/>
      <c r="L20" s="26"/>
      <c r="M20" s="26"/>
      <c r="N20" s="26"/>
      <c r="O20" s="26"/>
      <c r="P20" s="26"/>
      <c r="Q20" s="26"/>
      <c r="R20" s="26"/>
      <c r="S20" s="26"/>
      <c r="T20" s="26"/>
      <c r="U20" s="26"/>
      <c r="V20" s="26"/>
      <c r="W20" s="26"/>
      <c r="X20" s="26"/>
      <c r="Y20" s="26"/>
      <c r="Z20" s="26"/>
    </row>
    <row r="21" spans="1:26" ht="26.25" customHeight="1" x14ac:dyDescent="0.2">
      <c r="A21" s="26"/>
      <c r="B21" s="33" t="s">
        <v>1602</v>
      </c>
      <c r="C21" s="2393" t="s">
        <v>1730</v>
      </c>
      <c r="D21" s="2393"/>
      <c r="E21" s="2394"/>
      <c r="F21" s="26"/>
      <c r="G21" s="26" t="s">
        <v>71</v>
      </c>
      <c r="H21" s="26"/>
      <c r="I21" s="26"/>
      <c r="J21" s="26"/>
      <c r="K21" s="26"/>
      <c r="L21" s="26"/>
      <c r="M21" s="26"/>
      <c r="N21" s="26"/>
      <c r="O21" s="26"/>
      <c r="P21" s="26"/>
      <c r="Q21" s="26"/>
      <c r="R21" s="26"/>
      <c r="S21" s="26"/>
      <c r="T21" s="26"/>
      <c r="U21" s="26"/>
      <c r="V21" s="26"/>
      <c r="W21" s="26"/>
      <c r="X21" s="26"/>
      <c r="Y21" s="26"/>
      <c r="Z21" s="26"/>
    </row>
    <row r="22" spans="1:26" ht="14.25" customHeight="1" x14ac:dyDescent="0.2">
      <c r="A22" s="26"/>
      <c r="B22" s="34" t="s">
        <v>1594</v>
      </c>
      <c r="C22" s="35"/>
      <c r="D22" s="2395" t="s">
        <v>1603</v>
      </c>
      <c r="E22" s="2396"/>
      <c r="F22" s="26"/>
      <c r="G22" s="26" t="s">
        <v>614</v>
      </c>
      <c r="H22" s="26"/>
      <c r="I22" s="26"/>
      <c r="J22" s="26"/>
      <c r="K22" s="26"/>
      <c r="L22" s="26"/>
      <c r="M22" s="26"/>
      <c r="N22" s="26"/>
      <c r="O22" s="26"/>
      <c r="P22" s="26"/>
      <c r="Q22" s="26"/>
      <c r="R22" s="26"/>
      <c r="S22" s="26"/>
      <c r="T22" s="26"/>
      <c r="U22" s="26"/>
      <c r="V22" s="26"/>
      <c r="W22" s="26"/>
      <c r="X22" s="26"/>
      <c r="Y22" s="26"/>
      <c r="Z22" s="26"/>
    </row>
    <row r="23" spans="1:26" ht="14.25" customHeight="1" x14ac:dyDescent="0.2">
      <c r="A23" s="26"/>
      <c r="B23" s="36" t="s">
        <v>1596</v>
      </c>
      <c r="C23" s="37"/>
      <c r="D23" s="2397" t="s">
        <v>1605</v>
      </c>
      <c r="E23" s="2398"/>
      <c r="F23" s="26"/>
      <c r="G23" s="26" t="s">
        <v>100</v>
      </c>
      <c r="H23" s="26"/>
      <c r="I23" s="26"/>
      <c r="J23" s="26"/>
      <c r="K23" s="26"/>
      <c r="L23" s="26"/>
      <c r="M23" s="26"/>
      <c r="N23" s="26"/>
      <c r="O23" s="26"/>
      <c r="P23" s="26"/>
      <c r="Q23" s="26"/>
      <c r="R23" s="26"/>
      <c r="S23" s="26"/>
      <c r="T23" s="26"/>
      <c r="U23" s="26"/>
      <c r="V23" s="26"/>
      <c r="W23" s="26"/>
      <c r="X23" s="26"/>
      <c r="Y23" s="26"/>
      <c r="Z23" s="26"/>
    </row>
    <row r="24" spans="1:26" ht="14.25" customHeight="1" x14ac:dyDescent="0.2">
      <c r="A24" s="26"/>
      <c r="B24" s="36" t="s">
        <v>1598</v>
      </c>
      <c r="C24" s="37"/>
      <c r="D24" s="2397" t="s">
        <v>1606</v>
      </c>
      <c r="E24" s="2398"/>
      <c r="F24" s="26"/>
      <c r="G24" s="26" t="s">
        <v>102</v>
      </c>
      <c r="H24" s="26"/>
      <c r="I24" s="26"/>
      <c r="J24" s="26"/>
      <c r="K24" s="26"/>
      <c r="L24" s="26"/>
      <c r="M24" s="26"/>
      <c r="N24" s="26"/>
      <c r="O24" s="26"/>
      <c r="P24" s="26"/>
      <c r="Q24" s="26"/>
      <c r="R24" s="26"/>
      <c r="S24" s="26"/>
      <c r="T24" s="26"/>
      <c r="U24" s="26"/>
      <c r="V24" s="26"/>
      <c r="W24" s="26"/>
      <c r="X24" s="26"/>
      <c r="Y24" s="26"/>
      <c r="Z24" s="26"/>
    </row>
    <row r="25" spans="1:26" ht="14.25" customHeight="1" x14ac:dyDescent="0.2">
      <c r="A25" s="26"/>
      <c r="B25" s="36" t="s">
        <v>1600</v>
      </c>
      <c r="C25" s="37"/>
      <c r="D25" s="2397" t="s">
        <v>1607</v>
      </c>
      <c r="E25" s="2398"/>
      <c r="F25" s="26"/>
      <c r="G25" s="26" t="s">
        <v>1604</v>
      </c>
      <c r="H25" s="26"/>
      <c r="I25" s="26"/>
      <c r="J25" s="26"/>
      <c r="K25" s="26"/>
      <c r="L25" s="26"/>
      <c r="M25" s="26"/>
      <c r="N25" s="26"/>
      <c r="O25" s="26"/>
      <c r="P25" s="26"/>
      <c r="Q25" s="26"/>
      <c r="R25" s="26"/>
      <c r="S25" s="26"/>
      <c r="T25" s="26"/>
      <c r="U25" s="26"/>
      <c r="V25" s="26"/>
      <c r="W25" s="26"/>
      <c r="X25" s="26"/>
      <c r="Y25" s="26"/>
      <c r="Z25" s="26"/>
    </row>
    <row r="26" spans="1:26" ht="14.25" customHeight="1" x14ac:dyDescent="0.2">
      <c r="A26" s="26"/>
      <c r="B26" s="36" t="s">
        <v>1608</v>
      </c>
      <c r="C26" s="37"/>
      <c r="D26" s="2397" t="s">
        <v>1609</v>
      </c>
      <c r="E26" s="2398"/>
      <c r="F26" s="26"/>
      <c r="G26" s="26" t="s">
        <v>616</v>
      </c>
      <c r="H26" s="26"/>
      <c r="I26" s="26"/>
      <c r="J26" s="26"/>
      <c r="K26" s="26"/>
      <c r="L26" s="26"/>
      <c r="M26" s="26"/>
      <c r="N26" s="26"/>
      <c r="O26" s="26"/>
      <c r="P26" s="26"/>
      <c r="Q26" s="26"/>
      <c r="R26" s="26"/>
      <c r="S26" s="26"/>
      <c r="T26" s="26"/>
      <c r="U26" s="26"/>
      <c r="V26" s="26"/>
      <c r="W26" s="26"/>
      <c r="X26" s="26"/>
      <c r="Y26" s="26"/>
      <c r="Z26" s="26"/>
    </row>
    <row r="27" spans="1:26" ht="14.25" customHeight="1" x14ac:dyDescent="0.2">
      <c r="A27" s="26"/>
      <c r="B27" s="38" t="s">
        <v>1610</v>
      </c>
      <c r="C27" s="39"/>
      <c r="D27" s="2408" t="s">
        <v>1601</v>
      </c>
      <c r="E27" s="2409"/>
      <c r="F27" s="26"/>
      <c r="G27" s="26" t="s">
        <v>113</v>
      </c>
      <c r="H27" s="26"/>
      <c r="I27" s="26"/>
      <c r="J27" s="26"/>
      <c r="K27" s="26"/>
      <c r="L27" s="26"/>
      <c r="M27" s="26"/>
      <c r="N27" s="26"/>
      <c r="O27" s="26"/>
      <c r="P27" s="26"/>
      <c r="Q27" s="26"/>
      <c r="R27" s="26"/>
      <c r="S27" s="26"/>
      <c r="T27" s="26"/>
      <c r="U27" s="26"/>
      <c r="V27" s="26"/>
      <c r="W27" s="26"/>
      <c r="X27" s="26"/>
      <c r="Y27" s="26"/>
      <c r="Z27" s="26"/>
    </row>
    <row r="28" spans="1:26" ht="26.25" customHeight="1" x14ac:dyDescent="0.2">
      <c r="A28" s="26"/>
      <c r="B28" s="33" t="s">
        <v>1611</v>
      </c>
      <c r="C28" s="2393" t="s">
        <v>1612</v>
      </c>
      <c r="D28" s="2393"/>
      <c r="E28" s="2394"/>
      <c r="F28" s="26"/>
      <c r="G28" s="26" t="s">
        <v>142</v>
      </c>
      <c r="H28" s="26"/>
      <c r="I28" s="26"/>
      <c r="J28" s="26"/>
      <c r="K28" s="26"/>
      <c r="L28" s="26"/>
      <c r="M28" s="26"/>
      <c r="N28" s="26"/>
      <c r="O28" s="26"/>
      <c r="P28" s="26"/>
      <c r="Q28" s="26"/>
      <c r="R28" s="26"/>
      <c r="S28" s="26"/>
      <c r="T28" s="26"/>
      <c r="U28" s="26"/>
      <c r="V28" s="26"/>
      <c r="W28" s="26"/>
      <c r="X28" s="26"/>
      <c r="Y28" s="26"/>
      <c r="Z28" s="26"/>
    </row>
    <row r="29" spans="1:26" ht="15" customHeight="1" x14ac:dyDescent="0.2">
      <c r="A29" s="26"/>
      <c r="B29" s="34" t="s">
        <v>1594</v>
      </c>
      <c r="C29" s="35"/>
      <c r="D29" s="2395" t="s">
        <v>1613</v>
      </c>
      <c r="E29" s="2396"/>
      <c r="F29" s="26"/>
      <c r="G29" s="26" t="s">
        <v>155</v>
      </c>
      <c r="H29" s="26"/>
      <c r="I29" s="26"/>
      <c r="J29" s="26"/>
      <c r="K29" s="26"/>
      <c r="L29" s="26"/>
      <c r="M29" s="26"/>
      <c r="N29" s="26"/>
      <c r="O29" s="26"/>
      <c r="P29" s="26"/>
      <c r="Q29" s="26"/>
      <c r="R29" s="26"/>
      <c r="S29" s="26"/>
      <c r="T29" s="26"/>
      <c r="U29" s="26"/>
      <c r="V29" s="26"/>
      <c r="W29" s="26"/>
      <c r="X29" s="26"/>
      <c r="Y29" s="26"/>
      <c r="Z29" s="26"/>
    </row>
    <row r="30" spans="1:26" ht="15" customHeight="1" x14ac:dyDescent="0.2">
      <c r="A30" s="26"/>
      <c r="B30" s="36" t="s">
        <v>1596</v>
      </c>
      <c r="C30" s="37"/>
      <c r="D30" s="2397" t="s">
        <v>1614</v>
      </c>
      <c r="E30" s="2398"/>
      <c r="F30" s="26"/>
      <c r="G30" s="26" t="s">
        <v>159</v>
      </c>
      <c r="H30" s="26"/>
      <c r="I30" s="26"/>
      <c r="J30" s="26"/>
      <c r="K30" s="26"/>
      <c r="L30" s="26"/>
      <c r="M30" s="26"/>
      <c r="N30" s="26"/>
      <c r="O30" s="26"/>
      <c r="P30" s="26"/>
      <c r="Q30" s="26"/>
      <c r="R30" s="26"/>
      <c r="S30" s="26"/>
      <c r="T30" s="26"/>
      <c r="U30" s="26"/>
      <c r="V30" s="26"/>
      <c r="W30" s="26"/>
      <c r="X30" s="26"/>
      <c r="Y30" s="26"/>
      <c r="Z30" s="26"/>
    </row>
    <row r="31" spans="1:26" ht="15" customHeight="1" x14ac:dyDescent="0.2">
      <c r="A31" s="26"/>
      <c r="B31" s="36" t="s">
        <v>1598</v>
      </c>
      <c r="C31" s="37"/>
      <c r="D31" s="2397" t="s">
        <v>1615</v>
      </c>
      <c r="E31" s="2398"/>
      <c r="F31" s="26"/>
      <c r="G31" s="26" t="s">
        <v>165</v>
      </c>
      <c r="H31" s="26"/>
      <c r="I31" s="26"/>
      <c r="J31" s="26"/>
      <c r="K31" s="26"/>
      <c r="L31" s="26"/>
      <c r="M31" s="26"/>
      <c r="N31" s="26"/>
      <c r="O31" s="26"/>
      <c r="P31" s="26"/>
      <c r="Q31" s="26"/>
      <c r="R31" s="26"/>
      <c r="S31" s="26"/>
      <c r="T31" s="26"/>
      <c r="U31" s="26"/>
      <c r="V31" s="26"/>
      <c r="W31" s="26"/>
      <c r="X31" s="26"/>
      <c r="Y31" s="26"/>
      <c r="Z31" s="26"/>
    </row>
    <row r="32" spans="1:26" ht="15" customHeight="1" x14ac:dyDescent="0.2">
      <c r="A32" s="26"/>
      <c r="B32" s="38" t="s">
        <v>1600</v>
      </c>
      <c r="C32" s="39"/>
      <c r="D32" s="2408" t="s">
        <v>1616</v>
      </c>
      <c r="E32" s="2409"/>
      <c r="F32" s="26"/>
      <c r="G32" s="26" t="s">
        <v>182</v>
      </c>
      <c r="H32" s="26"/>
      <c r="I32" s="26"/>
      <c r="J32" s="26"/>
      <c r="K32" s="26"/>
      <c r="L32" s="26"/>
      <c r="M32" s="26"/>
      <c r="N32" s="26"/>
      <c r="O32" s="26"/>
      <c r="P32" s="26"/>
      <c r="Q32" s="26"/>
      <c r="R32" s="26"/>
      <c r="S32" s="26"/>
      <c r="T32" s="26"/>
      <c r="U32" s="26"/>
      <c r="V32" s="26"/>
      <c r="W32" s="26"/>
      <c r="X32" s="26"/>
      <c r="Y32" s="26"/>
      <c r="Z32" s="26"/>
    </row>
    <row r="33" spans="1:26" ht="26.25" customHeight="1" x14ac:dyDescent="0.2">
      <c r="A33" s="26"/>
      <c r="B33" s="40" t="s">
        <v>1617</v>
      </c>
      <c r="C33" s="2393" t="s">
        <v>1731</v>
      </c>
      <c r="D33" s="2393"/>
      <c r="E33" s="2394"/>
      <c r="F33" s="26"/>
      <c r="G33" s="26" t="s">
        <v>49</v>
      </c>
      <c r="H33" s="26"/>
      <c r="I33" s="26"/>
      <c r="J33" s="26"/>
      <c r="K33" s="26"/>
      <c r="L33" s="26"/>
      <c r="M33" s="26"/>
      <c r="N33" s="26"/>
      <c r="O33" s="26"/>
      <c r="P33" s="26"/>
      <c r="Q33" s="26"/>
      <c r="R33" s="26"/>
      <c r="S33" s="26"/>
      <c r="T33" s="26"/>
      <c r="U33" s="26"/>
      <c r="V33" s="26"/>
      <c r="W33" s="26"/>
      <c r="X33" s="26"/>
      <c r="Y33" s="26"/>
      <c r="Z33" s="26"/>
    </row>
    <row r="34" spans="1:26" ht="15" customHeight="1" x14ac:dyDescent="0.2">
      <c r="A34" s="26"/>
      <c r="B34" s="34" t="s">
        <v>1594</v>
      </c>
      <c r="C34" s="35"/>
      <c r="D34" s="2395" t="s">
        <v>1738</v>
      </c>
      <c r="E34" s="2396"/>
      <c r="F34" s="26"/>
      <c r="G34" s="26" t="s">
        <v>185</v>
      </c>
      <c r="H34" s="26"/>
      <c r="I34" s="26"/>
      <c r="J34" s="26"/>
      <c r="K34" s="26"/>
      <c r="L34" s="26"/>
      <c r="M34" s="26"/>
      <c r="N34" s="26"/>
      <c r="O34" s="26"/>
      <c r="P34" s="26"/>
      <c r="Q34" s="26"/>
      <c r="R34" s="26"/>
      <c r="S34" s="26"/>
      <c r="T34" s="26"/>
      <c r="U34" s="26"/>
      <c r="V34" s="26"/>
      <c r="W34" s="26"/>
      <c r="X34" s="26"/>
      <c r="Y34" s="26"/>
      <c r="Z34" s="26"/>
    </row>
    <row r="35" spans="1:26" ht="15" customHeight="1" x14ac:dyDescent="0.2">
      <c r="A35" s="26"/>
      <c r="B35" s="36" t="s">
        <v>1596</v>
      </c>
      <c r="C35" s="37"/>
      <c r="D35" s="2397" t="s">
        <v>1619</v>
      </c>
      <c r="E35" s="2398"/>
      <c r="F35" s="26"/>
      <c r="G35" s="26" t="s">
        <v>188</v>
      </c>
      <c r="H35" s="26"/>
      <c r="I35" s="26"/>
      <c r="J35" s="26"/>
      <c r="K35" s="26"/>
      <c r="L35" s="26"/>
      <c r="M35" s="26"/>
      <c r="N35" s="26"/>
      <c r="O35" s="26"/>
      <c r="P35" s="26"/>
      <c r="Q35" s="26"/>
      <c r="R35" s="26"/>
      <c r="S35" s="26"/>
      <c r="T35" s="26"/>
      <c r="U35" s="26"/>
      <c r="V35" s="26"/>
      <c r="W35" s="26"/>
      <c r="X35" s="26"/>
      <c r="Y35" s="26"/>
      <c r="Z35" s="26"/>
    </row>
    <row r="36" spans="1:26" ht="15" customHeight="1" x14ac:dyDescent="0.2">
      <c r="A36" s="26"/>
      <c r="B36" s="36" t="s">
        <v>1598</v>
      </c>
      <c r="C36" s="37"/>
      <c r="D36" s="2397" t="s">
        <v>1620</v>
      </c>
      <c r="E36" s="2398"/>
      <c r="F36" s="26"/>
      <c r="G36" s="26" t="s">
        <v>190</v>
      </c>
      <c r="H36" s="26"/>
      <c r="I36" s="26"/>
      <c r="J36" s="26"/>
      <c r="K36" s="26"/>
      <c r="L36" s="26"/>
      <c r="M36" s="26"/>
      <c r="N36" s="26"/>
      <c r="O36" s="26"/>
      <c r="P36" s="26"/>
      <c r="Q36" s="26"/>
      <c r="R36" s="26"/>
      <c r="S36" s="26"/>
      <c r="T36" s="26"/>
      <c r="U36" s="26"/>
      <c r="V36" s="26"/>
      <c r="W36" s="26"/>
      <c r="X36" s="26"/>
      <c r="Y36" s="26"/>
      <c r="Z36" s="26"/>
    </row>
    <row r="37" spans="1:26" ht="15" customHeight="1" x14ac:dyDescent="0.2">
      <c r="A37" s="26"/>
      <c r="B37" s="38" t="s">
        <v>1600</v>
      </c>
      <c r="C37" s="39"/>
      <c r="D37" s="2421" t="s">
        <v>1739</v>
      </c>
      <c r="E37" s="2422"/>
      <c r="F37" s="26"/>
      <c r="G37" s="26" t="s">
        <v>52</v>
      </c>
      <c r="H37" s="26"/>
      <c r="I37" s="26"/>
      <c r="J37" s="26"/>
      <c r="K37" s="26"/>
      <c r="L37" s="26"/>
      <c r="M37" s="26"/>
      <c r="N37" s="26"/>
      <c r="O37" s="26"/>
      <c r="P37" s="26"/>
      <c r="Q37" s="26"/>
      <c r="R37" s="26"/>
      <c r="S37" s="26"/>
      <c r="T37" s="26"/>
      <c r="U37" s="26"/>
      <c r="V37" s="26"/>
      <c r="W37" s="26"/>
      <c r="X37" s="26"/>
      <c r="Y37" s="26"/>
      <c r="Z37" s="26"/>
    </row>
    <row r="38" spans="1:26" ht="26.25" customHeight="1" x14ac:dyDescent="0.2">
      <c r="A38" s="26"/>
      <c r="B38" s="40" t="s">
        <v>1622</v>
      </c>
      <c r="C38" s="2393" t="s">
        <v>1732</v>
      </c>
      <c r="D38" s="2393"/>
      <c r="E38" s="2394"/>
      <c r="F38" s="26"/>
      <c r="G38" s="26" t="s">
        <v>202</v>
      </c>
      <c r="H38" s="26"/>
      <c r="I38" s="26"/>
      <c r="J38" s="26"/>
      <c r="K38" s="26"/>
      <c r="L38" s="26"/>
      <c r="M38" s="26"/>
      <c r="N38" s="26"/>
      <c r="O38" s="26"/>
      <c r="P38" s="26"/>
      <c r="Q38" s="26"/>
      <c r="R38" s="26"/>
      <c r="S38" s="26"/>
      <c r="T38" s="26"/>
      <c r="U38" s="26"/>
      <c r="V38" s="26"/>
      <c r="W38" s="26"/>
      <c r="X38" s="26"/>
      <c r="Y38" s="26"/>
      <c r="Z38" s="26"/>
    </row>
    <row r="39" spans="1:26" ht="15" customHeight="1" x14ac:dyDescent="0.2">
      <c r="A39" s="26"/>
      <c r="B39" s="34" t="s">
        <v>1594</v>
      </c>
      <c r="C39" s="35"/>
      <c r="D39" s="2427" t="s">
        <v>1623</v>
      </c>
      <c r="E39" s="2428"/>
      <c r="F39" s="26"/>
      <c r="G39" s="26" t="s">
        <v>1621</v>
      </c>
      <c r="H39" s="26"/>
      <c r="I39" s="26"/>
      <c r="J39" s="26"/>
      <c r="K39" s="26"/>
      <c r="L39" s="26"/>
      <c r="M39" s="26"/>
      <c r="N39" s="26"/>
      <c r="O39" s="26"/>
      <c r="P39" s="26"/>
      <c r="Q39" s="26"/>
      <c r="R39" s="26"/>
      <c r="S39" s="26"/>
      <c r="T39" s="26"/>
      <c r="U39" s="26"/>
      <c r="V39" s="26"/>
      <c r="W39" s="26"/>
      <c r="X39" s="26"/>
      <c r="Y39" s="26"/>
      <c r="Z39" s="26"/>
    </row>
    <row r="40" spans="1:26" ht="15" customHeight="1" x14ac:dyDescent="0.2">
      <c r="A40" s="26"/>
      <c r="B40" s="2410" t="s">
        <v>1596</v>
      </c>
      <c r="C40" s="2412"/>
      <c r="D40" s="2401" t="s">
        <v>1624</v>
      </c>
      <c r="E40" s="2402"/>
      <c r="F40" s="26"/>
      <c r="G40" s="26" t="s">
        <v>67</v>
      </c>
      <c r="H40" s="26"/>
      <c r="I40" s="26"/>
      <c r="J40" s="26"/>
      <c r="K40" s="26"/>
      <c r="L40" s="26"/>
      <c r="M40" s="26"/>
      <c r="N40" s="26"/>
      <c r="O40" s="26"/>
      <c r="P40" s="26"/>
      <c r="Q40" s="26"/>
      <c r="R40" s="26"/>
      <c r="S40" s="26"/>
      <c r="T40" s="26"/>
      <c r="U40" s="26"/>
      <c r="V40" s="26"/>
      <c r="W40" s="26"/>
      <c r="X40" s="26"/>
      <c r="Y40" s="26"/>
      <c r="Z40" s="26"/>
    </row>
    <row r="41" spans="1:26" ht="22.5" customHeight="1" x14ac:dyDescent="0.2">
      <c r="A41" s="26"/>
      <c r="B41" s="2423"/>
      <c r="C41" s="2424"/>
      <c r="D41" s="2425"/>
      <c r="E41" s="2426"/>
      <c r="F41" s="26"/>
      <c r="G41" s="26" t="s">
        <v>226</v>
      </c>
      <c r="H41" s="26"/>
      <c r="I41" s="26"/>
      <c r="J41" s="26"/>
      <c r="K41" s="26"/>
      <c r="L41" s="26"/>
      <c r="M41" s="26"/>
      <c r="N41" s="26"/>
      <c r="O41" s="26"/>
      <c r="P41" s="26"/>
      <c r="Q41" s="26"/>
      <c r="R41" s="26"/>
      <c r="S41" s="26"/>
      <c r="T41" s="26"/>
      <c r="U41" s="26"/>
      <c r="V41" s="26"/>
      <c r="W41" s="26"/>
      <c r="X41" s="26"/>
      <c r="Y41" s="26"/>
      <c r="Z41" s="26"/>
    </row>
    <row r="42" spans="1:26" ht="15" customHeight="1" x14ac:dyDescent="0.2">
      <c r="A42" s="26"/>
      <c r="B42" s="41" t="s">
        <v>1598</v>
      </c>
      <c r="C42" s="42"/>
      <c r="D42" s="2401" t="s">
        <v>1625</v>
      </c>
      <c r="E42" s="2402"/>
      <c r="F42" s="26"/>
      <c r="G42" s="26" t="s">
        <v>229</v>
      </c>
      <c r="H42" s="26"/>
      <c r="I42" s="26"/>
      <c r="J42" s="26"/>
      <c r="K42" s="26"/>
      <c r="L42" s="26"/>
      <c r="M42" s="26"/>
      <c r="N42" s="26"/>
      <c r="O42" s="26"/>
      <c r="P42" s="26"/>
      <c r="Q42" s="26"/>
      <c r="R42" s="26"/>
      <c r="S42" s="26"/>
      <c r="T42" s="26"/>
      <c r="U42" s="26"/>
      <c r="V42" s="26"/>
      <c r="W42" s="26"/>
      <c r="X42" s="26"/>
      <c r="Y42" s="26"/>
      <c r="Z42" s="26"/>
    </row>
    <row r="43" spans="1:26" ht="15" customHeight="1" x14ac:dyDescent="0.2">
      <c r="A43" s="26"/>
      <c r="B43" s="36" t="s">
        <v>1600</v>
      </c>
      <c r="C43" s="37"/>
      <c r="D43" s="2401" t="s">
        <v>1626</v>
      </c>
      <c r="E43" s="2402"/>
      <c r="F43" s="26"/>
      <c r="G43" s="26" t="s">
        <v>238</v>
      </c>
      <c r="H43" s="26"/>
      <c r="I43" s="26"/>
      <c r="J43" s="26"/>
      <c r="K43" s="26"/>
      <c r="L43" s="26"/>
      <c r="M43" s="26"/>
      <c r="N43" s="26"/>
      <c r="O43" s="26"/>
      <c r="P43" s="26"/>
      <c r="Q43" s="26"/>
      <c r="R43" s="26"/>
      <c r="S43" s="26"/>
      <c r="T43" s="26"/>
      <c r="U43" s="26"/>
      <c r="V43" s="26"/>
      <c r="W43" s="26"/>
      <c r="X43" s="26"/>
      <c r="Y43" s="26"/>
      <c r="Z43" s="26"/>
    </row>
    <row r="44" spans="1:26" ht="15" customHeight="1" x14ac:dyDescent="0.2">
      <c r="A44" s="26"/>
      <c r="B44" s="2403" t="s">
        <v>1608</v>
      </c>
      <c r="C44" s="2405"/>
      <c r="D44" s="2417" t="s">
        <v>1601</v>
      </c>
      <c r="E44" s="2418"/>
      <c r="F44" s="26"/>
      <c r="G44" s="26" t="s">
        <v>242</v>
      </c>
      <c r="H44" s="26"/>
      <c r="I44" s="26"/>
      <c r="J44" s="26"/>
      <c r="K44" s="26"/>
      <c r="L44" s="26"/>
      <c r="M44" s="26"/>
      <c r="N44" s="26"/>
      <c r="O44" s="26"/>
      <c r="P44" s="26"/>
      <c r="Q44" s="26"/>
      <c r="R44" s="26"/>
      <c r="S44" s="26"/>
      <c r="T44" s="26"/>
      <c r="U44" s="26"/>
      <c r="V44" s="26"/>
      <c r="W44" s="26"/>
      <c r="X44" s="26"/>
      <c r="Y44" s="26"/>
      <c r="Z44" s="26"/>
    </row>
    <row r="45" spans="1:26" ht="22.5" customHeight="1" x14ac:dyDescent="0.2">
      <c r="A45" s="26"/>
      <c r="B45" s="2404"/>
      <c r="C45" s="2416"/>
      <c r="D45" s="2419"/>
      <c r="E45" s="2420"/>
      <c r="F45" s="26"/>
      <c r="G45" s="26" t="s">
        <v>246</v>
      </c>
      <c r="H45" s="26"/>
      <c r="I45" s="26"/>
      <c r="J45" s="26"/>
      <c r="K45" s="26"/>
      <c r="L45" s="26"/>
      <c r="M45" s="26"/>
      <c r="N45" s="26"/>
      <c r="O45" s="26"/>
      <c r="P45" s="26"/>
      <c r="Q45" s="26"/>
      <c r="R45" s="26"/>
      <c r="S45" s="26"/>
      <c r="T45" s="26"/>
      <c r="U45" s="26"/>
      <c r="V45" s="26"/>
      <c r="W45" s="26"/>
      <c r="X45" s="26"/>
      <c r="Y45" s="26"/>
      <c r="Z45" s="26"/>
    </row>
    <row r="46" spans="1:26" ht="26.25" customHeight="1" x14ac:dyDescent="0.2">
      <c r="A46" s="26"/>
      <c r="B46" s="40" t="s">
        <v>1628</v>
      </c>
      <c r="C46" s="2393" t="s">
        <v>1733</v>
      </c>
      <c r="D46" s="2393"/>
      <c r="E46" s="2394"/>
      <c r="F46" s="26"/>
      <c r="G46" s="26" t="s">
        <v>248</v>
      </c>
      <c r="H46" s="26"/>
      <c r="I46" s="26"/>
      <c r="J46" s="26"/>
      <c r="K46" s="26"/>
      <c r="L46" s="26"/>
      <c r="M46" s="26"/>
      <c r="N46" s="26"/>
      <c r="O46" s="26"/>
      <c r="P46" s="26"/>
      <c r="Q46" s="26"/>
      <c r="R46" s="26"/>
      <c r="S46" s="26"/>
      <c r="T46" s="26"/>
      <c r="U46" s="26"/>
      <c r="V46" s="26"/>
      <c r="W46" s="26"/>
      <c r="X46" s="26"/>
      <c r="Y46" s="26"/>
      <c r="Z46" s="26"/>
    </row>
    <row r="47" spans="1:26" ht="15" customHeight="1" x14ac:dyDescent="0.2">
      <c r="A47" s="26"/>
      <c r="B47" s="34" t="s">
        <v>1594</v>
      </c>
      <c r="C47" s="35"/>
      <c r="D47" s="1560" t="s">
        <v>2142</v>
      </c>
      <c r="E47" s="1561"/>
      <c r="F47" s="26"/>
      <c r="G47" s="26" t="s">
        <v>1627</v>
      </c>
      <c r="H47" s="26"/>
      <c r="I47" s="26"/>
      <c r="J47" s="26"/>
      <c r="K47" s="26"/>
      <c r="L47" s="26"/>
      <c r="M47" s="26"/>
      <c r="N47" s="26"/>
      <c r="O47" s="26"/>
      <c r="P47" s="26"/>
      <c r="Q47" s="26"/>
      <c r="R47" s="26"/>
      <c r="S47" s="26"/>
      <c r="T47" s="26"/>
      <c r="U47" s="26"/>
      <c r="V47" s="26"/>
      <c r="W47" s="26"/>
      <c r="X47" s="26"/>
      <c r="Y47" s="26"/>
      <c r="Z47" s="26"/>
    </row>
    <row r="48" spans="1:26" ht="15" customHeight="1" x14ac:dyDescent="0.2">
      <c r="A48" s="26"/>
      <c r="B48" s="1562" t="s">
        <v>1596</v>
      </c>
      <c r="C48" s="1563"/>
      <c r="D48" s="2397" t="s">
        <v>1629</v>
      </c>
      <c r="E48" s="2398"/>
      <c r="F48" s="26"/>
      <c r="G48" s="26" t="s">
        <v>254</v>
      </c>
      <c r="H48" s="26"/>
      <c r="I48" s="26"/>
      <c r="J48" s="26"/>
      <c r="K48" s="26"/>
      <c r="L48" s="26"/>
      <c r="M48" s="26"/>
      <c r="N48" s="26"/>
      <c r="O48" s="26"/>
      <c r="P48" s="26"/>
      <c r="Q48" s="26"/>
      <c r="R48" s="26"/>
      <c r="S48" s="26"/>
      <c r="T48" s="26"/>
      <c r="U48" s="26"/>
      <c r="V48" s="26"/>
      <c r="W48" s="26"/>
      <c r="X48" s="26"/>
      <c r="Y48" s="26"/>
      <c r="Z48" s="26"/>
    </row>
    <row r="49" spans="1:26" ht="15" customHeight="1" x14ac:dyDescent="0.2">
      <c r="A49" s="26"/>
      <c r="B49" s="41" t="s">
        <v>1598</v>
      </c>
      <c r="C49" s="42"/>
      <c r="D49" s="2397" t="s">
        <v>1631</v>
      </c>
      <c r="E49" s="2398"/>
      <c r="F49" s="26"/>
      <c r="G49" s="26" t="s">
        <v>265</v>
      </c>
      <c r="H49" s="26"/>
      <c r="I49" s="26"/>
      <c r="J49" s="26"/>
      <c r="K49" s="26"/>
      <c r="L49" s="26"/>
      <c r="M49" s="26"/>
      <c r="N49" s="26"/>
      <c r="O49" s="26"/>
      <c r="P49" s="26"/>
      <c r="Q49" s="26"/>
      <c r="R49" s="26"/>
      <c r="S49" s="26"/>
      <c r="T49" s="26"/>
      <c r="U49" s="26"/>
      <c r="V49" s="26"/>
      <c r="W49" s="26"/>
      <c r="X49" s="26"/>
      <c r="Y49" s="26"/>
      <c r="Z49" s="26"/>
    </row>
    <row r="50" spans="1:26" ht="15" customHeight="1" x14ac:dyDescent="0.2">
      <c r="A50" s="26"/>
      <c r="B50" s="41" t="s">
        <v>1600</v>
      </c>
      <c r="C50" s="42"/>
      <c r="D50" s="2397" t="s">
        <v>1633</v>
      </c>
      <c r="E50" s="2398"/>
      <c r="F50" s="26"/>
      <c r="G50" s="26" t="s">
        <v>1630</v>
      </c>
      <c r="H50" s="26"/>
      <c r="I50" s="26"/>
      <c r="J50" s="26"/>
      <c r="K50" s="26"/>
      <c r="L50" s="26"/>
      <c r="M50" s="26"/>
      <c r="N50" s="26"/>
      <c r="O50" s="26"/>
      <c r="P50" s="26"/>
      <c r="Q50" s="26"/>
      <c r="R50" s="26"/>
      <c r="S50" s="26"/>
      <c r="T50" s="26"/>
      <c r="U50" s="26"/>
      <c r="V50" s="26"/>
      <c r="W50" s="26"/>
      <c r="X50" s="26"/>
      <c r="Y50" s="26"/>
      <c r="Z50" s="26"/>
    </row>
    <row r="51" spans="1:26" ht="15" customHeight="1" x14ac:dyDescent="0.2">
      <c r="A51" s="26"/>
      <c r="B51" s="36" t="s">
        <v>1608</v>
      </c>
      <c r="C51" s="37"/>
      <c r="D51" s="2397" t="s">
        <v>1634</v>
      </c>
      <c r="E51" s="2398"/>
      <c r="F51" s="26"/>
      <c r="G51" s="26" t="s">
        <v>1632</v>
      </c>
      <c r="H51" s="26"/>
      <c r="I51" s="26"/>
      <c r="J51" s="26"/>
      <c r="K51" s="26"/>
      <c r="L51" s="26"/>
      <c r="M51" s="26"/>
      <c r="N51" s="26"/>
      <c r="O51" s="26"/>
      <c r="P51" s="26"/>
      <c r="Q51" s="26"/>
      <c r="R51" s="26"/>
      <c r="S51" s="26"/>
      <c r="T51" s="26"/>
      <c r="U51" s="26"/>
      <c r="V51" s="26"/>
      <c r="W51" s="26"/>
      <c r="X51" s="26"/>
      <c r="Y51" s="26"/>
      <c r="Z51" s="26"/>
    </row>
    <row r="52" spans="1:26" ht="15" customHeight="1" x14ac:dyDescent="0.2">
      <c r="A52" s="26"/>
      <c r="B52" s="36" t="s">
        <v>1610</v>
      </c>
      <c r="C52" s="37"/>
      <c r="D52" s="2397" t="s">
        <v>1635</v>
      </c>
      <c r="E52" s="2398"/>
      <c r="F52" s="26"/>
      <c r="G52" s="26" t="s">
        <v>269</v>
      </c>
      <c r="H52" s="26"/>
      <c r="I52" s="26"/>
      <c r="J52" s="26"/>
      <c r="K52" s="26"/>
      <c r="L52" s="26"/>
      <c r="M52" s="26"/>
      <c r="N52" s="26"/>
      <c r="O52" s="26"/>
      <c r="P52" s="26"/>
      <c r="Q52" s="26"/>
      <c r="R52" s="26"/>
      <c r="S52" s="26"/>
      <c r="T52" s="26"/>
      <c r="U52" s="26"/>
      <c r="V52" s="26"/>
      <c r="W52" s="26"/>
      <c r="X52" s="26"/>
      <c r="Y52" s="26"/>
      <c r="Z52" s="26"/>
    </row>
    <row r="53" spans="1:26" ht="15" customHeight="1" x14ac:dyDescent="0.2">
      <c r="A53" s="26"/>
      <c r="B53" s="2410" t="s">
        <v>2141</v>
      </c>
      <c r="C53" s="2412"/>
      <c r="D53" s="2397" t="s">
        <v>1601</v>
      </c>
      <c r="E53" s="2398"/>
      <c r="F53" s="26"/>
      <c r="G53" s="26" t="s">
        <v>275</v>
      </c>
      <c r="H53" s="26"/>
      <c r="I53" s="26"/>
      <c r="J53" s="26"/>
      <c r="K53" s="26"/>
      <c r="L53" s="26"/>
      <c r="M53" s="26"/>
      <c r="N53" s="26"/>
      <c r="O53" s="26"/>
      <c r="P53" s="26"/>
      <c r="Q53" s="26"/>
      <c r="R53" s="26"/>
      <c r="S53" s="26"/>
      <c r="T53" s="26"/>
      <c r="U53" s="26"/>
      <c r="V53" s="26"/>
      <c r="W53" s="26"/>
      <c r="X53" s="26"/>
      <c r="Y53" s="26"/>
      <c r="Z53" s="26"/>
    </row>
    <row r="54" spans="1:26" ht="22.5" customHeight="1" x14ac:dyDescent="0.2">
      <c r="A54" s="26"/>
      <c r="B54" s="2411"/>
      <c r="C54" s="2413"/>
      <c r="D54" s="2414"/>
      <c r="E54" s="2415"/>
      <c r="F54" s="26"/>
      <c r="G54" s="26" t="s">
        <v>2</v>
      </c>
      <c r="H54" s="26"/>
      <c r="I54" s="26"/>
      <c r="J54" s="26"/>
      <c r="K54" s="26"/>
      <c r="L54" s="26"/>
      <c r="M54" s="26"/>
      <c r="N54" s="26"/>
      <c r="O54" s="26"/>
      <c r="P54" s="26"/>
      <c r="Q54" s="26"/>
      <c r="R54" s="26"/>
      <c r="S54" s="26"/>
      <c r="T54" s="26"/>
      <c r="U54" s="26"/>
      <c r="V54" s="26"/>
      <c r="W54" s="26"/>
      <c r="X54" s="26"/>
      <c r="Y54" s="26"/>
      <c r="Z54" s="26"/>
    </row>
    <row r="55" spans="1:26" ht="26.25" customHeight="1" x14ac:dyDescent="0.2">
      <c r="A55" s="26"/>
      <c r="B55" s="40" t="s">
        <v>1636</v>
      </c>
      <c r="C55" s="2393" t="s">
        <v>1637</v>
      </c>
      <c r="D55" s="2393"/>
      <c r="E55" s="2394"/>
      <c r="F55" s="26"/>
      <c r="G55" s="26" t="s">
        <v>68</v>
      </c>
      <c r="H55" s="26"/>
      <c r="I55" s="26"/>
      <c r="J55" s="26"/>
      <c r="K55" s="26"/>
      <c r="L55" s="26"/>
      <c r="M55" s="26"/>
      <c r="N55" s="26"/>
      <c r="O55" s="26"/>
      <c r="P55" s="26"/>
      <c r="Q55" s="26"/>
      <c r="R55" s="26"/>
      <c r="S55" s="26"/>
      <c r="T55" s="26"/>
      <c r="U55" s="26"/>
      <c r="V55" s="26"/>
      <c r="W55" s="26"/>
      <c r="X55" s="26"/>
      <c r="Y55" s="26"/>
      <c r="Z55" s="26"/>
    </row>
    <row r="56" spans="1:26" x14ac:dyDescent="0.2">
      <c r="A56" s="26"/>
      <c r="B56" s="34" t="s">
        <v>1594</v>
      </c>
      <c r="C56" s="35"/>
      <c r="D56" s="2395" t="s">
        <v>1638</v>
      </c>
      <c r="E56" s="2396"/>
      <c r="F56" s="26"/>
      <c r="G56" s="26" t="s">
        <v>458</v>
      </c>
      <c r="H56" s="26"/>
      <c r="I56" s="26"/>
      <c r="J56" s="26"/>
      <c r="K56" s="26"/>
      <c r="L56" s="26"/>
      <c r="M56" s="26"/>
      <c r="N56" s="26"/>
      <c r="O56" s="26"/>
      <c r="P56" s="26"/>
      <c r="Q56" s="26"/>
      <c r="R56" s="26"/>
      <c r="S56" s="26"/>
      <c r="T56" s="26"/>
      <c r="U56" s="26"/>
      <c r="V56" s="26"/>
      <c r="W56" s="26"/>
      <c r="X56" s="26"/>
      <c r="Y56" s="26"/>
      <c r="Z56" s="26"/>
    </row>
    <row r="57" spans="1:26" ht="15" customHeight="1" x14ac:dyDescent="0.2">
      <c r="A57" s="26"/>
      <c r="B57" s="2403" t="s">
        <v>1596</v>
      </c>
      <c r="C57" s="2405"/>
      <c r="D57" s="2397" t="s">
        <v>1639</v>
      </c>
      <c r="E57" s="2398"/>
      <c r="F57" s="26"/>
      <c r="G57" s="26" t="s">
        <v>329</v>
      </c>
      <c r="H57" s="26"/>
      <c r="I57" s="26"/>
      <c r="J57" s="26"/>
      <c r="K57" s="26"/>
      <c r="L57" s="26"/>
      <c r="M57" s="26"/>
      <c r="N57" s="26"/>
      <c r="O57" s="26"/>
      <c r="P57" s="26"/>
      <c r="Q57" s="26"/>
      <c r="R57" s="26"/>
      <c r="S57" s="26"/>
      <c r="T57" s="26"/>
      <c r="U57" s="26"/>
      <c r="V57" s="26"/>
      <c r="W57" s="26"/>
      <c r="X57" s="26"/>
      <c r="Y57" s="26"/>
      <c r="Z57" s="26"/>
    </row>
    <row r="58" spans="1:26" ht="22.5" customHeight="1" x14ac:dyDescent="0.2">
      <c r="A58" s="26"/>
      <c r="B58" s="2403"/>
      <c r="C58" s="2405"/>
      <c r="D58" s="2406"/>
      <c r="E58" s="2407"/>
      <c r="F58" s="26"/>
      <c r="G58" s="26" t="s">
        <v>145</v>
      </c>
      <c r="H58" s="26"/>
      <c r="I58" s="26"/>
      <c r="J58" s="26"/>
      <c r="K58" s="26"/>
      <c r="L58" s="26"/>
      <c r="M58" s="26"/>
      <c r="N58" s="26"/>
      <c r="O58" s="26"/>
      <c r="P58" s="26"/>
      <c r="Q58" s="26"/>
      <c r="R58" s="26"/>
      <c r="S58" s="26"/>
      <c r="T58" s="26"/>
      <c r="U58" s="26"/>
      <c r="V58" s="26"/>
      <c r="W58" s="26"/>
      <c r="X58" s="26"/>
      <c r="Y58" s="26"/>
      <c r="Z58" s="26"/>
    </row>
    <row r="59" spans="1:26" x14ac:dyDescent="0.2">
      <c r="A59" s="26"/>
      <c r="B59" s="36" t="s">
        <v>1598</v>
      </c>
      <c r="C59" s="37"/>
      <c r="D59" s="2397" t="s">
        <v>1640</v>
      </c>
      <c r="E59" s="2398"/>
      <c r="F59" s="26"/>
      <c r="G59" s="26" t="s">
        <v>630</v>
      </c>
      <c r="H59" s="26"/>
      <c r="I59" s="26"/>
      <c r="J59" s="26"/>
      <c r="K59" s="26"/>
      <c r="L59" s="26"/>
      <c r="M59" s="26"/>
      <c r="N59" s="26"/>
      <c r="O59" s="26"/>
      <c r="P59" s="26"/>
      <c r="Q59" s="26"/>
      <c r="R59" s="26"/>
      <c r="S59" s="26"/>
      <c r="T59" s="26"/>
      <c r="U59" s="26"/>
      <c r="V59" s="26"/>
      <c r="W59" s="26"/>
      <c r="X59" s="26"/>
      <c r="Y59" s="26"/>
      <c r="Z59" s="26"/>
    </row>
    <row r="60" spans="1:26" ht="15" customHeight="1" x14ac:dyDescent="0.2">
      <c r="A60" s="26"/>
      <c r="B60" s="38" t="s">
        <v>1600</v>
      </c>
      <c r="C60" s="39"/>
      <c r="D60" s="2408" t="s">
        <v>1641</v>
      </c>
      <c r="E60" s="2409"/>
      <c r="F60" s="26"/>
      <c r="G60" s="26" t="s">
        <v>197</v>
      </c>
      <c r="H60" s="26"/>
      <c r="I60" s="26"/>
      <c r="J60" s="26"/>
      <c r="K60" s="26"/>
      <c r="L60" s="26"/>
      <c r="M60" s="26"/>
      <c r="N60" s="26"/>
      <c r="O60" s="26"/>
      <c r="P60" s="26"/>
      <c r="Q60" s="26"/>
      <c r="R60" s="26"/>
      <c r="S60" s="26"/>
      <c r="T60" s="26"/>
      <c r="U60" s="26"/>
      <c r="V60" s="26"/>
      <c r="W60" s="26"/>
      <c r="X60" s="26"/>
      <c r="Y60" s="26"/>
      <c r="Z60" s="26"/>
    </row>
    <row r="61" spans="1:26" ht="26.25" customHeight="1" x14ac:dyDescent="0.2">
      <c r="A61" s="26"/>
      <c r="B61" s="40" t="s">
        <v>1642</v>
      </c>
      <c r="C61" s="2393" t="s">
        <v>1734</v>
      </c>
      <c r="D61" s="2393"/>
      <c r="E61" s="2394"/>
      <c r="F61" s="26"/>
      <c r="G61" s="26" t="s">
        <v>288</v>
      </c>
      <c r="H61" s="26"/>
      <c r="I61" s="26"/>
      <c r="J61" s="26"/>
      <c r="K61" s="26"/>
      <c r="L61" s="26"/>
      <c r="M61" s="26"/>
      <c r="N61" s="26"/>
      <c r="O61" s="26"/>
      <c r="P61" s="26"/>
      <c r="Q61" s="26"/>
      <c r="R61" s="26"/>
      <c r="S61" s="26"/>
      <c r="T61" s="26"/>
      <c r="U61" s="26"/>
      <c r="V61" s="26"/>
      <c r="W61" s="26"/>
      <c r="X61" s="26"/>
      <c r="Y61" s="26"/>
      <c r="Z61" s="26"/>
    </row>
    <row r="62" spans="1:26" ht="15" customHeight="1" x14ac:dyDescent="0.2">
      <c r="A62" s="26"/>
      <c r="B62" s="34" t="s">
        <v>1594</v>
      </c>
      <c r="C62" s="35"/>
      <c r="D62" s="2395" t="s">
        <v>1644</v>
      </c>
      <c r="E62" s="2396"/>
      <c r="F62" s="26"/>
      <c r="G62" s="26" t="s">
        <v>336</v>
      </c>
      <c r="H62" s="26"/>
      <c r="I62" s="26"/>
      <c r="J62" s="26"/>
      <c r="K62" s="26"/>
      <c r="L62" s="26"/>
      <c r="M62" s="26"/>
      <c r="N62" s="26"/>
      <c r="O62" s="26"/>
      <c r="P62" s="26"/>
      <c r="Q62" s="26"/>
      <c r="R62" s="26"/>
      <c r="S62" s="26"/>
      <c r="T62" s="26"/>
      <c r="U62" s="26"/>
      <c r="V62" s="26"/>
      <c r="W62" s="26"/>
      <c r="X62" s="26"/>
      <c r="Y62" s="26"/>
      <c r="Z62" s="26"/>
    </row>
    <row r="63" spans="1:26" ht="15" customHeight="1" x14ac:dyDescent="0.2">
      <c r="A63" s="26"/>
      <c r="B63" s="2403" t="s">
        <v>1596</v>
      </c>
      <c r="C63" s="2405"/>
      <c r="D63" s="2397" t="s">
        <v>1646</v>
      </c>
      <c r="E63" s="2398"/>
      <c r="F63" s="26"/>
      <c r="G63" s="26" t="s">
        <v>1643</v>
      </c>
      <c r="H63" s="26"/>
      <c r="I63" s="26"/>
      <c r="J63" s="26"/>
      <c r="K63" s="26"/>
      <c r="L63" s="26"/>
      <c r="M63" s="26"/>
      <c r="N63" s="26"/>
      <c r="O63" s="26"/>
      <c r="P63" s="26"/>
      <c r="Q63" s="26"/>
      <c r="R63" s="26"/>
      <c r="S63" s="26"/>
      <c r="T63" s="26"/>
      <c r="U63" s="26"/>
      <c r="V63" s="26"/>
      <c r="W63" s="26"/>
      <c r="X63" s="26"/>
      <c r="Y63" s="26"/>
      <c r="Z63" s="26"/>
    </row>
    <row r="64" spans="1:26" ht="22.5" customHeight="1" x14ac:dyDescent="0.2">
      <c r="A64" s="26"/>
      <c r="B64" s="2403"/>
      <c r="C64" s="2405"/>
      <c r="D64" s="2406"/>
      <c r="E64" s="2407"/>
      <c r="F64" s="26"/>
      <c r="G64" s="26" t="s">
        <v>1645</v>
      </c>
      <c r="H64" s="26"/>
      <c r="I64" s="26"/>
      <c r="J64" s="26"/>
      <c r="K64" s="26"/>
      <c r="L64" s="26"/>
      <c r="M64" s="26"/>
      <c r="N64" s="26"/>
      <c r="O64" s="26"/>
      <c r="P64" s="26"/>
      <c r="Q64" s="26"/>
      <c r="R64" s="26"/>
      <c r="S64" s="26"/>
      <c r="T64" s="26"/>
      <c r="U64" s="26"/>
      <c r="V64" s="26"/>
      <c r="W64" s="26"/>
      <c r="X64" s="26"/>
      <c r="Y64" s="26"/>
      <c r="Z64" s="26"/>
    </row>
    <row r="65" spans="1:26" ht="15" customHeight="1" x14ac:dyDescent="0.2">
      <c r="A65" s="26"/>
      <c r="B65" s="36" t="s">
        <v>1598</v>
      </c>
      <c r="C65" s="37"/>
      <c r="D65" s="2397" t="s">
        <v>1648</v>
      </c>
      <c r="E65" s="2398"/>
      <c r="F65" s="26"/>
      <c r="G65" s="26" t="s">
        <v>622</v>
      </c>
      <c r="H65" s="26"/>
      <c r="I65" s="26"/>
      <c r="J65" s="26"/>
      <c r="K65" s="26"/>
      <c r="L65" s="26"/>
      <c r="M65" s="26"/>
      <c r="N65" s="26"/>
      <c r="O65" s="26"/>
      <c r="P65" s="26"/>
      <c r="Q65" s="26"/>
      <c r="R65" s="26"/>
      <c r="S65" s="26"/>
      <c r="T65" s="26"/>
      <c r="U65" s="26"/>
      <c r="V65" s="26"/>
      <c r="W65" s="26"/>
      <c r="X65" s="26"/>
      <c r="Y65" s="26"/>
      <c r="Z65" s="26"/>
    </row>
    <row r="66" spans="1:26" ht="15" customHeight="1" x14ac:dyDescent="0.2">
      <c r="A66" s="26"/>
      <c r="B66" s="38" t="s">
        <v>1600</v>
      </c>
      <c r="C66" s="39"/>
      <c r="D66" s="2408" t="s">
        <v>1649</v>
      </c>
      <c r="E66" s="2409"/>
      <c r="F66" s="26"/>
      <c r="G66" s="26" t="s">
        <v>1647</v>
      </c>
      <c r="H66" s="26"/>
      <c r="I66" s="26"/>
      <c r="J66" s="26"/>
      <c r="K66" s="26"/>
      <c r="L66" s="26"/>
      <c r="M66" s="26"/>
      <c r="N66" s="26"/>
      <c r="O66" s="26"/>
      <c r="P66" s="26"/>
      <c r="Q66" s="26"/>
      <c r="R66" s="26"/>
      <c r="S66" s="26"/>
      <c r="T66" s="26"/>
      <c r="U66" s="26"/>
      <c r="V66" s="26"/>
      <c r="W66" s="26"/>
      <c r="X66" s="26"/>
      <c r="Y66" s="26"/>
      <c r="Z66" s="26"/>
    </row>
    <row r="67" spans="1:26" ht="26.25" customHeight="1" x14ac:dyDescent="0.2">
      <c r="A67" s="26"/>
      <c r="B67" s="40" t="s">
        <v>1650</v>
      </c>
      <c r="C67" s="2393" t="s">
        <v>1735</v>
      </c>
      <c r="D67" s="2393"/>
      <c r="E67" s="2394"/>
      <c r="F67" s="26"/>
      <c r="G67" s="26" t="s">
        <v>291</v>
      </c>
      <c r="H67" s="26"/>
      <c r="I67" s="26"/>
      <c r="J67" s="26"/>
      <c r="K67" s="26"/>
      <c r="L67" s="26"/>
      <c r="M67" s="26"/>
      <c r="N67" s="26"/>
      <c r="O67" s="26"/>
      <c r="P67" s="26"/>
      <c r="Q67" s="26"/>
      <c r="R67" s="26"/>
      <c r="S67" s="26"/>
      <c r="T67" s="26"/>
      <c r="U67" s="26"/>
      <c r="V67" s="26"/>
      <c r="W67" s="26"/>
      <c r="X67" s="26"/>
      <c r="Y67" s="26"/>
      <c r="Z67" s="26"/>
    </row>
    <row r="68" spans="1:26" ht="15" customHeight="1" x14ac:dyDescent="0.2">
      <c r="A68" s="26"/>
      <c r="B68" s="34" t="s">
        <v>1594</v>
      </c>
      <c r="C68" s="35"/>
      <c r="D68" s="2395" t="s">
        <v>1651</v>
      </c>
      <c r="E68" s="2396"/>
      <c r="F68" s="26"/>
      <c r="G68" s="26" t="s">
        <v>294</v>
      </c>
      <c r="H68" s="26"/>
      <c r="I68" s="26"/>
      <c r="J68" s="26"/>
      <c r="K68" s="26"/>
      <c r="L68" s="26"/>
      <c r="M68" s="26"/>
      <c r="N68" s="26"/>
      <c r="O68" s="26"/>
      <c r="P68" s="26"/>
      <c r="Q68" s="26"/>
      <c r="R68" s="26"/>
      <c r="S68" s="26"/>
      <c r="T68" s="26"/>
      <c r="U68" s="26"/>
      <c r="V68" s="26"/>
      <c r="W68" s="26"/>
      <c r="X68" s="26"/>
      <c r="Y68" s="26"/>
      <c r="Z68" s="26"/>
    </row>
    <row r="69" spans="1:26" ht="15" customHeight="1" x14ac:dyDescent="0.2">
      <c r="A69" s="26"/>
      <c r="B69" s="36" t="s">
        <v>1596</v>
      </c>
      <c r="C69" s="37"/>
      <c r="D69" s="2397" t="s">
        <v>1653</v>
      </c>
      <c r="E69" s="2398"/>
      <c r="F69" s="26"/>
      <c r="G69" s="26" t="s">
        <v>307</v>
      </c>
      <c r="H69" s="26"/>
      <c r="I69" s="26"/>
      <c r="J69" s="26"/>
      <c r="K69" s="26"/>
      <c r="L69" s="26"/>
      <c r="M69" s="26"/>
      <c r="N69" s="26"/>
      <c r="O69" s="26"/>
      <c r="P69" s="26"/>
      <c r="Q69" s="26"/>
      <c r="R69" s="26"/>
      <c r="S69" s="26"/>
      <c r="T69" s="26"/>
      <c r="U69" s="26"/>
      <c r="V69" s="26"/>
      <c r="W69" s="26"/>
      <c r="X69" s="26"/>
      <c r="Y69" s="26"/>
      <c r="Z69" s="26"/>
    </row>
    <row r="70" spans="1:26" ht="15" customHeight="1" x14ac:dyDescent="0.2">
      <c r="A70" s="26"/>
      <c r="B70" s="38" t="s">
        <v>1598</v>
      </c>
      <c r="C70" s="39"/>
      <c r="D70" s="2399" t="s">
        <v>1649</v>
      </c>
      <c r="E70" s="2400"/>
      <c r="F70" s="26"/>
      <c r="G70" s="26" t="s">
        <v>249</v>
      </c>
      <c r="H70" s="26"/>
      <c r="I70" s="26"/>
      <c r="J70" s="26"/>
      <c r="K70" s="26"/>
      <c r="L70" s="26"/>
      <c r="M70" s="26"/>
      <c r="N70" s="26"/>
      <c r="O70" s="26"/>
      <c r="P70" s="26"/>
      <c r="Q70" s="26"/>
      <c r="R70" s="26"/>
      <c r="S70" s="26"/>
      <c r="T70" s="26"/>
      <c r="U70" s="26"/>
      <c r="V70" s="26"/>
      <c r="W70" s="26"/>
      <c r="X70" s="26"/>
      <c r="Y70" s="26"/>
      <c r="Z70" s="26"/>
    </row>
    <row r="71" spans="1:26" ht="25.5" customHeight="1" x14ac:dyDescent="0.2">
      <c r="A71" s="26"/>
      <c r="B71" s="40" t="s">
        <v>1655</v>
      </c>
      <c r="C71" s="2393" t="s">
        <v>1736</v>
      </c>
      <c r="D71" s="2393"/>
      <c r="E71" s="2394"/>
      <c r="F71" s="26"/>
      <c r="G71" s="26" t="s">
        <v>296</v>
      </c>
      <c r="H71" s="26"/>
      <c r="I71" s="26"/>
      <c r="J71" s="26"/>
      <c r="K71" s="26"/>
      <c r="L71" s="26"/>
      <c r="M71" s="26"/>
      <c r="N71" s="26"/>
      <c r="O71" s="26"/>
      <c r="P71" s="26"/>
      <c r="Q71" s="26"/>
      <c r="R71" s="26"/>
      <c r="S71" s="26"/>
      <c r="T71" s="26"/>
      <c r="U71" s="26"/>
      <c r="V71" s="26"/>
      <c r="W71" s="26"/>
      <c r="X71" s="26"/>
      <c r="Y71" s="26"/>
      <c r="Z71" s="26"/>
    </row>
    <row r="72" spans="1:26" ht="15" customHeight="1" x14ac:dyDescent="0.2">
      <c r="A72" s="26"/>
      <c r="B72" s="34" t="s">
        <v>1594</v>
      </c>
      <c r="C72" s="35"/>
      <c r="D72" s="2395" t="s">
        <v>1656</v>
      </c>
      <c r="E72" s="2396"/>
      <c r="F72" s="26"/>
      <c r="G72" s="26" t="s">
        <v>320</v>
      </c>
      <c r="H72" s="26"/>
      <c r="I72" s="26"/>
      <c r="J72" s="26"/>
      <c r="K72" s="26"/>
      <c r="L72" s="26"/>
      <c r="M72" s="26"/>
      <c r="N72" s="26"/>
      <c r="O72" s="26"/>
      <c r="P72" s="26"/>
      <c r="Q72" s="26"/>
      <c r="R72" s="26"/>
      <c r="S72" s="26"/>
      <c r="T72" s="26"/>
      <c r="U72" s="26"/>
      <c r="V72" s="26"/>
      <c r="W72" s="26"/>
      <c r="X72" s="26"/>
      <c r="Y72" s="26"/>
      <c r="Z72" s="26"/>
    </row>
    <row r="73" spans="1:26" ht="15" customHeight="1" x14ac:dyDescent="0.2">
      <c r="A73" s="26"/>
      <c r="B73" s="36" t="s">
        <v>1596</v>
      </c>
      <c r="C73" s="37"/>
      <c r="D73" s="2397" t="s">
        <v>1657</v>
      </c>
      <c r="E73" s="2398"/>
      <c r="F73" s="26"/>
      <c r="G73" s="26" t="s">
        <v>312</v>
      </c>
      <c r="H73" s="26"/>
      <c r="I73" s="26"/>
      <c r="J73" s="26"/>
      <c r="K73" s="26"/>
      <c r="L73" s="26"/>
      <c r="M73" s="26"/>
      <c r="N73" s="26"/>
      <c r="O73" s="26"/>
      <c r="P73" s="26"/>
      <c r="Q73" s="26"/>
      <c r="R73" s="26"/>
      <c r="S73" s="26"/>
      <c r="T73" s="26"/>
      <c r="U73" s="26"/>
      <c r="V73" s="26"/>
      <c r="W73" s="26"/>
      <c r="X73" s="26"/>
      <c r="Y73" s="26"/>
      <c r="Z73" s="26"/>
    </row>
    <row r="74" spans="1:26" ht="15" customHeight="1" x14ac:dyDescent="0.2">
      <c r="A74" s="26"/>
      <c r="B74" s="36" t="s">
        <v>1598</v>
      </c>
      <c r="C74" s="37"/>
      <c r="D74" s="2397" t="s">
        <v>1658</v>
      </c>
      <c r="E74" s="2398"/>
      <c r="F74" s="26"/>
      <c r="G74" s="26" t="s">
        <v>314</v>
      </c>
      <c r="H74" s="26"/>
      <c r="I74" s="26"/>
      <c r="J74" s="26"/>
      <c r="K74" s="26"/>
      <c r="L74" s="26"/>
      <c r="M74" s="26"/>
      <c r="N74" s="26"/>
      <c r="O74" s="26"/>
      <c r="P74" s="26"/>
      <c r="Q74" s="26"/>
      <c r="R74" s="26"/>
      <c r="S74" s="26"/>
      <c r="T74" s="26"/>
      <c r="U74" s="26"/>
      <c r="V74" s="26"/>
      <c r="W74" s="26"/>
      <c r="X74" s="26"/>
      <c r="Y74" s="26"/>
      <c r="Z74" s="26"/>
    </row>
    <row r="75" spans="1:26" ht="15" customHeight="1" x14ac:dyDescent="0.2">
      <c r="A75" s="26"/>
      <c r="B75" s="38" t="s">
        <v>1600</v>
      </c>
      <c r="C75" s="39"/>
      <c r="D75" s="2399" t="s">
        <v>1649</v>
      </c>
      <c r="E75" s="2400"/>
      <c r="F75" s="26"/>
      <c r="G75" s="26" t="s">
        <v>326</v>
      </c>
      <c r="H75" s="26"/>
      <c r="I75" s="26"/>
      <c r="J75" s="26"/>
      <c r="K75" s="26"/>
      <c r="L75" s="26"/>
      <c r="M75" s="26"/>
      <c r="N75" s="26"/>
      <c r="O75" s="26"/>
      <c r="P75" s="26"/>
      <c r="Q75" s="26"/>
      <c r="R75" s="26"/>
      <c r="S75" s="26"/>
      <c r="T75" s="26"/>
      <c r="U75" s="26"/>
      <c r="V75" s="26"/>
      <c r="W75" s="26"/>
      <c r="X75" s="26"/>
      <c r="Y75" s="26"/>
      <c r="Z75" s="26"/>
    </row>
    <row r="76" spans="1:26" ht="26.25" customHeight="1" x14ac:dyDescent="0.2">
      <c r="A76" s="26"/>
      <c r="B76" s="40" t="s">
        <v>1659</v>
      </c>
      <c r="C76" s="2393" t="s">
        <v>1737</v>
      </c>
      <c r="D76" s="2393"/>
      <c r="E76" s="2394"/>
      <c r="F76" s="26"/>
      <c r="G76" s="26" t="s">
        <v>392</v>
      </c>
      <c r="H76" s="26"/>
      <c r="I76" s="26"/>
      <c r="J76" s="26"/>
      <c r="K76" s="26"/>
      <c r="L76" s="26"/>
      <c r="M76" s="26"/>
      <c r="N76" s="26"/>
      <c r="O76" s="26"/>
      <c r="P76" s="26"/>
      <c r="Q76" s="26"/>
      <c r="R76" s="26"/>
      <c r="S76" s="26"/>
      <c r="T76" s="26"/>
      <c r="U76" s="26"/>
      <c r="V76" s="26"/>
      <c r="W76" s="26"/>
      <c r="X76" s="26"/>
      <c r="Y76" s="26"/>
      <c r="Z76" s="26"/>
    </row>
    <row r="77" spans="1:26" ht="45" customHeight="1" x14ac:dyDescent="0.2">
      <c r="A77" s="26"/>
      <c r="B77" s="2389"/>
      <c r="C77" s="2390"/>
      <c r="D77" s="2390"/>
      <c r="E77" s="2391"/>
      <c r="F77" s="26"/>
      <c r="G77" s="26" t="s">
        <v>55</v>
      </c>
      <c r="H77" s="26"/>
      <c r="I77" s="26"/>
      <c r="J77" s="26"/>
      <c r="K77" s="26"/>
      <c r="L77" s="26"/>
      <c r="M77" s="26"/>
      <c r="N77" s="26"/>
      <c r="O77" s="26"/>
      <c r="P77" s="26"/>
      <c r="Q77" s="26"/>
      <c r="R77" s="26"/>
      <c r="S77" s="26"/>
      <c r="T77" s="26"/>
      <c r="U77" s="26"/>
      <c r="V77" s="26"/>
      <c r="W77" s="26"/>
      <c r="X77" s="26"/>
      <c r="Y77" s="26"/>
      <c r="Z77" s="26"/>
    </row>
    <row r="78" spans="1:26" x14ac:dyDescent="0.2">
      <c r="A78" s="26"/>
      <c r="B78" s="43"/>
      <c r="C78" s="43"/>
      <c r="D78" s="43"/>
      <c r="E78" s="43"/>
      <c r="F78" s="26"/>
      <c r="G78" s="26" t="s">
        <v>389</v>
      </c>
      <c r="H78" s="26"/>
      <c r="I78" s="26"/>
      <c r="J78" s="26"/>
      <c r="K78" s="26"/>
      <c r="L78" s="26"/>
      <c r="M78" s="26"/>
      <c r="N78" s="26"/>
      <c r="O78" s="26"/>
      <c r="P78" s="26"/>
      <c r="Q78" s="26"/>
      <c r="R78" s="26"/>
      <c r="S78" s="26"/>
      <c r="T78" s="26"/>
      <c r="U78" s="26"/>
      <c r="V78" s="26"/>
      <c r="W78" s="26"/>
      <c r="X78" s="26"/>
      <c r="Y78" s="26"/>
      <c r="Z78" s="26"/>
    </row>
    <row r="79" spans="1:26" ht="18.75" customHeight="1" x14ac:dyDescent="0.2">
      <c r="A79" s="26"/>
      <c r="B79" s="2392" t="s">
        <v>1740</v>
      </c>
      <c r="C79" s="2392"/>
      <c r="D79" s="2392"/>
      <c r="E79" s="2392"/>
      <c r="F79" s="26"/>
      <c r="G79" s="26" t="s">
        <v>396</v>
      </c>
      <c r="H79" s="26"/>
      <c r="I79" s="26"/>
      <c r="J79" s="26"/>
      <c r="K79" s="26"/>
      <c r="L79" s="26"/>
      <c r="M79" s="26"/>
      <c r="N79" s="26"/>
      <c r="O79" s="26"/>
      <c r="P79" s="26"/>
      <c r="Q79" s="26"/>
      <c r="R79" s="26"/>
      <c r="S79" s="26"/>
      <c r="T79" s="26"/>
      <c r="U79" s="26"/>
      <c r="V79" s="26"/>
      <c r="W79" s="26"/>
      <c r="X79" s="26"/>
      <c r="Y79" s="26"/>
      <c r="Z79" s="26"/>
    </row>
    <row r="80" spans="1:26" x14ac:dyDescent="0.2">
      <c r="A80" s="26"/>
      <c r="B80" s="26"/>
      <c r="C80" s="26"/>
      <c r="D80" s="26"/>
      <c r="E80" s="1565" t="s">
        <v>2143</v>
      </c>
      <c r="F80" s="26"/>
      <c r="G80" s="26" t="s">
        <v>625</v>
      </c>
      <c r="H80" s="26"/>
      <c r="I80" s="26"/>
      <c r="J80" s="26"/>
      <c r="K80" s="26"/>
      <c r="L80" s="26"/>
      <c r="M80" s="26"/>
      <c r="N80" s="26"/>
      <c r="O80" s="26"/>
      <c r="P80" s="26"/>
      <c r="Q80" s="26"/>
      <c r="R80" s="26"/>
      <c r="S80" s="26"/>
      <c r="T80" s="26"/>
      <c r="U80" s="26"/>
      <c r="V80" s="26"/>
      <c r="W80" s="26"/>
      <c r="X80" s="26"/>
      <c r="Y80" s="26"/>
      <c r="Z80" s="26"/>
    </row>
    <row r="81" spans="1:26" x14ac:dyDescent="0.2">
      <c r="A81" s="26"/>
      <c r="B81" s="26"/>
      <c r="C81" s="26"/>
      <c r="D81" s="26"/>
      <c r="E81" s="1559" t="s">
        <v>2136</v>
      </c>
      <c r="F81" s="26"/>
      <c r="G81" s="26" t="s">
        <v>406</v>
      </c>
      <c r="H81" s="26"/>
      <c r="I81" s="26"/>
      <c r="J81" s="26"/>
      <c r="K81" s="26"/>
      <c r="L81" s="26"/>
      <c r="M81" s="26"/>
      <c r="N81" s="26"/>
      <c r="O81" s="26"/>
      <c r="P81" s="26"/>
      <c r="Q81" s="26"/>
      <c r="R81" s="26"/>
      <c r="S81" s="26"/>
      <c r="T81" s="26"/>
      <c r="U81" s="26"/>
      <c r="V81" s="26"/>
      <c r="W81" s="26"/>
      <c r="X81" s="26"/>
      <c r="Y81" s="26"/>
      <c r="Z81" s="26"/>
    </row>
    <row r="82" spans="1:26" x14ac:dyDescent="0.2">
      <c r="A82" s="26"/>
      <c r="B82" s="26"/>
      <c r="C82" s="26"/>
      <c r="D82" s="26"/>
      <c r="E82" s="26"/>
      <c r="F82" s="26"/>
      <c r="G82" s="26" t="s">
        <v>121</v>
      </c>
      <c r="H82" s="26"/>
      <c r="I82" s="26"/>
      <c r="J82" s="26"/>
      <c r="K82" s="26"/>
      <c r="L82" s="26"/>
      <c r="M82" s="26"/>
      <c r="N82" s="26"/>
      <c r="O82" s="26"/>
      <c r="P82" s="26"/>
      <c r="Q82" s="26"/>
      <c r="R82" s="26"/>
      <c r="S82" s="26"/>
      <c r="T82" s="26"/>
      <c r="U82" s="26"/>
      <c r="V82" s="26"/>
      <c r="W82" s="26"/>
      <c r="X82" s="26"/>
      <c r="Y82" s="26"/>
      <c r="Z82" s="26"/>
    </row>
    <row r="83" spans="1:26" hidden="1" x14ac:dyDescent="0.2">
      <c r="A83" s="26"/>
      <c r="B83" s="26"/>
      <c r="C83" s="26"/>
      <c r="D83" s="26"/>
      <c r="E83" s="26"/>
      <c r="F83" s="26"/>
      <c r="G83" s="26" t="s">
        <v>1660</v>
      </c>
      <c r="H83" s="26"/>
      <c r="I83" s="26"/>
      <c r="J83" s="26"/>
      <c r="K83" s="26"/>
      <c r="L83" s="26"/>
      <c r="M83" s="26"/>
      <c r="N83" s="26"/>
      <c r="O83" s="26"/>
      <c r="P83" s="26"/>
      <c r="Q83" s="26"/>
      <c r="R83" s="26"/>
      <c r="S83" s="26"/>
      <c r="T83" s="26"/>
      <c r="U83" s="26"/>
      <c r="V83" s="26"/>
      <c r="W83" s="26"/>
      <c r="X83" s="26"/>
      <c r="Y83" s="26"/>
      <c r="Z83" s="26"/>
    </row>
    <row r="84" spans="1:26" hidden="1" x14ac:dyDescent="0.2">
      <c r="A84" s="26"/>
      <c r="B84" s="26"/>
      <c r="C84" s="26"/>
      <c r="D84" s="26"/>
      <c r="E84" s="26"/>
      <c r="F84" s="26"/>
      <c r="G84" s="26" t="s">
        <v>53</v>
      </c>
      <c r="H84" s="26"/>
      <c r="I84" s="26"/>
      <c r="J84" s="26"/>
      <c r="K84" s="26"/>
      <c r="L84" s="26"/>
      <c r="M84" s="26"/>
      <c r="N84" s="26"/>
      <c r="O84" s="26"/>
      <c r="P84" s="26"/>
      <c r="Q84" s="26"/>
      <c r="R84" s="26"/>
      <c r="S84" s="26"/>
      <c r="T84" s="26"/>
      <c r="U84" s="26"/>
      <c r="V84" s="26"/>
      <c r="W84" s="26"/>
      <c r="X84" s="26"/>
      <c r="Y84" s="26"/>
      <c r="Z84" s="26"/>
    </row>
    <row r="85" spans="1:26" hidden="1" x14ac:dyDescent="0.2">
      <c r="A85" s="26"/>
      <c r="B85" s="26"/>
      <c r="C85" s="26"/>
      <c r="D85" s="26"/>
      <c r="E85" s="26"/>
      <c r="F85" s="26"/>
      <c r="G85" s="26" t="s">
        <v>627</v>
      </c>
      <c r="H85" s="26"/>
      <c r="I85" s="26"/>
      <c r="J85" s="26"/>
      <c r="K85" s="26"/>
      <c r="L85" s="26"/>
      <c r="M85" s="26"/>
      <c r="N85" s="26"/>
      <c r="O85" s="26"/>
      <c r="P85" s="26"/>
      <c r="Q85" s="26"/>
      <c r="R85" s="26"/>
      <c r="S85" s="26"/>
      <c r="T85" s="26"/>
      <c r="U85" s="26"/>
      <c r="V85" s="26"/>
      <c r="W85" s="26"/>
      <c r="X85" s="26"/>
      <c r="Y85" s="26"/>
      <c r="Z85" s="26"/>
    </row>
    <row r="86" spans="1:26" hidden="1" x14ac:dyDescent="0.2">
      <c r="A86" s="26"/>
      <c r="B86" s="26"/>
      <c r="C86" s="26"/>
      <c r="D86" s="26"/>
      <c r="E86" s="26"/>
      <c r="F86" s="26"/>
      <c r="G86" s="26" t="s">
        <v>1661</v>
      </c>
      <c r="H86" s="26"/>
      <c r="I86" s="26"/>
      <c r="J86" s="26"/>
      <c r="K86" s="26"/>
      <c r="L86" s="26"/>
      <c r="M86" s="26"/>
      <c r="N86" s="26"/>
      <c r="O86" s="26"/>
      <c r="P86" s="26"/>
      <c r="Q86" s="26"/>
      <c r="R86" s="26"/>
      <c r="S86" s="26"/>
      <c r="T86" s="26"/>
      <c r="U86" s="26"/>
      <c r="V86" s="26"/>
      <c r="W86" s="26"/>
      <c r="X86" s="26"/>
      <c r="Y86" s="26"/>
      <c r="Z86" s="26"/>
    </row>
    <row r="87" spans="1:26" hidden="1" x14ac:dyDescent="0.2">
      <c r="A87" s="26"/>
      <c r="B87" s="26"/>
      <c r="C87" s="26"/>
      <c r="D87" s="26"/>
      <c r="E87" s="26"/>
      <c r="F87" s="26"/>
      <c r="G87" s="26" t="s">
        <v>58</v>
      </c>
      <c r="H87" s="26"/>
      <c r="I87" s="26"/>
      <c r="J87" s="26"/>
      <c r="K87" s="26"/>
      <c r="L87" s="26"/>
      <c r="M87" s="26"/>
      <c r="N87" s="26"/>
      <c r="O87" s="26"/>
      <c r="P87" s="26"/>
      <c r="Q87" s="26"/>
      <c r="R87" s="26"/>
      <c r="S87" s="26"/>
      <c r="T87" s="26"/>
      <c r="U87" s="26"/>
      <c r="V87" s="26"/>
      <c r="W87" s="26"/>
      <c r="X87" s="26"/>
      <c r="Y87" s="26"/>
      <c r="Z87" s="26"/>
    </row>
    <row r="88" spans="1:26" hidden="1" x14ac:dyDescent="0.2">
      <c r="A88" s="26"/>
      <c r="B88" s="26"/>
      <c r="C88" s="26"/>
      <c r="D88" s="26"/>
      <c r="E88" s="26"/>
      <c r="F88" s="26"/>
      <c r="G88" s="26" t="s">
        <v>629</v>
      </c>
      <c r="H88" s="26"/>
      <c r="I88" s="26"/>
      <c r="J88" s="26"/>
      <c r="K88" s="26"/>
      <c r="L88" s="26"/>
      <c r="M88" s="26"/>
      <c r="N88" s="26"/>
      <c r="O88" s="26"/>
      <c r="P88" s="26"/>
      <c r="Q88" s="26"/>
      <c r="R88" s="26"/>
      <c r="S88" s="26"/>
      <c r="T88" s="26"/>
      <c r="U88" s="26"/>
      <c r="V88" s="26"/>
      <c r="W88" s="26"/>
      <c r="X88" s="26"/>
      <c r="Y88" s="26"/>
      <c r="Z88" s="26"/>
    </row>
    <row r="89" spans="1:26" hidden="1" x14ac:dyDescent="0.2">
      <c r="G89" s="48" t="s">
        <v>427</v>
      </c>
    </row>
  </sheetData>
  <sheetProtection password="ECB1" sheet="1" objects="1" scenarios="1"/>
  <sortState ref="G5:G89">
    <sortCondition ref="G5"/>
  </sortState>
  <mergeCells count="88">
    <mergeCell ref="D18:E18"/>
    <mergeCell ref="B6:D6"/>
    <mergeCell ref="B1:D1"/>
    <mergeCell ref="B2:E2"/>
    <mergeCell ref="B3:E3"/>
    <mergeCell ref="B4:E4"/>
    <mergeCell ref="B5:D5"/>
    <mergeCell ref="B12:D13"/>
    <mergeCell ref="B14:E14"/>
    <mergeCell ref="C15:E15"/>
    <mergeCell ref="D16:E16"/>
    <mergeCell ref="D17:E17"/>
    <mergeCell ref="B7:D7"/>
    <mergeCell ref="B8:D8"/>
    <mergeCell ref="B9:D9"/>
    <mergeCell ref="B10:D10"/>
    <mergeCell ref="B11:D11"/>
    <mergeCell ref="C33:E33"/>
    <mergeCell ref="D34:E34"/>
    <mergeCell ref="B19:B20"/>
    <mergeCell ref="C19:C20"/>
    <mergeCell ref="D19:E19"/>
    <mergeCell ref="D20:E20"/>
    <mergeCell ref="D32:E32"/>
    <mergeCell ref="C21:E21"/>
    <mergeCell ref="D22:E22"/>
    <mergeCell ref="D23:E23"/>
    <mergeCell ref="D24:E24"/>
    <mergeCell ref="D25:E25"/>
    <mergeCell ref="D26:E26"/>
    <mergeCell ref="D27:E27"/>
    <mergeCell ref="C28:E28"/>
    <mergeCell ref="B40:B41"/>
    <mergeCell ref="C40:C41"/>
    <mergeCell ref="D40:E40"/>
    <mergeCell ref="D41:E41"/>
    <mergeCell ref="C38:E38"/>
    <mergeCell ref="D39:E39"/>
    <mergeCell ref="D35:E35"/>
    <mergeCell ref="D36:E36"/>
    <mergeCell ref="D37:E37"/>
    <mergeCell ref="D42:E42"/>
    <mergeCell ref="D29:E29"/>
    <mergeCell ref="D30:E30"/>
    <mergeCell ref="D31:E31"/>
    <mergeCell ref="D59:E59"/>
    <mergeCell ref="C44:C45"/>
    <mergeCell ref="D44:E44"/>
    <mergeCell ref="D45:E45"/>
    <mergeCell ref="C46:E46"/>
    <mergeCell ref="D48:E48"/>
    <mergeCell ref="D49:E49"/>
    <mergeCell ref="D50:E50"/>
    <mergeCell ref="D51:E51"/>
    <mergeCell ref="D56:E56"/>
    <mergeCell ref="D52:E52"/>
    <mergeCell ref="C57:C58"/>
    <mergeCell ref="D57:E57"/>
    <mergeCell ref="D58:E58"/>
    <mergeCell ref="B53:B54"/>
    <mergeCell ref="C53:C54"/>
    <mergeCell ref="D53:E53"/>
    <mergeCell ref="D54:E54"/>
    <mergeCell ref="C55:E55"/>
    <mergeCell ref="D43:E43"/>
    <mergeCell ref="B44:B45"/>
    <mergeCell ref="D70:E70"/>
    <mergeCell ref="C61:E61"/>
    <mergeCell ref="D62:E62"/>
    <mergeCell ref="B63:B64"/>
    <mergeCell ref="C63:C64"/>
    <mergeCell ref="D63:E63"/>
    <mergeCell ref="D64:E64"/>
    <mergeCell ref="D65:E65"/>
    <mergeCell ref="D66:E66"/>
    <mergeCell ref="C67:E67"/>
    <mergeCell ref="D68:E68"/>
    <mergeCell ref="D69:E69"/>
    <mergeCell ref="D60:E60"/>
    <mergeCell ref="B57:B58"/>
    <mergeCell ref="B77:E77"/>
    <mergeCell ref="B79:E79"/>
    <mergeCell ref="C71:E71"/>
    <mergeCell ref="D72:E72"/>
    <mergeCell ref="D73:E73"/>
    <mergeCell ref="D74:E74"/>
    <mergeCell ref="D75:E75"/>
    <mergeCell ref="C76:E76"/>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55:C55">
    <cfRule type="expression" dxfId="41" priority="20" stopIfTrue="1">
      <formula>IF(COUNTA($C56:$C60)=0,1-1,IF(COUNTA($C56:$C60)=1,1+0,1+1))=1</formula>
    </cfRule>
  </conditionalFormatting>
  <conditionalFormatting sqref="B61:C61">
    <cfRule type="expression" dxfId="40" priority="21" stopIfTrue="1">
      <formula>IF(COUNTA($C62:$C66)=0,1-1,IF(COUNTA($C62:$C66)=1,1+0,1+1))=1</formula>
    </cfRule>
  </conditionalFormatting>
  <conditionalFormatting sqref="B71:C71 B67:C67">
    <cfRule type="expression" dxfId="39" priority="22" stopIfTrue="1">
      <formula>IF(COUNTA($C68:$C70)=0,1-1,IF(COUNTA($C68:$C70)=1,1+0,1+1))=1</formula>
    </cfRule>
  </conditionalFormatting>
  <conditionalFormatting sqref="B76:C76">
    <cfRule type="expression" dxfId="38" priority="23" stopIfTrue="1">
      <formula>IF(LEN($B77)&lt;5,0,1)=1</formula>
    </cfRule>
  </conditionalFormatting>
  <conditionalFormatting sqref="B6:D6">
    <cfRule type="expression" dxfId="37" priority="12" stopIfTrue="1">
      <formula>IF(LEN($E6)&lt;2,0,1)=1</formula>
    </cfRule>
  </conditionalFormatting>
  <conditionalFormatting sqref="B7:D7">
    <cfRule type="expression" dxfId="36" priority="11" stopIfTrue="1">
      <formula>IF(LEN($E7)&lt;1,0,1)=1</formula>
    </cfRule>
  </conditionalFormatting>
  <conditionalFormatting sqref="B8:D8">
    <cfRule type="expression" dxfId="35" priority="10" stopIfTrue="1">
      <formula>IF(LEN(E8)&lt;5,0,IF(ISERROR(SEARCH("@",E8)),0,1))=1</formula>
    </cfRule>
  </conditionalFormatting>
  <conditionalFormatting sqref="B9:D9">
    <cfRule type="expression" dxfId="34" priority="9" stopIfTrue="1">
      <formula>IF(LEN($E9)&lt;5,0,1)=1</formula>
    </cfRule>
  </conditionalFormatting>
  <conditionalFormatting sqref="B10:D10">
    <cfRule type="expression" dxfId="33" priority="8" stopIfTrue="1">
      <formula>IF(ISERROR(MATCH(E10,Анкета_Виды_лиц,0)),0,1)=1</formula>
    </cfRule>
  </conditionalFormatting>
  <conditionalFormatting sqref="E12:E13">
    <cfRule type="expression" dxfId="32" priority="2" stopIfTrue="1">
      <formula>IF(OR(E10="частное лицо",E10="орган власти субъекта РФ",E10="орган местного самоуправления"),1,0)=1</formula>
    </cfRule>
  </conditionalFormatting>
  <conditionalFormatting sqref="B11:D11">
    <cfRule type="expression" dxfId="31" priority="3" stopIfTrue="1">
      <formula>IF(E10="частное лицо",1,0)=1</formula>
    </cfRule>
    <cfRule type="expression" dxfId="30" priority="6" stopIfTrue="1">
      <formula>IF(LEN($E11)&lt;3,0,1)=1</formula>
    </cfRule>
  </conditionalFormatting>
  <conditionalFormatting sqref="B12:D13">
    <cfRule type="expression" dxfId="29" priority="4" stopIfTrue="1">
      <formula>IF(OR(E10="частное лицо",E10="орган власти субъекта РФ",E10="орган местного самоуправления"),1,0)=1</formula>
    </cfRule>
    <cfRule type="expression" dxfId="28" priority="5" stopIfTrue="1">
      <formula>IF(OR(ISBLANK(E10),ISBLANK(E11)),0,IF(ISERROR(MATCH(E12,Анкета_Виды_деятельности,0)),0,IF(E12&lt;&gt;"иная деятельность",1,IF(LEN(E13)&lt;3,0,1)))=1)</formula>
    </cfRule>
  </conditionalFormatting>
  <conditionalFormatting sqref="E13">
    <cfRule type="expression" dxfId="27" priority="7" stopIfTrue="1">
      <formula>IF(E12&lt;&gt;"иная деятельность",1,0)=1</formula>
    </cfRule>
  </conditionalFormatting>
  <conditionalFormatting sqref="E11">
    <cfRule type="expression" dxfId="26" priority="1">
      <formula>IF(E10="частное лицо",1,0)=1</formula>
    </cfRule>
  </conditionalFormatting>
  <conditionalFormatting sqref="B46:C46">
    <cfRule type="expression" dxfId="25" priority="245" stopIfTrue="1">
      <formula>IF(COUNTA($C48:$C54)=0,1-1,IF(COUNTA($C48:$C54)=1,1+0,1+1))=1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65541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 ref="E81" r:id="rId2" tooltip="обратная связь..."/>
  </hyperlinks>
  <printOptions horizontalCentered="1"/>
  <pageMargins left="0.23622047244094491" right="0.23622047244094491" top="0.74803149606299213" bottom="0.74803149606299213" header="0.31496062992125984" footer="0.31496062992125984"/>
  <pageSetup paperSize="9" scale="88" fitToHeight="0" orientation="portrait" r:id="rId3"/>
  <headerFooter>
    <oddFooter>&amp;RСтраница &amp;P из &amp;N</oddFooter>
  </headerFooter>
  <rowBreaks count="1" manualBreakCount="1">
    <brk id="45" min="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101"/>
  <sheetViews>
    <sheetView zoomScaleNormal="100" workbookViewId="0">
      <pane xSplit="2" ySplit="4" topLeftCell="K35" activePane="bottomRight" state="frozen"/>
      <selection activeCell="B77" sqref="B77:E77"/>
      <selection pane="topRight" activeCell="B77" sqref="B77:E77"/>
      <selection pane="bottomLeft" activeCell="B77" sqref="B77:E77"/>
      <selection pane="bottomRight" sqref="A1:XFD1048576"/>
    </sheetView>
  </sheetViews>
  <sheetFormatPr defaultColWidth="9.140625" defaultRowHeight="15" x14ac:dyDescent="0.25"/>
  <cols>
    <col min="1" max="1" width="14.85546875" style="967" customWidth="1"/>
    <col min="2" max="2" width="41.5703125" style="51" customWidth="1"/>
    <col min="3" max="3" width="22.28515625" style="51" customWidth="1"/>
    <col min="4" max="4" width="11" style="51" customWidth="1"/>
    <col min="5" max="5" width="10.140625" style="51" customWidth="1"/>
    <col min="6" max="6" width="10.28515625" style="51" customWidth="1"/>
    <col min="7" max="9" width="11.7109375" style="51" customWidth="1"/>
    <col min="10" max="10" width="8.28515625" style="51" customWidth="1"/>
    <col min="11" max="13" width="12.28515625" style="51" customWidth="1"/>
    <col min="14" max="14" width="16.42578125" style="51" customWidth="1"/>
    <col min="15" max="15" width="10.42578125" style="51" customWidth="1"/>
    <col min="16" max="16" width="11.28515625" style="51" customWidth="1"/>
    <col min="17" max="17" width="15.85546875" style="51" customWidth="1"/>
    <col min="18" max="18" width="12.5703125" style="51" customWidth="1"/>
    <col min="19" max="19" width="14.85546875" style="51" customWidth="1"/>
    <col min="20" max="20" width="15.140625" style="51" customWidth="1"/>
    <col min="21" max="21" width="12.42578125" style="51" customWidth="1"/>
    <col min="22" max="22" width="12.85546875" style="51" customWidth="1"/>
    <col min="23" max="23" width="11.42578125" style="51" customWidth="1"/>
    <col min="24" max="24" width="20.42578125" style="51" customWidth="1"/>
    <col min="25" max="25" width="14" style="51" customWidth="1"/>
    <col min="26" max="28" width="13" style="51" customWidth="1"/>
    <col min="29" max="29" width="14.7109375" style="51" customWidth="1"/>
    <col min="30" max="16384" width="9.140625" style="51"/>
  </cols>
  <sheetData>
    <row r="1" spans="1:46" ht="24.75" customHeight="1" x14ac:dyDescent="0.45">
      <c r="A1" s="2446"/>
      <c r="B1" s="2446"/>
      <c r="C1" s="2446"/>
      <c r="D1" s="2446"/>
      <c r="E1" s="2446"/>
      <c r="F1" s="2446"/>
      <c r="G1" s="2446"/>
      <c r="H1" s="2446"/>
      <c r="I1" s="2446"/>
      <c r="J1" s="2446"/>
      <c r="K1" s="2446"/>
      <c r="L1" s="2446"/>
      <c r="M1" s="2446"/>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row>
    <row r="2" spans="1:46" x14ac:dyDescent="0.25">
      <c r="A2" s="885" t="s">
        <v>610</v>
      </c>
      <c r="B2" s="886" t="str">
        <f>CONCATENATE('Ввод исходных данных'!D14,'Ввод исходных данных'!D19,'Ввод исходных данных'!D17)</f>
        <v>Нет в списке</v>
      </c>
      <c r="C2" s="886">
        <v>1</v>
      </c>
      <c r="D2" s="886">
        <v>2</v>
      </c>
      <c r="E2" s="886">
        <v>3</v>
      </c>
      <c r="F2" s="886">
        <v>4</v>
      </c>
      <c r="G2" s="886">
        <v>5</v>
      </c>
      <c r="H2" s="886">
        <v>6</v>
      </c>
      <c r="I2" s="886">
        <v>7</v>
      </c>
      <c r="J2" s="886">
        <v>8</v>
      </c>
      <c r="K2" s="886">
        <v>9</v>
      </c>
      <c r="L2" s="886">
        <v>10</v>
      </c>
      <c r="M2" s="886">
        <v>11</v>
      </c>
      <c r="N2" s="886">
        <v>12</v>
      </c>
      <c r="O2" s="886">
        <v>13</v>
      </c>
      <c r="P2" s="886">
        <v>14</v>
      </c>
      <c r="Q2" s="886">
        <v>15</v>
      </c>
      <c r="R2" s="886">
        <v>16</v>
      </c>
      <c r="S2" s="886">
        <v>17</v>
      </c>
      <c r="T2" s="886">
        <v>18</v>
      </c>
      <c r="U2" s="886">
        <v>19</v>
      </c>
      <c r="V2" s="886">
        <v>20</v>
      </c>
      <c r="W2" s="886">
        <v>21</v>
      </c>
      <c r="X2" s="886">
        <v>22</v>
      </c>
      <c r="Y2" s="886">
        <v>23</v>
      </c>
      <c r="Z2" s="886">
        <v>24</v>
      </c>
      <c r="AA2" s="886">
        <v>25</v>
      </c>
      <c r="AB2" s="886">
        <v>26</v>
      </c>
      <c r="AC2" s="50"/>
      <c r="AD2" s="50"/>
      <c r="AE2" s="50"/>
      <c r="AF2" s="50"/>
      <c r="AG2" s="50"/>
      <c r="AH2" s="50"/>
      <c r="AI2" s="50"/>
      <c r="AJ2" s="50"/>
      <c r="AK2" s="50"/>
      <c r="AL2" s="50"/>
      <c r="AM2" s="50"/>
      <c r="AN2" s="50"/>
      <c r="AO2" s="50"/>
      <c r="AP2" s="50"/>
      <c r="AQ2" s="50"/>
      <c r="AR2" s="50"/>
      <c r="AS2" s="50"/>
      <c r="AT2" s="50"/>
    </row>
    <row r="3" spans="1:46" ht="13.5" customHeight="1" x14ac:dyDescent="0.25">
      <c r="A3" s="887"/>
      <c r="B3" s="60"/>
      <c r="C3" s="888"/>
      <c r="D3" s="60"/>
      <c r="E3" s="60"/>
      <c r="F3" s="889"/>
      <c r="G3" s="60"/>
      <c r="H3" s="60"/>
      <c r="I3" s="60"/>
      <c r="J3" s="60"/>
      <c r="K3" s="890"/>
      <c r="L3" s="890"/>
      <c r="M3" s="890"/>
      <c r="N3" s="60"/>
      <c r="O3" s="60"/>
      <c r="P3" s="60"/>
      <c r="Q3" s="60"/>
      <c r="R3" s="60"/>
      <c r="S3" s="60"/>
      <c r="T3" s="60"/>
      <c r="U3" s="60"/>
      <c r="V3" s="890"/>
      <c r="W3" s="60"/>
      <c r="X3" s="891"/>
      <c r="Y3" s="892"/>
      <c r="Z3" s="891" t="s">
        <v>1414</v>
      </c>
      <c r="AA3" s="891"/>
      <c r="AB3" s="891"/>
      <c r="AC3" s="50"/>
      <c r="AD3" s="50"/>
      <c r="AE3" s="50"/>
      <c r="AF3" s="50"/>
      <c r="AG3" s="50"/>
      <c r="AH3" s="50"/>
      <c r="AI3" s="50"/>
      <c r="AJ3" s="50"/>
      <c r="AK3" s="50"/>
      <c r="AL3" s="50"/>
      <c r="AM3" s="50"/>
      <c r="AN3" s="50"/>
      <c r="AO3" s="50"/>
      <c r="AP3" s="50"/>
      <c r="AQ3" s="50"/>
      <c r="AR3" s="50"/>
      <c r="AS3" s="50"/>
      <c r="AT3" s="50"/>
    </row>
    <row r="4" spans="1:46" s="215" customFormat="1" ht="90" customHeight="1" x14ac:dyDescent="0.25">
      <c r="A4" s="893" t="s">
        <v>756</v>
      </c>
      <c r="B4" s="894"/>
      <c r="C4" s="895" t="s">
        <v>444</v>
      </c>
      <c r="D4" s="896" t="s">
        <v>839</v>
      </c>
      <c r="E4" s="896" t="s">
        <v>840</v>
      </c>
      <c r="F4" s="896" t="s">
        <v>1395</v>
      </c>
      <c r="G4" s="896" t="s">
        <v>1357</v>
      </c>
      <c r="H4" s="896" t="s">
        <v>1351</v>
      </c>
      <c r="I4" s="896" t="s">
        <v>841</v>
      </c>
      <c r="J4" s="896" t="s">
        <v>1396</v>
      </c>
      <c r="K4" s="897" t="s">
        <v>842</v>
      </c>
      <c r="L4" s="897" t="s">
        <v>855</v>
      </c>
      <c r="M4" s="897" t="s">
        <v>856</v>
      </c>
      <c r="N4" s="896" t="s">
        <v>1397</v>
      </c>
      <c r="O4" s="895" t="s">
        <v>843</v>
      </c>
      <c r="P4" s="896" t="s">
        <v>844</v>
      </c>
      <c r="Q4" s="896" t="s">
        <v>845</v>
      </c>
      <c r="R4" s="896" t="s">
        <v>846</v>
      </c>
      <c r="S4" s="896" t="s">
        <v>847</v>
      </c>
      <c r="T4" s="896" t="s">
        <v>848</v>
      </c>
      <c r="U4" s="896" t="s">
        <v>849</v>
      </c>
      <c r="V4" s="896" t="s">
        <v>850</v>
      </c>
      <c r="W4" s="895" t="s">
        <v>851</v>
      </c>
      <c r="X4" s="896" t="s">
        <v>1481</v>
      </c>
      <c r="Y4" s="894" t="s">
        <v>852</v>
      </c>
      <c r="Z4" s="896" t="s">
        <v>1352</v>
      </c>
      <c r="AA4" s="896" t="s">
        <v>1463</v>
      </c>
      <c r="AB4" s="896" t="s">
        <v>1482</v>
      </c>
      <c r="AC4" s="50"/>
      <c r="AD4" s="50"/>
      <c r="AE4" s="50"/>
      <c r="AF4" s="50"/>
      <c r="AG4" s="50"/>
      <c r="AH4" s="50"/>
      <c r="AI4" s="50"/>
      <c r="AJ4" s="50"/>
      <c r="AK4" s="50"/>
      <c r="AL4" s="50"/>
      <c r="AM4" s="50"/>
      <c r="AN4" s="50"/>
      <c r="AO4" s="50"/>
      <c r="AP4" s="50"/>
      <c r="AQ4" s="50"/>
      <c r="AR4" s="50"/>
      <c r="AS4" s="50"/>
      <c r="AT4" s="50"/>
    </row>
    <row r="5" spans="1:46" s="215" customFormat="1" x14ac:dyDescent="0.25">
      <c r="A5" s="898"/>
      <c r="B5" s="899"/>
      <c r="C5" s="259"/>
      <c r="D5" s="900" t="s">
        <v>853</v>
      </c>
      <c r="E5" s="901" t="s">
        <v>853</v>
      </c>
      <c r="F5" s="900" t="s">
        <v>492</v>
      </c>
      <c r="G5" s="900" t="s">
        <v>492</v>
      </c>
      <c r="H5" s="900"/>
      <c r="I5" s="900" t="s">
        <v>492</v>
      </c>
      <c r="J5" s="900" t="s">
        <v>493</v>
      </c>
      <c r="K5" s="900" t="s">
        <v>493</v>
      </c>
      <c r="L5" s="900" t="s">
        <v>493</v>
      </c>
      <c r="M5" s="900" t="s">
        <v>493</v>
      </c>
      <c r="N5" s="902" t="s">
        <v>492</v>
      </c>
      <c r="O5" s="903" t="s">
        <v>492</v>
      </c>
      <c r="P5" s="900" t="s">
        <v>853</v>
      </c>
      <c r="Q5" s="900" t="s">
        <v>853</v>
      </c>
      <c r="R5" s="900" t="s">
        <v>853</v>
      </c>
      <c r="S5" s="900" t="s">
        <v>492</v>
      </c>
      <c r="T5" s="900" t="s">
        <v>492</v>
      </c>
      <c r="U5" s="904" t="s">
        <v>492</v>
      </c>
      <c r="V5" s="904" t="s">
        <v>853</v>
      </c>
      <c r="W5" s="902" t="s">
        <v>492</v>
      </c>
      <c r="X5" s="903" t="s">
        <v>492</v>
      </c>
      <c r="Y5" s="903" t="s">
        <v>492</v>
      </c>
      <c r="Z5" s="903" t="s">
        <v>492</v>
      </c>
      <c r="AA5" s="903" t="s">
        <v>492</v>
      </c>
      <c r="AB5" s="903"/>
      <c r="AC5" s="50"/>
      <c r="AD5" s="50"/>
      <c r="AE5" s="50"/>
      <c r="AF5" s="50"/>
      <c r="AG5" s="50"/>
      <c r="AH5" s="50"/>
      <c r="AI5" s="50"/>
      <c r="AJ5" s="50"/>
      <c r="AK5" s="50"/>
      <c r="AL5" s="50"/>
      <c r="AM5" s="50"/>
      <c r="AN5" s="50"/>
      <c r="AO5" s="50"/>
      <c r="AP5" s="50"/>
      <c r="AQ5" s="50"/>
      <c r="AR5" s="50"/>
      <c r="AS5" s="50"/>
      <c r="AT5" s="50"/>
    </row>
    <row r="6" spans="1:46" s="215" customFormat="1" ht="19.5" customHeight="1" x14ac:dyDescent="0.25">
      <c r="A6" s="898"/>
      <c r="B6" s="2443" t="s">
        <v>1354</v>
      </c>
      <c r="C6" s="2444"/>
      <c r="D6" s="2444"/>
      <c r="E6" s="2444"/>
      <c r="F6" s="2445"/>
      <c r="G6" s="900"/>
      <c r="H6" s="900"/>
      <c r="I6" s="900"/>
      <c r="J6" s="900"/>
      <c r="K6" s="900"/>
      <c r="L6" s="900"/>
      <c r="M6" s="900"/>
      <c r="N6" s="902"/>
      <c r="O6" s="903"/>
      <c r="P6" s="900"/>
      <c r="Q6" s="900"/>
      <c r="R6" s="900"/>
      <c r="S6" s="900"/>
      <c r="T6" s="900"/>
      <c r="U6" s="904"/>
      <c r="V6" s="904"/>
      <c r="W6" s="905"/>
      <c r="X6" s="903"/>
      <c r="Y6" s="906"/>
      <c r="Z6" s="903"/>
      <c r="AA6" s="903"/>
      <c r="AB6" s="903"/>
      <c r="AC6" s="50"/>
      <c r="AD6" s="50"/>
      <c r="AE6" s="50"/>
      <c r="AF6" s="50"/>
      <c r="AG6" s="50"/>
      <c r="AH6" s="50"/>
      <c r="AI6" s="50"/>
      <c r="AJ6" s="50"/>
      <c r="AK6" s="50"/>
      <c r="AL6" s="50"/>
      <c r="AM6" s="50"/>
      <c r="AN6" s="50"/>
      <c r="AO6" s="50"/>
      <c r="AP6" s="50"/>
      <c r="AQ6" s="50"/>
      <c r="AR6" s="50"/>
      <c r="AS6" s="50"/>
      <c r="AT6" s="50"/>
    </row>
    <row r="7" spans="1:46" ht="15" customHeight="1" x14ac:dyDescent="0.25">
      <c r="A7" s="907" t="s">
        <v>1376</v>
      </c>
      <c r="B7" s="908"/>
      <c r="C7" s="908" t="str">
        <f t="shared" ref="C7:C13" si="0">CONCATENATE(A7,D7,E7)</f>
        <v>I-33555</v>
      </c>
      <c r="D7" s="909">
        <v>5</v>
      </c>
      <c r="E7" s="909">
        <v>5</v>
      </c>
      <c r="F7" s="910">
        <f t="shared" ref="F7:F16" si="1">L7*M7*D7</f>
        <v>4872</v>
      </c>
      <c r="G7" s="910">
        <f>159*$D7*$E7</f>
        <v>3975</v>
      </c>
      <c r="H7" s="910">
        <f>117.25*$D7*$E7</f>
        <v>2931.25</v>
      </c>
      <c r="I7" s="910">
        <f>F7-G7</f>
        <v>897</v>
      </c>
      <c r="J7" s="911">
        <f t="shared" ref="J7:J51" si="2">K7*D7</f>
        <v>13.5</v>
      </c>
      <c r="K7" s="911">
        <v>2.7</v>
      </c>
      <c r="L7" s="909">
        <f>16.8*5</f>
        <v>84</v>
      </c>
      <c r="M7" s="909">
        <f>11.6</f>
        <v>11.6</v>
      </c>
      <c r="N7" s="911">
        <f>2*(L7+M7)*J7</f>
        <v>2581.1999999999998</v>
      </c>
      <c r="O7" s="912">
        <f t="shared" ref="O7:O37" si="3">N7-S7-W7</f>
        <v>1808.4499999999998</v>
      </c>
      <c r="P7" s="909">
        <f>Q7+R7</f>
        <v>295</v>
      </c>
      <c r="Q7" s="909">
        <f>11*D7*E7</f>
        <v>275</v>
      </c>
      <c r="R7" s="909">
        <f>1*D7*E7-E7</f>
        <v>20</v>
      </c>
      <c r="S7" s="910">
        <f>T7+U7</f>
        <v>754</v>
      </c>
      <c r="T7" s="913">
        <f>Q7*2.56</f>
        <v>704</v>
      </c>
      <c r="U7" s="913">
        <f>2.5*R7</f>
        <v>50</v>
      </c>
      <c r="V7" s="913">
        <f t="shared" ref="V7:V51" si="4">1*E7</f>
        <v>5</v>
      </c>
      <c r="W7" s="914">
        <f>3.75*V7</f>
        <v>18.75</v>
      </c>
      <c r="X7" s="913">
        <f t="shared" ref="X7:Y10" si="5">202.5*$E7</f>
        <v>1012.5</v>
      </c>
      <c r="Y7" s="915">
        <f t="shared" si="5"/>
        <v>1012.5</v>
      </c>
      <c r="Z7" s="913">
        <f>Y7+(L7+M7)*2*2.5</f>
        <v>1490.5</v>
      </c>
      <c r="AA7" s="916">
        <f>M7*J7</f>
        <v>156.6</v>
      </c>
      <c r="AB7" s="916">
        <f>(L7+M7)*2</f>
        <v>191.2</v>
      </c>
      <c r="AC7" s="917"/>
      <c r="AD7" s="917"/>
      <c r="AE7" s="476"/>
      <c r="AF7" s="476"/>
      <c r="AG7" s="50"/>
      <c r="AH7" s="50"/>
      <c r="AI7" s="50"/>
      <c r="AJ7" s="50"/>
      <c r="AK7" s="50"/>
      <c r="AL7" s="50"/>
      <c r="AM7" s="50"/>
      <c r="AN7" s="50"/>
      <c r="AO7" s="50"/>
      <c r="AP7" s="50"/>
      <c r="AQ7" s="50"/>
      <c r="AR7" s="50"/>
      <c r="AS7" s="50"/>
      <c r="AT7" s="50"/>
    </row>
    <row r="8" spans="1:46" ht="15" customHeight="1" x14ac:dyDescent="0.25">
      <c r="A8" s="907" t="s">
        <v>1376</v>
      </c>
      <c r="B8" s="908"/>
      <c r="C8" s="918" t="str">
        <f t="shared" si="0"/>
        <v>I-33554</v>
      </c>
      <c r="D8" s="911">
        <v>5</v>
      </c>
      <c r="E8" s="911">
        <v>4</v>
      </c>
      <c r="F8" s="911">
        <f t="shared" si="1"/>
        <v>3897.6</v>
      </c>
      <c r="G8" s="911">
        <f>159*$D8*$E8</f>
        <v>3180</v>
      </c>
      <c r="H8" s="911">
        <f>117.25*$D8*$E8</f>
        <v>2345</v>
      </c>
      <c r="I8" s="911">
        <f t="shared" ref="I8:I13" si="6">F8-G8</f>
        <v>717.59999999999991</v>
      </c>
      <c r="J8" s="911">
        <f t="shared" si="2"/>
        <v>13.5</v>
      </c>
      <c r="K8" s="911">
        <v>2.7</v>
      </c>
      <c r="L8" s="911">
        <f>16.8*E8</f>
        <v>67.2</v>
      </c>
      <c r="M8" s="911">
        <f>11.6</f>
        <v>11.6</v>
      </c>
      <c r="N8" s="911">
        <f>2*(L8+M8)*J8</f>
        <v>2127.6</v>
      </c>
      <c r="O8" s="912">
        <f t="shared" si="3"/>
        <v>1509.3999999999999</v>
      </c>
      <c r="P8" s="911">
        <f t="shared" ref="P8:P13" si="7">Q8+R8</f>
        <v>236</v>
      </c>
      <c r="Q8" s="911">
        <f>11*D8*E8</f>
        <v>220</v>
      </c>
      <c r="R8" s="909">
        <f t="shared" ref="R8:R49" si="8">1*D8*E8-E8</f>
        <v>16</v>
      </c>
      <c r="S8" s="911">
        <f t="shared" ref="S8:S13" si="9">T8+U8</f>
        <v>603.20000000000005</v>
      </c>
      <c r="T8" s="911">
        <f>Q8*2.56</f>
        <v>563.20000000000005</v>
      </c>
      <c r="U8" s="911">
        <f>2.5*R8</f>
        <v>40</v>
      </c>
      <c r="V8" s="911">
        <f t="shared" si="4"/>
        <v>4</v>
      </c>
      <c r="W8" s="919">
        <f>3.75*V8</f>
        <v>15</v>
      </c>
      <c r="X8" s="911">
        <f t="shared" si="5"/>
        <v>810</v>
      </c>
      <c r="Y8" s="920">
        <f t="shared" si="5"/>
        <v>810</v>
      </c>
      <c r="Z8" s="911">
        <f t="shared" ref="Z8:Z50" si="10">Y8+(L8+M8)*2*2.5</f>
        <v>1204</v>
      </c>
      <c r="AA8" s="921">
        <f t="shared" ref="AA8:AA50" si="11">M8*J8</f>
        <v>156.6</v>
      </c>
      <c r="AB8" s="916">
        <f t="shared" ref="AB8:AB51" si="12">(L8+M8)*2</f>
        <v>157.6</v>
      </c>
      <c r="AC8" s="917"/>
      <c r="AD8" s="917"/>
      <c r="AE8" s="476"/>
      <c r="AF8" s="476"/>
      <c r="AG8" s="50"/>
      <c r="AH8" s="50"/>
      <c r="AI8" s="50"/>
      <c r="AJ8" s="50"/>
      <c r="AK8" s="50"/>
      <c r="AL8" s="50"/>
      <c r="AM8" s="50"/>
      <c r="AN8" s="50"/>
      <c r="AO8" s="50"/>
      <c r="AP8" s="50"/>
      <c r="AQ8" s="50"/>
      <c r="AR8" s="50"/>
      <c r="AS8" s="50"/>
      <c r="AT8" s="50"/>
    </row>
    <row r="9" spans="1:46" ht="15" customHeight="1" x14ac:dyDescent="0.25">
      <c r="A9" s="907" t="s">
        <v>1376</v>
      </c>
      <c r="B9" s="908"/>
      <c r="C9" s="908" t="str">
        <f t="shared" si="0"/>
        <v>I-33553</v>
      </c>
      <c r="D9" s="911">
        <v>5</v>
      </c>
      <c r="E9" s="911">
        <v>3</v>
      </c>
      <c r="F9" s="911">
        <f t="shared" si="1"/>
        <v>2923.2000000000007</v>
      </c>
      <c r="G9" s="911">
        <f>159*$D9*$E9</f>
        <v>2385</v>
      </c>
      <c r="H9" s="911">
        <f>117.25*$D9*$E9</f>
        <v>1758.75</v>
      </c>
      <c r="I9" s="911">
        <f t="shared" si="6"/>
        <v>538.20000000000073</v>
      </c>
      <c r="J9" s="911">
        <f t="shared" si="2"/>
        <v>13.5</v>
      </c>
      <c r="K9" s="911">
        <v>2.7</v>
      </c>
      <c r="L9" s="911">
        <f>16.8*E9</f>
        <v>50.400000000000006</v>
      </c>
      <c r="M9" s="911">
        <f>11.6</f>
        <v>11.6</v>
      </c>
      <c r="N9" s="911">
        <f t="shared" ref="N9:N14" si="13">2*(L9+M9)*J9</f>
        <v>1674.0000000000002</v>
      </c>
      <c r="O9" s="912">
        <f t="shared" si="3"/>
        <v>1210.3500000000001</v>
      </c>
      <c r="P9" s="911">
        <f t="shared" si="7"/>
        <v>177</v>
      </c>
      <c r="Q9" s="911">
        <f>11*D9*E9</f>
        <v>165</v>
      </c>
      <c r="R9" s="909">
        <f t="shared" si="8"/>
        <v>12</v>
      </c>
      <c r="S9" s="911">
        <f t="shared" si="9"/>
        <v>452.40000000000003</v>
      </c>
      <c r="T9" s="911">
        <f>Q9*2.56</f>
        <v>422.40000000000003</v>
      </c>
      <c r="U9" s="911">
        <f>2.5*R9</f>
        <v>30</v>
      </c>
      <c r="V9" s="911">
        <f t="shared" si="4"/>
        <v>3</v>
      </c>
      <c r="W9" s="919">
        <f>3.75*V9</f>
        <v>11.25</v>
      </c>
      <c r="X9" s="911">
        <f t="shared" si="5"/>
        <v>607.5</v>
      </c>
      <c r="Y9" s="920">
        <f t="shared" si="5"/>
        <v>607.5</v>
      </c>
      <c r="Z9" s="911">
        <f t="shared" si="10"/>
        <v>917.5</v>
      </c>
      <c r="AA9" s="921">
        <f t="shared" si="11"/>
        <v>156.6</v>
      </c>
      <c r="AB9" s="916">
        <f t="shared" si="12"/>
        <v>124.00000000000001</v>
      </c>
      <c r="AC9" s="917"/>
      <c r="AD9" s="917"/>
      <c r="AE9" s="476"/>
      <c r="AF9" s="476"/>
      <c r="AG9" s="50"/>
      <c r="AH9" s="50"/>
      <c r="AI9" s="50"/>
      <c r="AJ9" s="50"/>
      <c r="AK9" s="50"/>
      <c r="AL9" s="50"/>
      <c r="AM9" s="50"/>
      <c r="AN9" s="50"/>
      <c r="AO9" s="50"/>
      <c r="AP9" s="50"/>
      <c r="AQ9" s="50"/>
      <c r="AR9" s="50"/>
      <c r="AS9" s="50"/>
      <c r="AT9" s="50"/>
    </row>
    <row r="10" spans="1:46" ht="15" customHeight="1" x14ac:dyDescent="0.25">
      <c r="A10" s="907" t="s">
        <v>1376</v>
      </c>
      <c r="B10" s="908"/>
      <c r="C10" s="908" t="str">
        <f t="shared" si="0"/>
        <v>I-33556</v>
      </c>
      <c r="D10" s="911">
        <v>5</v>
      </c>
      <c r="E10" s="911">
        <v>6</v>
      </c>
      <c r="F10" s="911">
        <f t="shared" si="1"/>
        <v>5846.4000000000015</v>
      </c>
      <c r="G10" s="911">
        <f>159*$D10*$E10</f>
        <v>4770</v>
      </c>
      <c r="H10" s="911">
        <f>117.25*$D10*$E10</f>
        <v>3517.5</v>
      </c>
      <c r="I10" s="911">
        <f t="shared" si="6"/>
        <v>1076.4000000000015</v>
      </c>
      <c r="J10" s="911">
        <f t="shared" si="2"/>
        <v>13.5</v>
      </c>
      <c r="K10" s="911">
        <v>2.7</v>
      </c>
      <c r="L10" s="911">
        <f>16.8*E10</f>
        <v>100.80000000000001</v>
      </c>
      <c r="M10" s="911">
        <f>11.6</f>
        <v>11.6</v>
      </c>
      <c r="N10" s="911">
        <f t="shared" si="13"/>
        <v>3034.8</v>
      </c>
      <c r="O10" s="912">
        <f t="shared" si="3"/>
        <v>2107.5</v>
      </c>
      <c r="P10" s="911">
        <f t="shared" si="7"/>
        <v>354</v>
      </c>
      <c r="Q10" s="911">
        <f>11*D10*E10</f>
        <v>330</v>
      </c>
      <c r="R10" s="909">
        <f t="shared" si="8"/>
        <v>24</v>
      </c>
      <c r="S10" s="911">
        <f t="shared" si="9"/>
        <v>904.80000000000007</v>
      </c>
      <c r="T10" s="911">
        <f>Q10*2.56</f>
        <v>844.80000000000007</v>
      </c>
      <c r="U10" s="911">
        <f>2.5*R10</f>
        <v>60</v>
      </c>
      <c r="V10" s="911">
        <f t="shared" si="4"/>
        <v>6</v>
      </c>
      <c r="W10" s="919">
        <f>3.75*V10</f>
        <v>22.5</v>
      </c>
      <c r="X10" s="911">
        <f t="shared" si="5"/>
        <v>1215</v>
      </c>
      <c r="Y10" s="920">
        <f t="shared" si="5"/>
        <v>1215</v>
      </c>
      <c r="Z10" s="911">
        <f t="shared" si="10"/>
        <v>1777</v>
      </c>
      <c r="AA10" s="921">
        <f t="shared" si="11"/>
        <v>156.6</v>
      </c>
      <c r="AB10" s="916">
        <f t="shared" si="12"/>
        <v>224.8</v>
      </c>
      <c r="AC10" s="917"/>
      <c r="AD10" s="917"/>
      <c r="AE10" s="476"/>
      <c r="AF10" s="476"/>
      <c r="AG10" s="50"/>
      <c r="AH10" s="50"/>
      <c r="AI10" s="50"/>
      <c r="AJ10" s="50"/>
      <c r="AK10" s="50"/>
      <c r="AL10" s="50"/>
      <c r="AM10" s="50"/>
      <c r="AN10" s="50"/>
      <c r="AO10" s="50"/>
      <c r="AP10" s="50"/>
      <c r="AQ10" s="50"/>
      <c r="AR10" s="50"/>
      <c r="AS10" s="50"/>
      <c r="AT10" s="50"/>
    </row>
    <row r="11" spans="1:46" ht="15" customHeight="1" x14ac:dyDescent="0.25">
      <c r="A11" s="907" t="s">
        <v>1548</v>
      </c>
      <c r="B11" s="908"/>
      <c r="C11" s="908" t="str">
        <f t="shared" si="0"/>
        <v>121 (-041,-042,-043) (9-10 эт)93</v>
      </c>
      <c r="D11" s="911">
        <v>9</v>
      </c>
      <c r="E11" s="911">
        <v>3</v>
      </c>
      <c r="F11" s="911">
        <f t="shared" si="1"/>
        <v>7257.5999999999985</v>
      </c>
      <c r="G11" s="911">
        <f>215*D11*E11</f>
        <v>5805</v>
      </c>
      <c r="H11" s="911">
        <f>121.2*D11*E11</f>
        <v>3272.3999999999996</v>
      </c>
      <c r="I11" s="911">
        <f t="shared" si="6"/>
        <v>1452.5999999999985</v>
      </c>
      <c r="J11" s="911">
        <f t="shared" si="2"/>
        <v>25.02</v>
      </c>
      <c r="K11" s="911">
        <v>2.78</v>
      </c>
      <c r="L11" s="911">
        <f>22.4*E11</f>
        <v>67.199999999999989</v>
      </c>
      <c r="M11" s="911">
        <v>12</v>
      </c>
      <c r="N11" s="911">
        <f t="shared" si="13"/>
        <v>3963.1679999999992</v>
      </c>
      <c r="O11" s="912">
        <f t="shared" si="3"/>
        <v>3101.4959999999992</v>
      </c>
      <c r="P11" s="911">
        <f t="shared" si="7"/>
        <v>411</v>
      </c>
      <c r="Q11" s="911">
        <f>13*D11*E11+4*D11</f>
        <v>387</v>
      </c>
      <c r="R11" s="909">
        <f t="shared" si="8"/>
        <v>24</v>
      </c>
      <c r="S11" s="911">
        <f t="shared" si="9"/>
        <v>855.67200000000003</v>
      </c>
      <c r="T11" s="911">
        <f>Q11*2.056</f>
        <v>795.67200000000003</v>
      </c>
      <c r="U11" s="911">
        <f>R11*2.5</f>
        <v>60</v>
      </c>
      <c r="V11" s="911">
        <f t="shared" si="4"/>
        <v>3</v>
      </c>
      <c r="W11" s="911">
        <f>V11*2</f>
        <v>6</v>
      </c>
      <c r="X11" s="911">
        <v>845</v>
      </c>
      <c r="Y11" s="920">
        <v>845</v>
      </c>
      <c r="Z11" s="911">
        <f t="shared" si="10"/>
        <v>1241</v>
      </c>
      <c r="AA11" s="921">
        <f t="shared" si="11"/>
        <v>300.24</v>
      </c>
      <c r="AB11" s="916">
        <f t="shared" si="12"/>
        <v>158.39999999999998</v>
      </c>
      <c r="AC11" s="917"/>
      <c r="AD11" s="917"/>
      <c r="AE11" s="476"/>
      <c r="AF11" s="476"/>
      <c r="AG11" s="50"/>
      <c r="AH11" s="50"/>
      <c r="AI11" s="50"/>
      <c r="AJ11" s="50"/>
      <c r="AK11" s="50"/>
      <c r="AL11" s="50"/>
      <c r="AM11" s="50"/>
      <c r="AN11" s="50"/>
      <c r="AO11" s="50"/>
      <c r="AP11" s="50"/>
      <c r="AQ11" s="50"/>
      <c r="AR11" s="50"/>
      <c r="AS11" s="50"/>
      <c r="AT11" s="50"/>
    </row>
    <row r="12" spans="1:46" ht="15" customHeight="1" x14ac:dyDescent="0.25">
      <c r="A12" s="907" t="s">
        <v>1549</v>
      </c>
      <c r="B12" s="908"/>
      <c r="C12" s="908" t="str">
        <f t="shared" si="0"/>
        <v>121 (-014,-016,-017) (5,9,10 эт)93</v>
      </c>
      <c r="D12" s="911">
        <v>9</v>
      </c>
      <c r="E12" s="911">
        <v>3</v>
      </c>
      <c r="F12" s="911">
        <f t="shared" si="1"/>
        <v>7874.4959999999983</v>
      </c>
      <c r="G12" s="911">
        <f>215*D12*E12</f>
        <v>5805</v>
      </c>
      <c r="H12" s="911">
        <f>132*D12*E12</f>
        <v>3564</v>
      </c>
      <c r="I12" s="911">
        <f t="shared" si="6"/>
        <v>2069.4959999999983</v>
      </c>
      <c r="J12" s="911">
        <f t="shared" si="2"/>
        <v>25.02</v>
      </c>
      <c r="K12" s="911">
        <v>2.78</v>
      </c>
      <c r="L12" s="911">
        <f>22.4*E12</f>
        <v>67.199999999999989</v>
      </c>
      <c r="M12" s="911">
        <v>13.02</v>
      </c>
      <c r="N12" s="911">
        <f t="shared" si="13"/>
        <v>4014.208799999999</v>
      </c>
      <c r="O12" s="912">
        <f t="shared" si="3"/>
        <v>3152.5367999999989</v>
      </c>
      <c r="P12" s="911">
        <f t="shared" si="7"/>
        <v>411</v>
      </c>
      <c r="Q12" s="911">
        <f>13*D12*E12+4*D12</f>
        <v>387</v>
      </c>
      <c r="R12" s="909">
        <f t="shared" si="8"/>
        <v>24</v>
      </c>
      <c r="S12" s="911">
        <f t="shared" si="9"/>
        <v>855.67200000000003</v>
      </c>
      <c r="T12" s="911">
        <f>Q12*2.056</f>
        <v>795.67200000000003</v>
      </c>
      <c r="U12" s="911">
        <f>R12*2.5</f>
        <v>60</v>
      </c>
      <c r="V12" s="911">
        <f t="shared" si="4"/>
        <v>3</v>
      </c>
      <c r="W12" s="911">
        <f>V12*2</f>
        <v>6</v>
      </c>
      <c r="X12" s="911">
        <v>845</v>
      </c>
      <c r="Y12" s="920">
        <v>845</v>
      </c>
      <c r="Z12" s="911">
        <f t="shared" si="10"/>
        <v>1246.0999999999999</v>
      </c>
      <c r="AA12" s="921">
        <f t="shared" si="11"/>
        <v>325.7604</v>
      </c>
      <c r="AB12" s="916">
        <f t="shared" si="12"/>
        <v>160.43999999999997</v>
      </c>
      <c r="AC12" s="917"/>
      <c r="AD12" s="917"/>
      <c r="AE12" s="476"/>
      <c r="AF12" s="476"/>
      <c r="AG12" s="50"/>
      <c r="AH12" s="50"/>
      <c r="AI12" s="50"/>
      <c r="AJ12" s="50"/>
      <c r="AK12" s="50"/>
      <c r="AL12" s="50"/>
      <c r="AM12" s="50"/>
      <c r="AN12" s="50"/>
      <c r="AO12" s="50"/>
      <c r="AP12" s="50"/>
      <c r="AQ12" s="50"/>
      <c r="AR12" s="50"/>
      <c r="AS12" s="50"/>
      <c r="AT12" s="50"/>
    </row>
    <row r="13" spans="1:46" ht="15" customHeight="1" x14ac:dyDescent="0.25">
      <c r="A13" s="907" t="s">
        <v>1549</v>
      </c>
      <c r="B13" s="908"/>
      <c r="C13" s="908" t="str">
        <f t="shared" si="0"/>
        <v>121 (-014,-016,-017) (5,9,10 эт)95</v>
      </c>
      <c r="D13" s="911">
        <v>9</v>
      </c>
      <c r="E13" s="911">
        <v>5</v>
      </c>
      <c r="F13" s="911">
        <f t="shared" si="1"/>
        <v>13124.16</v>
      </c>
      <c r="G13" s="911">
        <f>215*D13*E13</f>
        <v>9675</v>
      </c>
      <c r="H13" s="911">
        <f>132*D13*E13</f>
        <v>5940</v>
      </c>
      <c r="I13" s="911">
        <f t="shared" si="6"/>
        <v>3449.16</v>
      </c>
      <c r="J13" s="911">
        <f t="shared" si="2"/>
        <v>25.02</v>
      </c>
      <c r="K13" s="911">
        <v>2.78</v>
      </c>
      <c r="L13" s="911">
        <f>22.4*E13</f>
        <v>112</v>
      </c>
      <c r="M13" s="911">
        <v>13.02</v>
      </c>
      <c r="N13" s="911">
        <f t="shared" si="13"/>
        <v>6256.0007999999998</v>
      </c>
      <c r="O13" s="912">
        <f t="shared" si="3"/>
        <v>4869.2248</v>
      </c>
      <c r="P13" s="911">
        <f t="shared" si="7"/>
        <v>661</v>
      </c>
      <c r="Q13" s="911">
        <f>13*D13*E13+4*D13</f>
        <v>621</v>
      </c>
      <c r="R13" s="909">
        <f t="shared" si="8"/>
        <v>40</v>
      </c>
      <c r="S13" s="911">
        <f t="shared" si="9"/>
        <v>1376.7760000000001</v>
      </c>
      <c r="T13" s="911">
        <f>Q13*2.056</f>
        <v>1276.7760000000001</v>
      </c>
      <c r="U13" s="911">
        <f>R13*2.5</f>
        <v>100</v>
      </c>
      <c r="V13" s="911">
        <f t="shared" si="4"/>
        <v>5</v>
      </c>
      <c r="W13" s="911">
        <f>V13*2</f>
        <v>10</v>
      </c>
      <c r="X13" s="911">
        <v>1339</v>
      </c>
      <c r="Y13" s="920">
        <v>1339</v>
      </c>
      <c r="Z13" s="911">
        <f t="shared" si="10"/>
        <v>1964.1</v>
      </c>
      <c r="AA13" s="921">
        <f t="shared" si="11"/>
        <v>325.7604</v>
      </c>
      <c r="AB13" s="916">
        <f t="shared" si="12"/>
        <v>250.04</v>
      </c>
      <c r="AC13" s="917"/>
      <c r="AD13" s="917"/>
      <c r="AE13" s="476"/>
      <c r="AF13" s="476"/>
      <c r="AG13" s="50"/>
      <c r="AH13" s="50"/>
      <c r="AI13" s="50"/>
      <c r="AJ13" s="50"/>
      <c r="AK13" s="50"/>
      <c r="AL13" s="50"/>
      <c r="AM13" s="50"/>
      <c r="AN13" s="50"/>
      <c r="AO13" s="50"/>
      <c r="AP13" s="50"/>
      <c r="AQ13" s="50"/>
      <c r="AR13" s="50"/>
      <c r="AS13" s="50"/>
      <c r="AT13" s="50"/>
    </row>
    <row r="14" spans="1:46" ht="15" customHeight="1" x14ac:dyDescent="0.25">
      <c r="A14" s="907" t="s">
        <v>1381</v>
      </c>
      <c r="B14" s="908"/>
      <c r="C14" s="908" t="str">
        <f>CONCATENATE(A14,D14,E14)</f>
        <v>I-12594</v>
      </c>
      <c r="D14" s="911">
        <v>9</v>
      </c>
      <c r="E14" s="911">
        <v>4</v>
      </c>
      <c r="F14" s="911">
        <f t="shared" si="1"/>
        <v>10368</v>
      </c>
      <c r="G14" s="911">
        <f>242.2*D14*E14-IF(E14&gt;2,3.2*12*2*D14,0)</f>
        <v>8027.9999999999991</v>
      </c>
      <c r="H14" s="911">
        <f>140*D14*E14-IF(E14&gt;2,3.2*12*2*D14,0)*3/4</f>
        <v>4521.6000000000004</v>
      </c>
      <c r="I14" s="911">
        <f t="shared" ref="I14:I51" si="14">F14-G14</f>
        <v>2340.0000000000009</v>
      </c>
      <c r="J14" s="911">
        <f t="shared" si="2"/>
        <v>25.02</v>
      </c>
      <c r="K14" s="911">
        <v>2.78</v>
      </c>
      <c r="L14" s="911">
        <f>IF(E14&gt;2,(E14-2)*25.6+2*22.4,E14*22.4)</f>
        <v>96</v>
      </c>
      <c r="M14" s="911">
        <v>12</v>
      </c>
      <c r="N14" s="911">
        <f t="shared" si="13"/>
        <v>5404.32</v>
      </c>
      <c r="O14" s="912">
        <f t="shared" si="3"/>
        <v>4063.4399999999996</v>
      </c>
      <c r="P14" s="911">
        <f>Q14+R14</f>
        <v>536</v>
      </c>
      <c r="Q14" s="911">
        <f>14*D14*E14</f>
        <v>504</v>
      </c>
      <c r="R14" s="909">
        <f t="shared" si="8"/>
        <v>32</v>
      </c>
      <c r="S14" s="911">
        <f t="shared" ref="S14:S20" si="15">T14+U14</f>
        <v>1329.6</v>
      </c>
      <c r="T14" s="911">
        <f>Q14*2.56</f>
        <v>1290.24</v>
      </c>
      <c r="U14" s="911">
        <f>R14*1.23</f>
        <v>39.36</v>
      </c>
      <c r="V14" s="911">
        <f t="shared" si="4"/>
        <v>4</v>
      </c>
      <c r="W14" s="911">
        <v>11.28</v>
      </c>
      <c r="X14" s="922">
        <v>1221.3</v>
      </c>
      <c r="Y14" s="922">
        <v>1221.3</v>
      </c>
      <c r="Z14" s="911">
        <f t="shared" si="10"/>
        <v>1761.3</v>
      </c>
      <c r="AA14" s="921">
        <f t="shared" si="11"/>
        <v>300.24</v>
      </c>
      <c r="AB14" s="916">
        <f t="shared" si="12"/>
        <v>216</v>
      </c>
      <c r="AC14" s="917"/>
      <c r="AD14" s="917"/>
      <c r="AE14" s="476"/>
      <c r="AF14" s="476"/>
      <c r="AG14" s="50"/>
      <c r="AH14" s="50"/>
      <c r="AI14" s="50"/>
      <c r="AJ14" s="50"/>
      <c r="AK14" s="50"/>
      <c r="AL14" s="50"/>
      <c r="AM14" s="50"/>
      <c r="AN14" s="50"/>
      <c r="AO14" s="50"/>
      <c r="AP14" s="50"/>
      <c r="AQ14" s="50"/>
      <c r="AR14" s="50"/>
      <c r="AS14" s="50"/>
      <c r="AT14" s="50"/>
    </row>
    <row r="15" spans="1:46" ht="12" customHeight="1" x14ac:dyDescent="0.25">
      <c r="A15" s="923" t="s">
        <v>1550</v>
      </c>
      <c r="B15" s="908"/>
      <c r="C15" s="908" t="str">
        <f>CONCATENATE(A15,D15,E15)</f>
        <v>I-447 (4,5 эт)43</v>
      </c>
      <c r="D15" s="911">
        <f>4</f>
        <v>4</v>
      </c>
      <c r="E15" s="911">
        <f>3</f>
        <v>3</v>
      </c>
      <c r="F15" s="911">
        <f t="shared" si="1"/>
        <v>2450.88</v>
      </c>
      <c r="G15" s="912">
        <f>161.55*D15*E15</f>
        <v>1938.6000000000001</v>
      </c>
      <c r="H15" s="911">
        <f>105.11*D15*E15</f>
        <v>1261.32</v>
      </c>
      <c r="I15" s="911">
        <f t="shared" si="14"/>
        <v>512.28</v>
      </c>
      <c r="J15" s="911">
        <f t="shared" si="2"/>
        <v>11.2</v>
      </c>
      <c r="K15" s="911">
        <v>2.8</v>
      </c>
      <c r="L15" s="911">
        <f>17.02*E15</f>
        <v>51.06</v>
      </c>
      <c r="M15" s="911">
        <v>12</v>
      </c>
      <c r="N15" s="912">
        <f t="shared" ref="N15:N23" si="16">(L15+M15)*2*J15</f>
        <v>1412.5439999999999</v>
      </c>
      <c r="O15" s="912">
        <f t="shared" si="3"/>
        <v>1062.7439999999999</v>
      </c>
      <c r="P15" s="912">
        <f t="shared" ref="P15:P20" si="17">Q15+R15</f>
        <v>165</v>
      </c>
      <c r="Q15" s="912">
        <f>11*D15*E15+2*2*D15+IF(E15&gt;=3,(E15-2)*D15*2,0)</f>
        <v>156</v>
      </c>
      <c r="R15" s="909">
        <f t="shared" si="8"/>
        <v>9</v>
      </c>
      <c r="S15" s="912">
        <f t="shared" si="15"/>
        <v>343.8</v>
      </c>
      <c r="T15" s="912">
        <f>(1.8*2/3+1.8*3/2*1/3)*Q15</f>
        <v>327.60000000000002</v>
      </c>
      <c r="U15" s="912">
        <f t="shared" ref="U15:U20" si="18">(1.8)*R15</f>
        <v>16.2</v>
      </c>
      <c r="V15" s="912">
        <f t="shared" si="4"/>
        <v>3</v>
      </c>
      <c r="W15" s="911">
        <f>V15*2</f>
        <v>6</v>
      </c>
      <c r="X15" s="912">
        <f t="shared" ref="X15:X34" si="19">$L15*$M15</f>
        <v>612.72</v>
      </c>
      <c r="Y15" s="920">
        <f t="shared" ref="Y15:Y34" si="20">$L15*$M15</f>
        <v>612.72</v>
      </c>
      <c r="Z15" s="911">
        <f t="shared" si="10"/>
        <v>928.02</v>
      </c>
      <c r="AA15" s="921">
        <f t="shared" si="11"/>
        <v>134.39999999999998</v>
      </c>
      <c r="AB15" s="916">
        <f t="shared" si="12"/>
        <v>126.12</v>
      </c>
      <c r="AC15" s="917"/>
      <c r="AD15" s="917"/>
      <c r="AE15" s="476"/>
      <c r="AF15" s="476"/>
      <c r="AG15" s="50"/>
      <c r="AH15" s="50"/>
      <c r="AI15" s="50"/>
      <c r="AJ15" s="50"/>
      <c r="AK15" s="50"/>
      <c r="AL15" s="50"/>
      <c r="AM15" s="50"/>
      <c r="AN15" s="50"/>
      <c r="AO15" s="50"/>
      <c r="AP15" s="50"/>
      <c r="AQ15" s="50"/>
      <c r="AR15" s="50"/>
      <c r="AS15" s="50"/>
      <c r="AT15" s="50"/>
    </row>
    <row r="16" spans="1:46" ht="12" customHeight="1" x14ac:dyDescent="0.25">
      <c r="A16" s="923" t="s">
        <v>1550</v>
      </c>
      <c r="B16" s="908"/>
      <c r="C16" s="908" t="str">
        <f>CONCATENATE(A16,D16,E16)</f>
        <v>I-447 (4,5 эт)54</v>
      </c>
      <c r="D16" s="911">
        <v>5</v>
      </c>
      <c r="E16" s="911">
        <v>4</v>
      </c>
      <c r="F16" s="911">
        <f t="shared" si="1"/>
        <v>4032.0000000000005</v>
      </c>
      <c r="G16" s="912">
        <f>161.55*D16*E16</f>
        <v>3231</v>
      </c>
      <c r="H16" s="911">
        <f>105.11*D16*E16</f>
        <v>2102.1999999999998</v>
      </c>
      <c r="I16" s="911">
        <f t="shared" si="14"/>
        <v>801.00000000000045</v>
      </c>
      <c r="J16" s="911">
        <f t="shared" si="2"/>
        <v>14</v>
      </c>
      <c r="K16" s="911">
        <v>2.8</v>
      </c>
      <c r="L16" s="911">
        <f>16.8*E16</f>
        <v>67.2</v>
      </c>
      <c r="M16" s="911">
        <v>12</v>
      </c>
      <c r="N16" s="912">
        <f>(L16+M16)*2*J16</f>
        <v>2217.6</v>
      </c>
      <c r="O16" s="912">
        <f t="shared" si="3"/>
        <v>1634.8</v>
      </c>
      <c r="P16" s="912">
        <f>Q16+R16</f>
        <v>276</v>
      </c>
      <c r="Q16" s="912">
        <f>11*D16*E16+2*2*D16+IF(E16&gt;=3,(E16-2)*D16*2,0)</f>
        <v>260</v>
      </c>
      <c r="R16" s="909">
        <f t="shared" si="8"/>
        <v>16</v>
      </c>
      <c r="S16" s="912">
        <f t="shared" si="15"/>
        <v>574.79999999999995</v>
      </c>
      <c r="T16" s="912">
        <f>(1.8*2/3+1.8*3/2*1/3)*Q16</f>
        <v>546</v>
      </c>
      <c r="U16" s="912">
        <f t="shared" si="18"/>
        <v>28.8</v>
      </c>
      <c r="V16" s="912">
        <f t="shared" si="4"/>
        <v>4</v>
      </c>
      <c r="W16" s="911">
        <f>V16*2</f>
        <v>8</v>
      </c>
      <c r="X16" s="912">
        <f t="shared" si="19"/>
        <v>806.40000000000009</v>
      </c>
      <c r="Y16" s="920">
        <f t="shared" si="20"/>
        <v>806.40000000000009</v>
      </c>
      <c r="Z16" s="911">
        <f t="shared" si="10"/>
        <v>1202.4000000000001</v>
      </c>
      <c r="AA16" s="921">
        <f t="shared" si="11"/>
        <v>168</v>
      </c>
      <c r="AB16" s="916">
        <f t="shared" si="12"/>
        <v>158.4</v>
      </c>
      <c r="AC16" s="917"/>
      <c r="AD16" s="917"/>
      <c r="AE16" s="476"/>
      <c r="AF16" s="476"/>
      <c r="AG16" s="50"/>
      <c r="AH16" s="50"/>
      <c r="AI16" s="50"/>
      <c r="AJ16" s="50"/>
      <c r="AK16" s="50"/>
      <c r="AL16" s="50"/>
      <c r="AM16" s="50"/>
      <c r="AN16" s="50"/>
      <c r="AO16" s="50"/>
      <c r="AP16" s="50"/>
      <c r="AQ16" s="50"/>
      <c r="AR16" s="50"/>
      <c r="AS16" s="50"/>
      <c r="AT16" s="50"/>
    </row>
    <row r="17" spans="1:46" ht="12" customHeight="1" x14ac:dyDescent="0.25">
      <c r="A17" s="924" t="s">
        <v>1385</v>
      </c>
      <c r="B17" s="908"/>
      <c r="C17" s="908" t="str">
        <f t="shared" ref="C17:C23" si="21">CONCATENATE(A17,D17,E17)</f>
        <v>I-447С-26 (башня)91</v>
      </c>
      <c r="D17" s="912">
        <f>9</f>
        <v>9</v>
      </c>
      <c r="E17" s="912">
        <f>1</f>
        <v>1</v>
      </c>
      <c r="F17" s="911">
        <v>2387</v>
      </c>
      <c r="G17" s="912">
        <v>2127</v>
      </c>
      <c r="H17" s="911">
        <f>1421</f>
        <v>1421</v>
      </c>
      <c r="I17" s="911">
        <f t="shared" si="14"/>
        <v>260</v>
      </c>
      <c r="J17" s="911">
        <f t="shared" si="2"/>
        <v>25.2</v>
      </c>
      <c r="K17" s="911">
        <v>2.8</v>
      </c>
      <c r="L17" s="911">
        <v>16.52</v>
      </c>
      <c r="M17" s="911">
        <v>18.100000000000001</v>
      </c>
      <c r="N17" s="912">
        <f t="shared" si="16"/>
        <v>1744.8480000000002</v>
      </c>
      <c r="O17" s="912">
        <f t="shared" si="3"/>
        <v>1407.1480000000001</v>
      </c>
      <c r="P17" s="912">
        <f t="shared" si="17"/>
        <v>161</v>
      </c>
      <c r="Q17" s="912">
        <f>17*D17</f>
        <v>153</v>
      </c>
      <c r="R17" s="909">
        <f t="shared" si="8"/>
        <v>8</v>
      </c>
      <c r="S17" s="912">
        <f t="shared" si="15"/>
        <v>335.7</v>
      </c>
      <c r="T17" s="912">
        <f>2.1*Q17</f>
        <v>321.3</v>
      </c>
      <c r="U17" s="912">
        <f t="shared" si="18"/>
        <v>14.4</v>
      </c>
      <c r="V17" s="912">
        <f t="shared" si="4"/>
        <v>1</v>
      </c>
      <c r="W17" s="911">
        <f>V17*2</f>
        <v>2</v>
      </c>
      <c r="X17" s="912">
        <f t="shared" si="19"/>
        <v>299.012</v>
      </c>
      <c r="Y17" s="920">
        <f t="shared" si="20"/>
        <v>299.012</v>
      </c>
      <c r="Z17" s="911">
        <f t="shared" si="10"/>
        <v>472.11200000000002</v>
      </c>
      <c r="AA17" s="921">
        <f t="shared" si="11"/>
        <v>456.12</v>
      </c>
      <c r="AB17" s="916">
        <f t="shared" si="12"/>
        <v>69.240000000000009</v>
      </c>
      <c r="AC17" s="917"/>
      <c r="AD17" s="917"/>
      <c r="AE17" s="476"/>
      <c r="AF17" s="476"/>
      <c r="AG17" s="50"/>
      <c r="AH17" s="50"/>
      <c r="AI17" s="50"/>
      <c r="AJ17" s="50"/>
      <c r="AK17" s="50"/>
      <c r="AL17" s="50"/>
      <c r="AM17" s="50"/>
      <c r="AN17" s="50"/>
      <c r="AO17" s="50"/>
      <c r="AP17" s="50"/>
      <c r="AQ17" s="50"/>
      <c r="AR17" s="50"/>
      <c r="AS17" s="50"/>
      <c r="AT17" s="50"/>
    </row>
    <row r="18" spans="1:46" ht="12" customHeight="1" x14ac:dyDescent="0.25">
      <c r="A18" s="923" t="s">
        <v>1767</v>
      </c>
      <c r="B18" s="908"/>
      <c r="C18" s="908" t="str">
        <f t="shared" si="21"/>
        <v>I-464А (3,4,5 эт)54</v>
      </c>
      <c r="D18" s="911">
        <v>5</v>
      </c>
      <c r="E18" s="911">
        <v>4</v>
      </c>
      <c r="F18" s="911">
        <f t="shared" ref="F18:F47" si="22">L18*M18*D18</f>
        <v>4344</v>
      </c>
      <c r="G18" s="912">
        <f>177.55*$D18*$E18</f>
        <v>3551</v>
      </c>
      <c r="H18" s="911">
        <f>146.3*$D18*$E18</f>
        <v>2926</v>
      </c>
      <c r="I18" s="911">
        <f t="shared" si="14"/>
        <v>793</v>
      </c>
      <c r="J18" s="911">
        <f t="shared" si="2"/>
        <v>13.5</v>
      </c>
      <c r="K18" s="911">
        <v>2.7</v>
      </c>
      <c r="L18" s="911">
        <f>IF(E18&gt;2,(E18-2)*19.4+2*16.8,E18*16.8)</f>
        <v>72.400000000000006</v>
      </c>
      <c r="M18" s="911">
        <v>12</v>
      </c>
      <c r="N18" s="912">
        <f t="shared" si="16"/>
        <v>2278.8000000000002</v>
      </c>
      <c r="O18" s="912">
        <f t="shared" si="3"/>
        <v>1802.6000000000001</v>
      </c>
      <c r="P18" s="912">
        <f t="shared" si="17"/>
        <v>276</v>
      </c>
      <c r="Q18" s="912">
        <f>13*D18*E18</f>
        <v>260</v>
      </c>
      <c r="R18" s="909">
        <f t="shared" si="8"/>
        <v>16</v>
      </c>
      <c r="S18" s="912">
        <f t="shared" si="15"/>
        <v>468.2</v>
      </c>
      <c r="T18" s="912">
        <f>1.69*Q18</f>
        <v>439.4</v>
      </c>
      <c r="U18" s="912">
        <f t="shared" si="18"/>
        <v>28.8</v>
      </c>
      <c r="V18" s="912">
        <f t="shared" si="4"/>
        <v>4</v>
      </c>
      <c r="W18" s="911">
        <f>V18*2</f>
        <v>8</v>
      </c>
      <c r="X18" s="912">
        <f t="shared" si="19"/>
        <v>868.80000000000007</v>
      </c>
      <c r="Y18" s="920">
        <f t="shared" si="20"/>
        <v>868.80000000000007</v>
      </c>
      <c r="Z18" s="911">
        <f t="shared" si="10"/>
        <v>1290.8000000000002</v>
      </c>
      <c r="AA18" s="921">
        <f t="shared" si="11"/>
        <v>162</v>
      </c>
      <c r="AB18" s="916">
        <f t="shared" si="12"/>
        <v>168.8</v>
      </c>
      <c r="AC18" s="917"/>
      <c r="AD18" s="917"/>
      <c r="AE18" s="476"/>
      <c r="AF18" s="476"/>
      <c r="AG18" s="50"/>
      <c r="AH18" s="50"/>
      <c r="AI18" s="50"/>
      <c r="AJ18" s="50"/>
      <c r="AK18" s="50"/>
      <c r="AL18" s="50"/>
      <c r="AM18" s="50"/>
      <c r="AN18" s="50"/>
      <c r="AO18" s="50"/>
      <c r="AP18" s="50"/>
      <c r="AQ18" s="50"/>
      <c r="AR18" s="50"/>
      <c r="AS18" s="50"/>
      <c r="AT18" s="50"/>
    </row>
    <row r="19" spans="1:46" ht="12" customHeight="1" x14ac:dyDescent="0.25">
      <c r="A19" s="923" t="s">
        <v>1768</v>
      </c>
      <c r="B19" s="908"/>
      <c r="C19" s="908" t="str">
        <f>CONCATENATE(A19,D19,E19)</f>
        <v>I-464А17 (5 эт, 60 кв)54</v>
      </c>
      <c r="D19" s="911">
        <v>5</v>
      </c>
      <c r="E19" s="911">
        <v>4</v>
      </c>
      <c r="F19" s="911">
        <f t="shared" si="22"/>
        <v>3640.3199999999997</v>
      </c>
      <c r="G19" s="912">
        <f>IF(E19&gt;=2,(E19-2)*D19*136+2*D19*170.3,E19*D19*170.3)</f>
        <v>3063</v>
      </c>
      <c r="H19" s="911">
        <f>IF(E19&gt;=2,(E19-2)*D19*91.9+2*D19*123.1,E19*D19*123.1)</f>
        <v>2150</v>
      </c>
      <c r="I19" s="911">
        <f t="shared" si="14"/>
        <v>577.31999999999971</v>
      </c>
      <c r="J19" s="911">
        <f t="shared" si="2"/>
        <v>13.5</v>
      </c>
      <c r="K19" s="911">
        <v>2.7</v>
      </c>
      <c r="L19" s="911">
        <f>IF(E19&gt;2,(E19-2)*14.2+2*17.4,E19*17.4)</f>
        <v>63.199999999999996</v>
      </c>
      <c r="M19" s="911">
        <v>11.52</v>
      </c>
      <c r="N19" s="912">
        <f>(L19+M19)*2*J19</f>
        <v>2017.44</v>
      </c>
      <c r="O19" s="912">
        <f t="shared" si="3"/>
        <v>1608.8400000000001</v>
      </c>
      <c r="P19" s="912">
        <f>Q19+R19</f>
        <v>236</v>
      </c>
      <c r="Q19" s="912">
        <f>9*D19*E19+2*2*D19+2*2*D19</f>
        <v>220</v>
      </c>
      <c r="R19" s="909">
        <f t="shared" si="8"/>
        <v>16</v>
      </c>
      <c r="S19" s="912">
        <f>T19+U19</f>
        <v>400.6</v>
      </c>
      <c r="T19" s="912">
        <f>1.69*Q19</f>
        <v>371.8</v>
      </c>
      <c r="U19" s="912">
        <f t="shared" si="18"/>
        <v>28.8</v>
      </c>
      <c r="V19" s="912">
        <f t="shared" si="4"/>
        <v>4</v>
      </c>
      <c r="W19" s="911">
        <f>V19*2</f>
        <v>8</v>
      </c>
      <c r="X19" s="912">
        <f t="shared" si="19"/>
        <v>728.06399999999996</v>
      </c>
      <c r="Y19" s="920">
        <f t="shared" si="20"/>
        <v>728.06399999999996</v>
      </c>
      <c r="Z19" s="911">
        <f>Y19+(L19+M19)*2*2.5</f>
        <v>1101.664</v>
      </c>
      <c r="AA19" s="921">
        <f t="shared" si="11"/>
        <v>155.51999999999998</v>
      </c>
      <c r="AB19" s="916">
        <f t="shared" si="12"/>
        <v>149.44</v>
      </c>
      <c r="AC19" s="917"/>
      <c r="AD19" s="917"/>
      <c r="AE19" s="476"/>
      <c r="AF19" s="476"/>
      <c r="AG19" s="50"/>
      <c r="AH19" s="50"/>
      <c r="AI19" s="50"/>
      <c r="AJ19" s="50"/>
      <c r="AK19" s="50"/>
      <c r="AL19" s="50"/>
      <c r="AM19" s="50"/>
      <c r="AN19" s="50"/>
      <c r="AO19" s="50"/>
      <c r="AP19" s="50"/>
      <c r="AQ19" s="50"/>
      <c r="AR19" s="50"/>
      <c r="AS19" s="50"/>
      <c r="AT19" s="50"/>
    </row>
    <row r="20" spans="1:46" ht="12" customHeight="1" x14ac:dyDescent="0.25">
      <c r="A20" s="923" t="s">
        <v>1431</v>
      </c>
      <c r="B20" s="908"/>
      <c r="C20" s="908" t="str">
        <f t="shared" si="21"/>
        <v>I-464Д (9эт)-83,-10192</v>
      </c>
      <c r="D20" s="911">
        <v>9</v>
      </c>
      <c r="E20" s="911">
        <v>2</v>
      </c>
      <c r="F20" s="911">
        <f t="shared" si="22"/>
        <v>5464.8</v>
      </c>
      <c r="G20" s="922">
        <f>225*D20*E20</f>
        <v>4050</v>
      </c>
      <c r="H20" s="922">
        <f>144.8*D20*E20</f>
        <v>2606.4</v>
      </c>
      <c r="I20" s="911">
        <f t="shared" si="14"/>
        <v>1414.8000000000002</v>
      </c>
      <c r="J20" s="911">
        <f t="shared" si="2"/>
        <v>25.650000000000002</v>
      </c>
      <c r="K20" s="911">
        <v>2.85</v>
      </c>
      <c r="L20" s="911">
        <f>22*E20</f>
        <v>44</v>
      </c>
      <c r="M20" s="911">
        <v>13.8</v>
      </c>
      <c r="N20" s="912">
        <f t="shared" si="16"/>
        <v>2965.1400000000003</v>
      </c>
      <c r="O20" s="912">
        <f t="shared" si="3"/>
        <v>2444.8200000000002</v>
      </c>
      <c r="P20" s="912">
        <f t="shared" si="17"/>
        <v>304</v>
      </c>
      <c r="Q20" s="912">
        <f>16*D20*E20</f>
        <v>288</v>
      </c>
      <c r="R20" s="909">
        <f t="shared" si="8"/>
        <v>16</v>
      </c>
      <c r="S20" s="912">
        <f t="shared" si="15"/>
        <v>515.52</v>
      </c>
      <c r="T20" s="912">
        <f>1.69*Q20</f>
        <v>486.71999999999997</v>
      </c>
      <c r="U20" s="912">
        <f t="shared" si="18"/>
        <v>28.8</v>
      </c>
      <c r="V20" s="912">
        <f t="shared" si="4"/>
        <v>2</v>
      </c>
      <c r="W20" s="912">
        <v>4.8</v>
      </c>
      <c r="X20" s="912">
        <f t="shared" si="19"/>
        <v>607.20000000000005</v>
      </c>
      <c r="Y20" s="920">
        <f t="shared" si="20"/>
        <v>607.20000000000005</v>
      </c>
      <c r="Z20" s="911">
        <f t="shared" si="10"/>
        <v>896.2</v>
      </c>
      <c r="AA20" s="921">
        <f t="shared" si="11"/>
        <v>353.97</v>
      </c>
      <c r="AB20" s="916">
        <f t="shared" si="12"/>
        <v>115.6</v>
      </c>
      <c r="AC20" s="917"/>
      <c r="AD20" s="917"/>
      <c r="AE20" s="476"/>
      <c r="AF20" s="476"/>
      <c r="AG20" s="50"/>
      <c r="AH20" s="50"/>
      <c r="AI20" s="50"/>
      <c r="AJ20" s="50"/>
      <c r="AK20" s="50"/>
      <c r="AL20" s="50"/>
      <c r="AM20" s="50"/>
      <c r="AN20" s="50"/>
      <c r="AO20" s="50"/>
      <c r="AP20" s="50"/>
      <c r="AQ20" s="50"/>
      <c r="AR20" s="50"/>
      <c r="AS20" s="50"/>
      <c r="AT20" s="50"/>
    </row>
    <row r="21" spans="1:46" s="925" customFormat="1" ht="12" customHeight="1" x14ac:dyDescent="0.25">
      <c r="A21" s="923" t="s">
        <v>1377</v>
      </c>
      <c r="B21" s="908"/>
      <c r="C21" s="908" t="str">
        <f t="shared" si="21"/>
        <v>I-51054</v>
      </c>
      <c r="D21" s="911">
        <v>5</v>
      </c>
      <c r="E21" s="911">
        <v>4</v>
      </c>
      <c r="F21" s="911">
        <f t="shared" si="22"/>
        <v>4267.2000000000007</v>
      </c>
      <c r="G21" s="912">
        <f>IF(E21&gt;2,2*163.2+(E21-2)*189.7,E21*163.2)*D21</f>
        <v>3529</v>
      </c>
      <c r="H21" s="911">
        <f>IF(E21&gt;2,2*113.3+(E21-2)*139.2,E21*113.3)*D21</f>
        <v>2525</v>
      </c>
      <c r="I21" s="911">
        <f t="shared" si="14"/>
        <v>738.20000000000073</v>
      </c>
      <c r="J21" s="911">
        <f t="shared" si="2"/>
        <v>13.899999999999999</v>
      </c>
      <c r="K21" s="911">
        <v>2.78</v>
      </c>
      <c r="L21" s="911">
        <f t="shared" ref="L21:L30" si="23">IF(E21&gt;2,2*16.4+(E21-2)*19.16,E21*16.4)</f>
        <v>71.12</v>
      </c>
      <c r="M21" s="911">
        <v>12</v>
      </c>
      <c r="N21" s="912">
        <f t="shared" si="16"/>
        <v>2310.7359999999999</v>
      </c>
      <c r="O21" s="912">
        <f t="shared" si="3"/>
        <v>1727.9359999999999</v>
      </c>
      <c r="P21" s="911">
        <f t="shared" ref="P21:P38" si="24">Q21+R21</f>
        <v>276</v>
      </c>
      <c r="Q21" s="912">
        <f>13*D21*E21</f>
        <v>260</v>
      </c>
      <c r="R21" s="909">
        <f t="shared" si="8"/>
        <v>16</v>
      </c>
      <c r="S21" s="911">
        <f t="shared" ref="S21:S35" si="25">T21+U21</f>
        <v>574.79999999999995</v>
      </c>
      <c r="T21" s="912">
        <f>Q21*(1.8*2/3+2.7*1/3)</f>
        <v>546</v>
      </c>
      <c r="U21" s="912">
        <f t="shared" ref="U21:U34" si="26">1.8*R21</f>
        <v>28.8</v>
      </c>
      <c r="V21" s="912">
        <f t="shared" si="4"/>
        <v>4</v>
      </c>
      <c r="W21" s="911">
        <f t="shared" ref="W21:W34" si="27">V21*2</f>
        <v>8</v>
      </c>
      <c r="X21" s="912">
        <f t="shared" si="19"/>
        <v>853.44</v>
      </c>
      <c r="Y21" s="920">
        <f t="shared" si="20"/>
        <v>853.44</v>
      </c>
      <c r="Z21" s="911">
        <f t="shared" si="10"/>
        <v>1269.04</v>
      </c>
      <c r="AA21" s="921">
        <f t="shared" si="11"/>
        <v>166.79999999999998</v>
      </c>
      <c r="AB21" s="916">
        <f t="shared" si="12"/>
        <v>166.24</v>
      </c>
      <c r="AC21" s="917"/>
      <c r="AD21" s="917"/>
      <c r="AE21" s="476"/>
      <c r="AF21" s="476"/>
      <c r="AG21" s="50"/>
      <c r="AH21" s="50"/>
      <c r="AI21" s="50"/>
      <c r="AJ21" s="50"/>
      <c r="AK21" s="50"/>
      <c r="AL21" s="50"/>
      <c r="AM21" s="50"/>
      <c r="AN21" s="50"/>
      <c r="AO21" s="50"/>
      <c r="AP21" s="50"/>
      <c r="AQ21" s="50"/>
      <c r="AR21" s="50"/>
      <c r="AS21" s="50"/>
      <c r="AT21" s="50"/>
    </row>
    <row r="22" spans="1:46" ht="12" customHeight="1" x14ac:dyDescent="0.25">
      <c r="A22" s="923" t="s">
        <v>1377</v>
      </c>
      <c r="B22" s="908"/>
      <c r="C22" s="908" t="str">
        <f t="shared" si="21"/>
        <v>I-51053</v>
      </c>
      <c r="D22" s="911">
        <f>5</f>
        <v>5</v>
      </c>
      <c r="E22" s="911">
        <f>3</f>
        <v>3</v>
      </c>
      <c r="F22" s="911">
        <f t="shared" si="22"/>
        <v>3117.6</v>
      </c>
      <c r="G22" s="912">
        <f>IF(E22&gt;2,2*163.2+(E22-2)*189.7,E22*163.2)*D22</f>
        <v>2580.4999999999995</v>
      </c>
      <c r="H22" s="911">
        <f>IF(E22&gt;2,2*113.3+(E22-2)*139.2,E22*113.3)*D22</f>
        <v>1828.9999999999998</v>
      </c>
      <c r="I22" s="911">
        <f t="shared" si="14"/>
        <v>537.10000000000036</v>
      </c>
      <c r="J22" s="911">
        <f t="shared" si="2"/>
        <v>13.899999999999999</v>
      </c>
      <c r="K22" s="911">
        <v>2.78</v>
      </c>
      <c r="L22" s="911">
        <f t="shared" si="23"/>
        <v>51.959999999999994</v>
      </c>
      <c r="M22" s="911">
        <v>12</v>
      </c>
      <c r="N22" s="912">
        <f t="shared" si="16"/>
        <v>1778.0879999999997</v>
      </c>
      <c r="O22" s="912">
        <f t="shared" si="3"/>
        <v>1340.9879999999998</v>
      </c>
      <c r="P22" s="911">
        <f t="shared" si="24"/>
        <v>207</v>
      </c>
      <c r="Q22" s="912">
        <f>13*D22*E22</f>
        <v>195</v>
      </c>
      <c r="R22" s="909">
        <f t="shared" si="8"/>
        <v>12</v>
      </c>
      <c r="S22" s="911">
        <f t="shared" si="25"/>
        <v>431.1</v>
      </c>
      <c r="T22" s="912">
        <f>Q22*(1.8*2/3+2.7*1/3)</f>
        <v>409.5</v>
      </c>
      <c r="U22" s="912">
        <f t="shared" si="26"/>
        <v>21.6</v>
      </c>
      <c r="V22" s="912">
        <f t="shared" si="4"/>
        <v>3</v>
      </c>
      <c r="W22" s="911">
        <f t="shared" si="27"/>
        <v>6</v>
      </c>
      <c r="X22" s="912">
        <f t="shared" si="19"/>
        <v>623.52</v>
      </c>
      <c r="Y22" s="920">
        <f t="shared" si="20"/>
        <v>623.52</v>
      </c>
      <c r="Z22" s="911">
        <f t="shared" si="10"/>
        <v>943.31999999999994</v>
      </c>
      <c r="AA22" s="921">
        <f t="shared" si="11"/>
        <v>166.79999999999998</v>
      </c>
      <c r="AB22" s="916">
        <f t="shared" si="12"/>
        <v>127.91999999999999</v>
      </c>
      <c r="AC22" s="917"/>
      <c r="AD22" s="917"/>
      <c r="AE22" s="476"/>
      <c r="AF22" s="476"/>
      <c r="AG22" s="50"/>
      <c r="AH22" s="50"/>
      <c r="AI22" s="50"/>
      <c r="AJ22" s="50"/>
      <c r="AK22" s="50"/>
      <c r="AL22" s="50"/>
      <c r="AM22" s="50"/>
      <c r="AN22" s="50"/>
      <c r="AO22" s="50"/>
      <c r="AP22" s="50"/>
      <c r="AQ22" s="50"/>
      <c r="AR22" s="50"/>
      <c r="AS22" s="50"/>
      <c r="AT22" s="50"/>
    </row>
    <row r="23" spans="1:46" ht="12" customHeight="1" x14ac:dyDescent="0.25">
      <c r="A23" s="923" t="s">
        <v>1377</v>
      </c>
      <c r="B23" s="908"/>
      <c r="C23" s="908" t="str">
        <f t="shared" si="21"/>
        <v>I-51056</v>
      </c>
      <c r="D23" s="911">
        <f>5</f>
        <v>5</v>
      </c>
      <c r="E23" s="911">
        <f>6</f>
        <v>6</v>
      </c>
      <c r="F23" s="911">
        <f t="shared" si="22"/>
        <v>6566.4</v>
      </c>
      <c r="G23" s="912">
        <f>IF(E23&gt;2,2*163.2+(E23-2)*189.7,E23*163.2)*D23</f>
        <v>5425.9999999999991</v>
      </c>
      <c r="H23" s="911">
        <f>IF(E23&gt;2,2*113.3+(E23-2)*139.2,E23*113.3)*D23</f>
        <v>3917</v>
      </c>
      <c r="I23" s="911">
        <f t="shared" si="14"/>
        <v>1140.4000000000005</v>
      </c>
      <c r="J23" s="911">
        <f t="shared" si="2"/>
        <v>13.899999999999999</v>
      </c>
      <c r="K23" s="911">
        <v>2.78</v>
      </c>
      <c r="L23" s="911">
        <f t="shared" si="23"/>
        <v>109.44</v>
      </c>
      <c r="M23" s="911">
        <v>12</v>
      </c>
      <c r="N23" s="912">
        <f t="shared" si="16"/>
        <v>3376.0319999999997</v>
      </c>
      <c r="O23" s="912">
        <f t="shared" si="3"/>
        <v>2501.8319999999994</v>
      </c>
      <c r="P23" s="911">
        <f t="shared" si="24"/>
        <v>414</v>
      </c>
      <c r="Q23" s="912">
        <f>13*D23*E23</f>
        <v>390</v>
      </c>
      <c r="R23" s="909">
        <f t="shared" si="8"/>
        <v>24</v>
      </c>
      <c r="S23" s="911">
        <f t="shared" si="25"/>
        <v>862.2</v>
      </c>
      <c r="T23" s="912">
        <f>Q23*(1.8*2/3+2.7*1/3)</f>
        <v>819</v>
      </c>
      <c r="U23" s="912">
        <f t="shared" si="26"/>
        <v>43.2</v>
      </c>
      <c r="V23" s="912">
        <f t="shared" si="4"/>
        <v>6</v>
      </c>
      <c r="W23" s="911">
        <f t="shared" si="27"/>
        <v>12</v>
      </c>
      <c r="X23" s="912">
        <f t="shared" si="19"/>
        <v>1313.28</v>
      </c>
      <c r="Y23" s="920">
        <f t="shared" si="20"/>
        <v>1313.28</v>
      </c>
      <c r="Z23" s="911">
        <f t="shared" si="10"/>
        <v>1920.48</v>
      </c>
      <c r="AA23" s="921">
        <f t="shared" si="11"/>
        <v>166.79999999999998</v>
      </c>
      <c r="AB23" s="916">
        <f t="shared" si="12"/>
        <v>242.88</v>
      </c>
      <c r="AC23" s="917"/>
      <c r="AD23" s="917"/>
      <c r="AE23" s="476"/>
      <c r="AF23" s="476"/>
      <c r="AG23" s="50"/>
      <c r="AH23" s="50"/>
      <c r="AI23" s="50"/>
      <c r="AJ23" s="50"/>
      <c r="AK23" s="50"/>
      <c r="AL23" s="50"/>
      <c r="AM23" s="50"/>
      <c r="AN23" s="50"/>
      <c r="AO23" s="50"/>
      <c r="AP23" s="50"/>
      <c r="AQ23" s="50"/>
      <c r="AR23" s="50"/>
      <c r="AS23" s="50"/>
      <c r="AT23" s="50"/>
    </row>
    <row r="24" spans="1:46" s="925" customFormat="1" ht="12" customHeight="1" x14ac:dyDescent="0.25">
      <c r="A24" s="923" t="s">
        <v>1378</v>
      </c>
      <c r="B24" s="908"/>
      <c r="C24" s="908" t="str">
        <f>CONCATENATE(A24,D24,E24)</f>
        <v>I-51154</v>
      </c>
      <c r="D24" s="911">
        <f>5</f>
        <v>5</v>
      </c>
      <c r="E24" s="911">
        <f>4</f>
        <v>4</v>
      </c>
      <c r="F24" s="911">
        <f t="shared" si="22"/>
        <v>4267.2000000000007</v>
      </c>
      <c r="G24" s="911">
        <f>IF(E24&gt;2,2*155.1+(E24-2)*185.1,E24*155.1)*D24</f>
        <v>3402</v>
      </c>
      <c r="H24" s="911">
        <f>IF(E24&gt;2,2*103.6+(E24-2)*133.6,E24*103.6)*D24</f>
        <v>2372</v>
      </c>
      <c r="I24" s="911">
        <f t="shared" si="14"/>
        <v>865.20000000000073</v>
      </c>
      <c r="J24" s="911">
        <f t="shared" si="2"/>
        <v>13.899999999999999</v>
      </c>
      <c r="K24" s="911">
        <v>2.78</v>
      </c>
      <c r="L24" s="911">
        <f t="shared" si="23"/>
        <v>71.12</v>
      </c>
      <c r="M24" s="911">
        <v>12</v>
      </c>
      <c r="N24" s="912">
        <f t="shared" ref="N24:N34" si="28">(L24+M24)*2*J24</f>
        <v>2310.7359999999999</v>
      </c>
      <c r="O24" s="912">
        <f t="shared" si="3"/>
        <v>1727.9359999999999</v>
      </c>
      <c r="P24" s="911">
        <f t="shared" si="24"/>
        <v>276</v>
      </c>
      <c r="Q24" s="912">
        <f>(5+6)*D24*E24+2*2*D24+IF(E24&gt;=3,(E24-2)*D24*2,0)</f>
        <v>260</v>
      </c>
      <c r="R24" s="909">
        <f t="shared" si="8"/>
        <v>16</v>
      </c>
      <c r="S24" s="911">
        <f t="shared" si="25"/>
        <v>574.79999999999995</v>
      </c>
      <c r="T24" s="912">
        <f>Q24*(1.8*2/3+2.7*1/3)</f>
        <v>546</v>
      </c>
      <c r="U24" s="912">
        <f t="shared" si="26"/>
        <v>28.8</v>
      </c>
      <c r="V24" s="912">
        <f t="shared" si="4"/>
        <v>4</v>
      </c>
      <c r="W24" s="911">
        <f t="shared" si="27"/>
        <v>8</v>
      </c>
      <c r="X24" s="912">
        <f t="shared" si="19"/>
        <v>853.44</v>
      </c>
      <c r="Y24" s="920">
        <f t="shared" si="20"/>
        <v>853.44</v>
      </c>
      <c r="Z24" s="911">
        <f t="shared" si="10"/>
        <v>1269.04</v>
      </c>
      <c r="AA24" s="921">
        <f t="shared" si="11"/>
        <v>166.79999999999998</v>
      </c>
      <c r="AB24" s="916">
        <f t="shared" si="12"/>
        <v>166.24</v>
      </c>
      <c r="AC24" s="917"/>
      <c r="AD24" s="917"/>
      <c r="AE24" s="476"/>
      <c r="AF24" s="476"/>
      <c r="AG24" s="50"/>
      <c r="AH24" s="50"/>
      <c r="AI24" s="50"/>
      <c r="AJ24" s="50"/>
      <c r="AK24" s="50"/>
      <c r="AL24" s="50"/>
      <c r="AM24" s="50"/>
      <c r="AN24" s="50"/>
      <c r="AO24" s="50"/>
      <c r="AP24" s="50"/>
      <c r="AQ24" s="50"/>
      <c r="AR24" s="50"/>
      <c r="AS24" s="50"/>
      <c r="AT24" s="50"/>
    </row>
    <row r="25" spans="1:46" s="925" customFormat="1" ht="12" customHeight="1" x14ac:dyDescent="0.25">
      <c r="A25" s="923" t="s">
        <v>1379</v>
      </c>
      <c r="B25" s="908"/>
      <c r="C25" s="908" t="str">
        <f t="shared" ref="C25:C34" si="29">CONCATENATE(A25,D25,E25)</f>
        <v>I-515 (5 эт)53</v>
      </c>
      <c r="D25" s="911">
        <v>5</v>
      </c>
      <c r="E25" s="911">
        <v>3</v>
      </c>
      <c r="F25" s="911">
        <f t="shared" si="22"/>
        <v>3117.6</v>
      </c>
      <c r="G25" s="911">
        <f t="shared" ref="G25:G30" si="30">IF(E25&gt;2,2*163.33+(E25-2)*188.95,E25*163.3)*D25</f>
        <v>2578.0500000000002</v>
      </c>
      <c r="H25" s="911">
        <f t="shared" ref="H25:H30" si="31">IF(E25&gt;2,2*93+(E25-2)*102.3,E25*93)*D25</f>
        <v>1441.5</v>
      </c>
      <c r="I25" s="911">
        <f t="shared" si="14"/>
        <v>539.54999999999973</v>
      </c>
      <c r="J25" s="911">
        <f t="shared" si="2"/>
        <v>13.899999999999999</v>
      </c>
      <c r="K25" s="911">
        <v>2.78</v>
      </c>
      <c r="L25" s="911">
        <f t="shared" si="23"/>
        <v>51.959999999999994</v>
      </c>
      <c r="M25" s="911">
        <v>12</v>
      </c>
      <c r="N25" s="912">
        <f t="shared" si="28"/>
        <v>1778.0879999999997</v>
      </c>
      <c r="O25" s="912">
        <f t="shared" si="3"/>
        <v>1301.9879999999998</v>
      </c>
      <c r="P25" s="911">
        <f t="shared" si="24"/>
        <v>207</v>
      </c>
      <c r="Q25" s="911">
        <f t="shared" ref="Q25:Q30" si="32">13*D25*E25</f>
        <v>195</v>
      </c>
      <c r="R25" s="909">
        <f t="shared" si="8"/>
        <v>12</v>
      </c>
      <c r="S25" s="911">
        <f t="shared" si="25"/>
        <v>470.1</v>
      </c>
      <c r="T25" s="912">
        <f t="shared" ref="T25:T30" si="33">(29.9)*D25*E25</f>
        <v>448.5</v>
      </c>
      <c r="U25" s="912">
        <f t="shared" si="26"/>
        <v>21.6</v>
      </c>
      <c r="V25" s="912">
        <f t="shared" si="4"/>
        <v>3</v>
      </c>
      <c r="W25" s="911">
        <f t="shared" si="27"/>
        <v>6</v>
      </c>
      <c r="X25" s="912">
        <f t="shared" si="19"/>
        <v>623.52</v>
      </c>
      <c r="Y25" s="920">
        <f t="shared" si="20"/>
        <v>623.52</v>
      </c>
      <c r="Z25" s="911">
        <f t="shared" si="10"/>
        <v>943.31999999999994</v>
      </c>
      <c r="AA25" s="921">
        <f t="shared" si="11"/>
        <v>166.79999999999998</v>
      </c>
      <c r="AB25" s="916">
        <f t="shared" si="12"/>
        <v>127.91999999999999</v>
      </c>
      <c r="AC25" s="917"/>
      <c r="AD25" s="917"/>
      <c r="AE25" s="476"/>
      <c r="AF25" s="476"/>
      <c r="AG25" s="50"/>
      <c r="AH25" s="50"/>
      <c r="AI25" s="50"/>
      <c r="AJ25" s="50"/>
      <c r="AK25" s="50"/>
      <c r="AL25" s="50"/>
      <c r="AM25" s="50"/>
      <c r="AN25" s="50"/>
      <c r="AO25" s="50"/>
      <c r="AP25" s="50"/>
      <c r="AQ25" s="50"/>
      <c r="AR25" s="50"/>
      <c r="AS25" s="50"/>
      <c r="AT25" s="50"/>
    </row>
    <row r="26" spans="1:46" s="925" customFormat="1" ht="12" customHeight="1" x14ac:dyDescent="0.25">
      <c r="A26" s="923" t="s">
        <v>1379</v>
      </c>
      <c r="B26" s="908"/>
      <c r="C26" s="908" t="str">
        <f t="shared" si="29"/>
        <v>I-515 (5 эт)54</v>
      </c>
      <c r="D26" s="911">
        <v>5</v>
      </c>
      <c r="E26" s="911">
        <v>4</v>
      </c>
      <c r="F26" s="911">
        <f t="shared" si="22"/>
        <v>4267.2000000000007</v>
      </c>
      <c r="G26" s="911">
        <f t="shared" si="30"/>
        <v>3522.7999999999997</v>
      </c>
      <c r="H26" s="911">
        <f t="shared" si="31"/>
        <v>1953</v>
      </c>
      <c r="I26" s="911">
        <f t="shared" si="14"/>
        <v>744.400000000001</v>
      </c>
      <c r="J26" s="911">
        <f t="shared" si="2"/>
        <v>13.899999999999999</v>
      </c>
      <c r="K26" s="911">
        <v>2.78</v>
      </c>
      <c r="L26" s="911">
        <f t="shared" si="23"/>
        <v>71.12</v>
      </c>
      <c r="M26" s="911">
        <v>12</v>
      </c>
      <c r="N26" s="912">
        <f t="shared" si="28"/>
        <v>2310.7359999999999</v>
      </c>
      <c r="O26" s="912">
        <f t="shared" si="3"/>
        <v>1675.9359999999999</v>
      </c>
      <c r="P26" s="911">
        <f t="shared" si="24"/>
        <v>276</v>
      </c>
      <c r="Q26" s="911">
        <f t="shared" si="32"/>
        <v>260</v>
      </c>
      <c r="R26" s="909">
        <f t="shared" si="8"/>
        <v>16</v>
      </c>
      <c r="S26" s="911">
        <f t="shared" si="25"/>
        <v>626.79999999999995</v>
      </c>
      <c r="T26" s="912">
        <f t="shared" si="33"/>
        <v>598</v>
      </c>
      <c r="U26" s="912">
        <f t="shared" si="26"/>
        <v>28.8</v>
      </c>
      <c r="V26" s="912">
        <f t="shared" si="4"/>
        <v>4</v>
      </c>
      <c r="W26" s="911">
        <f t="shared" si="27"/>
        <v>8</v>
      </c>
      <c r="X26" s="912">
        <f t="shared" si="19"/>
        <v>853.44</v>
      </c>
      <c r="Y26" s="920">
        <f t="shared" si="20"/>
        <v>853.44</v>
      </c>
      <c r="Z26" s="911">
        <f t="shared" si="10"/>
        <v>1269.04</v>
      </c>
      <c r="AA26" s="921">
        <f t="shared" si="11"/>
        <v>166.79999999999998</v>
      </c>
      <c r="AB26" s="916">
        <f t="shared" si="12"/>
        <v>166.24</v>
      </c>
      <c r="AC26" s="917"/>
      <c r="AD26" s="917"/>
      <c r="AE26" s="476"/>
      <c r="AF26" s="476"/>
      <c r="AG26" s="50"/>
      <c r="AH26" s="50"/>
      <c r="AI26" s="50"/>
      <c r="AJ26" s="50"/>
      <c r="AK26" s="50"/>
      <c r="AL26" s="50"/>
      <c r="AM26" s="50"/>
      <c r="AN26" s="50"/>
      <c r="AO26" s="50"/>
      <c r="AP26" s="50"/>
      <c r="AQ26" s="50"/>
      <c r="AR26" s="50"/>
      <c r="AS26" s="50"/>
      <c r="AT26" s="50"/>
    </row>
    <row r="27" spans="1:46" s="925" customFormat="1" ht="12" customHeight="1" x14ac:dyDescent="0.25">
      <c r="A27" s="923" t="s">
        <v>1379</v>
      </c>
      <c r="B27" s="908"/>
      <c r="C27" s="908" t="str">
        <f t="shared" si="29"/>
        <v>I-515 (5 эт)55</v>
      </c>
      <c r="D27" s="911">
        <v>5</v>
      </c>
      <c r="E27" s="911">
        <v>5</v>
      </c>
      <c r="F27" s="911">
        <f t="shared" si="22"/>
        <v>5416.8000000000011</v>
      </c>
      <c r="G27" s="911">
        <f t="shared" si="30"/>
        <v>4467.55</v>
      </c>
      <c r="H27" s="911">
        <f t="shared" si="31"/>
        <v>2464.5</v>
      </c>
      <c r="I27" s="911">
        <f t="shared" si="14"/>
        <v>949.25000000000091</v>
      </c>
      <c r="J27" s="911">
        <f t="shared" si="2"/>
        <v>13.899999999999999</v>
      </c>
      <c r="K27" s="911">
        <v>2.78</v>
      </c>
      <c r="L27" s="911">
        <f t="shared" si="23"/>
        <v>90.28</v>
      </c>
      <c r="M27" s="911">
        <v>12</v>
      </c>
      <c r="N27" s="912">
        <f t="shared" si="28"/>
        <v>2843.3839999999996</v>
      </c>
      <c r="O27" s="912">
        <f t="shared" si="3"/>
        <v>2049.8839999999996</v>
      </c>
      <c r="P27" s="911">
        <f t="shared" si="24"/>
        <v>345</v>
      </c>
      <c r="Q27" s="911">
        <f t="shared" si="32"/>
        <v>325</v>
      </c>
      <c r="R27" s="909">
        <f t="shared" si="8"/>
        <v>20</v>
      </c>
      <c r="S27" s="911">
        <f t="shared" si="25"/>
        <v>783.5</v>
      </c>
      <c r="T27" s="912">
        <f t="shared" si="33"/>
        <v>747.5</v>
      </c>
      <c r="U27" s="912">
        <f t="shared" si="26"/>
        <v>36</v>
      </c>
      <c r="V27" s="912">
        <f t="shared" si="4"/>
        <v>5</v>
      </c>
      <c r="W27" s="911">
        <f t="shared" si="27"/>
        <v>10</v>
      </c>
      <c r="X27" s="912">
        <f t="shared" si="19"/>
        <v>1083.3600000000001</v>
      </c>
      <c r="Y27" s="920">
        <f t="shared" si="20"/>
        <v>1083.3600000000001</v>
      </c>
      <c r="Z27" s="911">
        <f t="shared" si="10"/>
        <v>1594.7600000000002</v>
      </c>
      <c r="AA27" s="921">
        <f t="shared" si="11"/>
        <v>166.79999999999998</v>
      </c>
      <c r="AB27" s="916">
        <f t="shared" si="12"/>
        <v>204.56</v>
      </c>
      <c r="AC27" s="917"/>
      <c r="AD27" s="917"/>
      <c r="AE27" s="476"/>
      <c r="AF27" s="476"/>
      <c r="AG27" s="50"/>
      <c r="AH27" s="50"/>
      <c r="AI27" s="50"/>
      <c r="AJ27" s="50"/>
      <c r="AK27" s="50"/>
      <c r="AL27" s="50"/>
      <c r="AM27" s="50"/>
      <c r="AN27" s="50"/>
      <c r="AO27" s="50"/>
      <c r="AP27" s="50"/>
      <c r="AQ27" s="50"/>
      <c r="AR27" s="50"/>
      <c r="AS27" s="50"/>
      <c r="AT27" s="50"/>
    </row>
    <row r="28" spans="1:46" ht="12" customHeight="1" x14ac:dyDescent="0.25">
      <c r="A28" s="923" t="s">
        <v>1379</v>
      </c>
      <c r="B28" s="908"/>
      <c r="C28" s="908" t="str">
        <f t="shared" si="29"/>
        <v>I-515 (5 эт)53</v>
      </c>
      <c r="D28" s="911">
        <f>5</f>
        <v>5</v>
      </c>
      <c r="E28" s="911">
        <v>3</v>
      </c>
      <c r="F28" s="911">
        <f t="shared" si="22"/>
        <v>3117.6</v>
      </c>
      <c r="G28" s="912">
        <f t="shared" si="30"/>
        <v>2578.0500000000002</v>
      </c>
      <c r="H28" s="911">
        <f t="shared" si="31"/>
        <v>1441.5</v>
      </c>
      <c r="I28" s="911">
        <f t="shared" si="14"/>
        <v>539.54999999999973</v>
      </c>
      <c r="J28" s="911">
        <f t="shared" si="2"/>
        <v>13.899999999999999</v>
      </c>
      <c r="K28" s="911">
        <v>2.78</v>
      </c>
      <c r="L28" s="911">
        <f t="shared" si="23"/>
        <v>51.959999999999994</v>
      </c>
      <c r="M28" s="911">
        <v>12</v>
      </c>
      <c r="N28" s="912">
        <f t="shared" si="28"/>
        <v>1778.0879999999997</v>
      </c>
      <c r="O28" s="912">
        <f t="shared" si="3"/>
        <v>1301.9879999999998</v>
      </c>
      <c r="P28" s="911">
        <f t="shared" si="24"/>
        <v>207</v>
      </c>
      <c r="Q28" s="911">
        <f t="shared" si="32"/>
        <v>195</v>
      </c>
      <c r="R28" s="909">
        <f t="shared" si="8"/>
        <v>12</v>
      </c>
      <c r="S28" s="911">
        <f t="shared" si="25"/>
        <v>470.1</v>
      </c>
      <c r="T28" s="912">
        <f t="shared" si="33"/>
        <v>448.5</v>
      </c>
      <c r="U28" s="912">
        <f t="shared" si="26"/>
        <v>21.6</v>
      </c>
      <c r="V28" s="912">
        <f t="shared" si="4"/>
        <v>3</v>
      </c>
      <c r="W28" s="911">
        <f t="shared" si="27"/>
        <v>6</v>
      </c>
      <c r="X28" s="912">
        <f t="shared" si="19"/>
        <v>623.52</v>
      </c>
      <c r="Y28" s="920">
        <f t="shared" si="20"/>
        <v>623.52</v>
      </c>
      <c r="Z28" s="911">
        <f t="shared" si="10"/>
        <v>943.31999999999994</v>
      </c>
      <c r="AA28" s="921">
        <f t="shared" si="11"/>
        <v>166.79999999999998</v>
      </c>
      <c r="AB28" s="916">
        <f t="shared" si="12"/>
        <v>127.91999999999999</v>
      </c>
      <c r="AC28" s="917"/>
      <c r="AD28" s="917"/>
      <c r="AE28" s="476"/>
      <c r="AF28" s="476"/>
      <c r="AG28" s="50"/>
      <c r="AH28" s="50"/>
      <c r="AI28" s="50"/>
      <c r="AJ28" s="50"/>
      <c r="AK28" s="50"/>
      <c r="AL28" s="50"/>
      <c r="AM28" s="50"/>
      <c r="AN28" s="50"/>
      <c r="AO28" s="50"/>
      <c r="AP28" s="50"/>
      <c r="AQ28" s="50"/>
      <c r="AR28" s="50"/>
      <c r="AS28" s="50"/>
      <c r="AT28" s="50"/>
    </row>
    <row r="29" spans="1:46" ht="12" customHeight="1" x14ac:dyDescent="0.25">
      <c r="A29" s="923" t="s">
        <v>1379</v>
      </c>
      <c r="B29" s="908"/>
      <c r="C29" s="908" t="str">
        <f t="shared" si="29"/>
        <v>I-515 (5 эт)57</v>
      </c>
      <c r="D29" s="911">
        <f>5</f>
        <v>5</v>
      </c>
      <c r="E29" s="911">
        <f>7</f>
        <v>7</v>
      </c>
      <c r="F29" s="911">
        <f t="shared" si="22"/>
        <v>7715.9999999999991</v>
      </c>
      <c r="G29" s="912">
        <f t="shared" si="30"/>
        <v>6357.05</v>
      </c>
      <c r="H29" s="911">
        <f t="shared" si="31"/>
        <v>3487.5</v>
      </c>
      <c r="I29" s="911">
        <f t="shared" si="14"/>
        <v>1358.9499999999989</v>
      </c>
      <c r="J29" s="911">
        <f t="shared" si="2"/>
        <v>13.899999999999999</v>
      </c>
      <c r="K29" s="911">
        <v>2.78</v>
      </c>
      <c r="L29" s="911">
        <f t="shared" si="23"/>
        <v>128.6</v>
      </c>
      <c r="M29" s="911">
        <v>12</v>
      </c>
      <c r="N29" s="912">
        <f t="shared" si="28"/>
        <v>3908.6799999999994</v>
      </c>
      <c r="O29" s="912">
        <f t="shared" si="3"/>
        <v>2797.7799999999993</v>
      </c>
      <c r="P29" s="911">
        <f t="shared" si="24"/>
        <v>483</v>
      </c>
      <c r="Q29" s="911">
        <f t="shared" si="32"/>
        <v>455</v>
      </c>
      <c r="R29" s="909">
        <f t="shared" si="8"/>
        <v>28</v>
      </c>
      <c r="S29" s="911">
        <f t="shared" si="25"/>
        <v>1096.9000000000001</v>
      </c>
      <c r="T29" s="912">
        <f t="shared" si="33"/>
        <v>1046.5</v>
      </c>
      <c r="U29" s="912">
        <f t="shared" si="26"/>
        <v>50.4</v>
      </c>
      <c r="V29" s="912">
        <f t="shared" si="4"/>
        <v>7</v>
      </c>
      <c r="W29" s="911">
        <f t="shared" si="27"/>
        <v>14</v>
      </c>
      <c r="X29" s="912">
        <f t="shared" si="19"/>
        <v>1543.1999999999998</v>
      </c>
      <c r="Y29" s="920">
        <f t="shared" si="20"/>
        <v>1543.1999999999998</v>
      </c>
      <c r="Z29" s="911">
        <f t="shared" si="10"/>
        <v>2246.1999999999998</v>
      </c>
      <c r="AA29" s="921">
        <f t="shared" si="11"/>
        <v>166.79999999999998</v>
      </c>
      <c r="AB29" s="916">
        <f t="shared" si="12"/>
        <v>281.2</v>
      </c>
      <c r="AC29" s="917"/>
      <c r="AD29" s="917"/>
      <c r="AE29" s="476"/>
      <c r="AF29" s="476"/>
      <c r="AG29" s="50"/>
      <c r="AH29" s="50"/>
      <c r="AI29" s="50"/>
      <c r="AJ29" s="50"/>
      <c r="AK29" s="50"/>
      <c r="AL29" s="50"/>
      <c r="AM29" s="50"/>
      <c r="AN29" s="50"/>
      <c r="AO29" s="50"/>
      <c r="AP29" s="50"/>
      <c r="AQ29" s="50"/>
      <c r="AR29" s="50"/>
      <c r="AS29" s="50"/>
      <c r="AT29" s="50"/>
    </row>
    <row r="30" spans="1:46" ht="12" customHeight="1" x14ac:dyDescent="0.25">
      <c r="A30" s="923" t="s">
        <v>1379</v>
      </c>
      <c r="B30" s="908"/>
      <c r="C30" s="908" t="str">
        <f t="shared" si="29"/>
        <v>I-515 (5 эт)59</v>
      </c>
      <c r="D30" s="911">
        <f>5</f>
        <v>5</v>
      </c>
      <c r="E30" s="911">
        <f>9</f>
        <v>9</v>
      </c>
      <c r="F30" s="911">
        <f t="shared" si="22"/>
        <v>10015.200000000001</v>
      </c>
      <c r="G30" s="912">
        <f t="shared" si="30"/>
        <v>8246.5499999999993</v>
      </c>
      <c r="H30" s="911">
        <f t="shared" si="31"/>
        <v>4510.5</v>
      </c>
      <c r="I30" s="911">
        <f t="shared" si="14"/>
        <v>1768.6500000000015</v>
      </c>
      <c r="J30" s="911">
        <f t="shared" si="2"/>
        <v>13.899999999999999</v>
      </c>
      <c r="K30" s="911">
        <v>2.78</v>
      </c>
      <c r="L30" s="911">
        <f t="shared" si="23"/>
        <v>166.92000000000002</v>
      </c>
      <c r="M30" s="911">
        <v>12</v>
      </c>
      <c r="N30" s="912">
        <f t="shared" si="28"/>
        <v>4973.9759999999997</v>
      </c>
      <c r="O30" s="912">
        <f t="shared" si="3"/>
        <v>3545.6759999999995</v>
      </c>
      <c r="P30" s="911">
        <f t="shared" si="24"/>
        <v>621</v>
      </c>
      <c r="Q30" s="911">
        <f t="shared" si="32"/>
        <v>585</v>
      </c>
      <c r="R30" s="909">
        <f t="shared" si="8"/>
        <v>36</v>
      </c>
      <c r="S30" s="911">
        <f t="shared" si="25"/>
        <v>1410.3</v>
      </c>
      <c r="T30" s="912">
        <f t="shared" si="33"/>
        <v>1345.5</v>
      </c>
      <c r="U30" s="912">
        <f t="shared" si="26"/>
        <v>64.8</v>
      </c>
      <c r="V30" s="912">
        <f t="shared" si="4"/>
        <v>9</v>
      </c>
      <c r="W30" s="911">
        <f t="shared" si="27"/>
        <v>18</v>
      </c>
      <c r="X30" s="912">
        <f t="shared" si="19"/>
        <v>2003.0400000000002</v>
      </c>
      <c r="Y30" s="920">
        <f t="shared" si="20"/>
        <v>2003.0400000000002</v>
      </c>
      <c r="Z30" s="911">
        <f t="shared" si="10"/>
        <v>2897.6400000000003</v>
      </c>
      <c r="AA30" s="921">
        <f t="shared" si="11"/>
        <v>166.79999999999998</v>
      </c>
      <c r="AB30" s="916">
        <f t="shared" si="12"/>
        <v>357.84000000000003</v>
      </c>
      <c r="AC30" s="917"/>
      <c r="AD30" s="917"/>
      <c r="AE30" s="476"/>
      <c r="AF30" s="476"/>
      <c r="AG30" s="50"/>
      <c r="AH30" s="50"/>
      <c r="AI30" s="50"/>
      <c r="AJ30" s="50"/>
      <c r="AK30" s="50"/>
      <c r="AL30" s="50"/>
      <c r="AM30" s="50"/>
      <c r="AN30" s="50"/>
      <c r="AO30" s="50"/>
      <c r="AP30" s="50"/>
      <c r="AQ30" s="50"/>
      <c r="AR30" s="50"/>
      <c r="AS30" s="50"/>
      <c r="AT30" s="50"/>
    </row>
    <row r="31" spans="1:46" s="926" customFormat="1" ht="12" customHeight="1" x14ac:dyDescent="0.25">
      <c r="A31" s="923" t="s">
        <v>1380</v>
      </c>
      <c r="B31" s="908"/>
      <c r="C31" s="908" t="str">
        <f t="shared" si="29"/>
        <v>I-515/9 (9 эт)92</v>
      </c>
      <c r="D31" s="911">
        <v>9</v>
      </c>
      <c r="E31" s="911">
        <v>2</v>
      </c>
      <c r="F31" s="911">
        <f t="shared" si="22"/>
        <v>4212</v>
      </c>
      <c r="G31" s="911">
        <f>193.4*$D31*$E31</f>
        <v>3481.2000000000003</v>
      </c>
      <c r="H31" s="911">
        <f>127.69*$D31*$E31</f>
        <v>2298.42</v>
      </c>
      <c r="I31" s="911">
        <f t="shared" si="14"/>
        <v>730.79999999999973</v>
      </c>
      <c r="J31" s="911">
        <f t="shared" si="2"/>
        <v>25.02</v>
      </c>
      <c r="K31" s="911">
        <v>2.78</v>
      </c>
      <c r="L31" s="911">
        <f>18*E31</f>
        <v>36</v>
      </c>
      <c r="M31" s="911">
        <v>13</v>
      </c>
      <c r="N31" s="912">
        <f t="shared" si="28"/>
        <v>2451.96</v>
      </c>
      <c r="O31" s="912">
        <f t="shared" si="3"/>
        <v>1821.56</v>
      </c>
      <c r="P31" s="911">
        <f t="shared" si="24"/>
        <v>286</v>
      </c>
      <c r="Q31" s="911">
        <f>13*D31*E31+2*2*D31</f>
        <v>270</v>
      </c>
      <c r="R31" s="909">
        <f t="shared" si="8"/>
        <v>16</v>
      </c>
      <c r="S31" s="912">
        <f t="shared" si="25"/>
        <v>626.4</v>
      </c>
      <c r="T31" s="912">
        <f>IF(E31&gt;=2,(E31-2)*D31*28.44+2*D31*33.2,D31*33.2)</f>
        <v>597.6</v>
      </c>
      <c r="U31" s="912">
        <f t="shared" si="26"/>
        <v>28.8</v>
      </c>
      <c r="V31" s="912">
        <f t="shared" si="4"/>
        <v>2</v>
      </c>
      <c r="W31" s="911">
        <f t="shared" si="27"/>
        <v>4</v>
      </c>
      <c r="X31" s="912">
        <f t="shared" si="19"/>
        <v>468</v>
      </c>
      <c r="Y31" s="920">
        <f t="shared" si="20"/>
        <v>468</v>
      </c>
      <c r="Z31" s="911">
        <f t="shared" si="10"/>
        <v>713</v>
      </c>
      <c r="AA31" s="921">
        <f t="shared" si="11"/>
        <v>325.26</v>
      </c>
      <c r="AB31" s="916">
        <f t="shared" si="12"/>
        <v>98</v>
      </c>
      <c r="AC31" s="917"/>
      <c r="AD31" s="917"/>
      <c r="AE31" s="476"/>
      <c r="AF31" s="476"/>
      <c r="AG31" s="50"/>
      <c r="AH31" s="50"/>
      <c r="AI31" s="50"/>
      <c r="AJ31" s="50"/>
      <c r="AK31" s="50"/>
      <c r="AL31" s="50"/>
      <c r="AM31" s="50"/>
      <c r="AN31" s="50"/>
      <c r="AO31" s="50"/>
      <c r="AP31" s="50"/>
      <c r="AQ31" s="50"/>
      <c r="AR31" s="50"/>
      <c r="AS31" s="50"/>
      <c r="AT31" s="50"/>
    </row>
    <row r="32" spans="1:46" s="926" customFormat="1" ht="12" customHeight="1" x14ac:dyDescent="0.25">
      <c r="A32" s="923" t="s">
        <v>1380</v>
      </c>
      <c r="B32" s="908"/>
      <c r="C32" s="908" t="str">
        <f t="shared" si="29"/>
        <v>I-515/9 (9 эт)94</v>
      </c>
      <c r="D32" s="911">
        <v>9</v>
      </c>
      <c r="E32" s="911">
        <v>4</v>
      </c>
      <c r="F32" s="911">
        <f t="shared" si="22"/>
        <v>8812.7999999999993</v>
      </c>
      <c r="G32" s="911">
        <v>7142</v>
      </c>
      <c r="H32" s="911">
        <v>4726</v>
      </c>
      <c r="I32" s="911">
        <f t="shared" si="14"/>
        <v>1670.7999999999993</v>
      </c>
      <c r="J32" s="911">
        <f t="shared" si="2"/>
        <v>25.02</v>
      </c>
      <c r="K32" s="911">
        <v>2.78</v>
      </c>
      <c r="L32" s="911">
        <f>20.4*E32</f>
        <v>81.599999999999994</v>
      </c>
      <c r="M32" s="911">
        <v>12</v>
      </c>
      <c r="N32" s="912">
        <f t="shared" si="28"/>
        <v>4683.7439999999997</v>
      </c>
      <c r="O32" s="912">
        <f t="shared" si="3"/>
        <v>3508.6239999999998</v>
      </c>
      <c r="P32" s="911">
        <f t="shared" si="24"/>
        <v>536</v>
      </c>
      <c r="Q32" s="911">
        <f>13*D32*E32+2*2*D32</f>
        <v>504</v>
      </c>
      <c r="R32" s="909">
        <f t="shared" si="8"/>
        <v>32</v>
      </c>
      <c r="S32" s="912">
        <f t="shared" si="25"/>
        <v>1167.1199999999999</v>
      </c>
      <c r="T32" s="912">
        <f>IF(E32&gt;=2,(E32-2)*D32*28.44+2*D32*33.2,D32*33.2)</f>
        <v>1109.52</v>
      </c>
      <c r="U32" s="912">
        <f t="shared" si="26"/>
        <v>57.6</v>
      </c>
      <c r="V32" s="912">
        <f t="shared" si="4"/>
        <v>4</v>
      </c>
      <c r="W32" s="911">
        <f t="shared" si="27"/>
        <v>8</v>
      </c>
      <c r="X32" s="912">
        <f t="shared" si="19"/>
        <v>979.19999999999993</v>
      </c>
      <c r="Y32" s="920">
        <f t="shared" si="20"/>
        <v>979.19999999999993</v>
      </c>
      <c r="Z32" s="911">
        <f t="shared" si="10"/>
        <v>1447.1999999999998</v>
      </c>
      <c r="AA32" s="921">
        <f t="shared" si="11"/>
        <v>300.24</v>
      </c>
      <c r="AB32" s="916">
        <f t="shared" si="12"/>
        <v>187.2</v>
      </c>
      <c r="AC32" s="917"/>
      <c r="AD32" s="917"/>
      <c r="AE32" s="476"/>
      <c r="AF32" s="476"/>
      <c r="AG32" s="50"/>
      <c r="AH32" s="50"/>
      <c r="AI32" s="50"/>
      <c r="AJ32" s="50"/>
      <c r="AK32" s="50"/>
      <c r="AL32" s="50"/>
      <c r="AM32" s="50"/>
      <c r="AN32" s="50"/>
      <c r="AO32" s="50"/>
      <c r="AP32" s="50"/>
      <c r="AQ32" s="50"/>
      <c r="AR32" s="50"/>
      <c r="AS32" s="50"/>
      <c r="AT32" s="50"/>
    </row>
    <row r="33" spans="1:46" ht="12" customHeight="1" x14ac:dyDescent="0.25">
      <c r="A33" s="923" t="s">
        <v>1380</v>
      </c>
      <c r="B33" s="908"/>
      <c r="C33" s="908" t="str">
        <f t="shared" si="29"/>
        <v>I-515/9 (9 эт)96</v>
      </c>
      <c r="D33" s="911">
        <f>9</f>
        <v>9</v>
      </c>
      <c r="E33" s="911">
        <f>6</f>
        <v>6</v>
      </c>
      <c r="F33" s="912">
        <f t="shared" si="22"/>
        <v>12636</v>
      </c>
      <c r="G33" s="912">
        <f>193.4*$D33*$E33</f>
        <v>10443.6</v>
      </c>
      <c r="H33" s="911">
        <f>127.69*$D33*$E33</f>
        <v>6895.26</v>
      </c>
      <c r="I33" s="911">
        <f t="shared" si="14"/>
        <v>2192.3999999999996</v>
      </c>
      <c r="J33" s="911">
        <f t="shared" si="2"/>
        <v>25.02</v>
      </c>
      <c r="K33" s="911">
        <v>2.78</v>
      </c>
      <c r="L33" s="911">
        <f>18*E33</f>
        <v>108</v>
      </c>
      <c r="M33" s="911">
        <v>13</v>
      </c>
      <c r="N33" s="912">
        <f t="shared" si="28"/>
        <v>6054.84</v>
      </c>
      <c r="O33" s="912">
        <f t="shared" si="3"/>
        <v>4335</v>
      </c>
      <c r="P33" s="911">
        <f t="shared" si="24"/>
        <v>786</v>
      </c>
      <c r="Q33" s="911">
        <f>13*D33*E33+2*2*D33</f>
        <v>738</v>
      </c>
      <c r="R33" s="909">
        <f t="shared" si="8"/>
        <v>48</v>
      </c>
      <c r="S33" s="912">
        <f t="shared" si="25"/>
        <v>1707.8400000000001</v>
      </c>
      <c r="T33" s="912">
        <f>IF(E33&gt;=2,(E33-2)*D33*28.44+2*D33*33.2,D33*33.2)</f>
        <v>1621.44</v>
      </c>
      <c r="U33" s="912">
        <f t="shared" si="26"/>
        <v>86.4</v>
      </c>
      <c r="V33" s="912">
        <f t="shared" si="4"/>
        <v>6</v>
      </c>
      <c r="W33" s="911">
        <f t="shared" si="27"/>
        <v>12</v>
      </c>
      <c r="X33" s="912">
        <f t="shared" si="19"/>
        <v>1404</v>
      </c>
      <c r="Y33" s="920">
        <f t="shared" si="20"/>
        <v>1404</v>
      </c>
      <c r="Z33" s="911">
        <f t="shared" si="10"/>
        <v>2009</v>
      </c>
      <c r="AA33" s="921">
        <f t="shared" si="11"/>
        <v>325.26</v>
      </c>
      <c r="AB33" s="916">
        <f t="shared" si="12"/>
        <v>242</v>
      </c>
      <c r="AC33" s="917"/>
      <c r="AD33" s="917"/>
      <c r="AE33" s="476"/>
      <c r="AF33" s="476"/>
      <c r="AG33" s="50"/>
      <c r="AH33" s="50"/>
      <c r="AI33" s="50"/>
      <c r="AJ33" s="50"/>
      <c r="AK33" s="50"/>
      <c r="AL33" s="50"/>
      <c r="AM33" s="50"/>
      <c r="AN33" s="50"/>
      <c r="AO33" s="50"/>
      <c r="AP33" s="50"/>
      <c r="AQ33" s="50"/>
      <c r="AR33" s="50"/>
      <c r="AS33" s="50"/>
      <c r="AT33" s="50"/>
    </row>
    <row r="34" spans="1:46" ht="12" customHeight="1" x14ac:dyDescent="0.25">
      <c r="A34" s="923" t="s">
        <v>1380</v>
      </c>
      <c r="B34" s="908"/>
      <c r="C34" s="908" t="str">
        <f t="shared" si="29"/>
        <v>I-515/9 (9 эт)98</v>
      </c>
      <c r="D34" s="911">
        <f>9</f>
        <v>9</v>
      </c>
      <c r="E34" s="911">
        <f>8</f>
        <v>8</v>
      </c>
      <c r="F34" s="912">
        <f t="shared" si="22"/>
        <v>16848</v>
      </c>
      <c r="G34" s="912">
        <f>193.4*$D34*$E34</f>
        <v>13924.800000000001</v>
      </c>
      <c r="H34" s="911">
        <f>127.69*$D34*$E34</f>
        <v>9193.68</v>
      </c>
      <c r="I34" s="911">
        <f t="shared" si="14"/>
        <v>2923.1999999999989</v>
      </c>
      <c r="J34" s="911">
        <f t="shared" si="2"/>
        <v>25.02</v>
      </c>
      <c r="K34" s="911">
        <v>2.78</v>
      </c>
      <c r="L34" s="911">
        <f>18*E34</f>
        <v>144</v>
      </c>
      <c r="M34" s="911">
        <v>13</v>
      </c>
      <c r="N34" s="912">
        <f t="shared" si="28"/>
        <v>7856.28</v>
      </c>
      <c r="O34" s="912">
        <f t="shared" si="3"/>
        <v>5591.7199999999993</v>
      </c>
      <c r="P34" s="911">
        <f t="shared" si="24"/>
        <v>1036</v>
      </c>
      <c r="Q34" s="911">
        <f>13*D34*E34+2*2*D34</f>
        <v>972</v>
      </c>
      <c r="R34" s="909">
        <f t="shared" si="8"/>
        <v>64</v>
      </c>
      <c r="S34" s="912">
        <f t="shared" si="25"/>
        <v>2248.56</v>
      </c>
      <c r="T34" s="912">
        <f>IF(E34&gt;=2,(E34-2)*D34*28.44+2*D34*33.2,D34*33.2)</f>
        <v>2133.36</v>
      </c>
      <c r="U34" s="912">
        <f t="shared" si="26"/>
        <v>115.2</v>
      </c>
      <c r="V34" s="912">
        <f t="shared" si="4"/>
        <v>8</v>
      </c>
      <c r="W34" s="911">
        <f t="shared" si="27"/>
        <v>16</v>
      </c>
      <c r="X34" s="912">
        <f t="shared" si="19"/>
        <v>1872</v>
      </c>
      <c r="Y34" s="920">
        <f t="shared" si="20"/>
        <v>1872</v>
      </c>
      <c r="Z34" s="911">
        <f t="shared" si="10"/>
        <v>2657</v>
      </c>
      <c r="AA34" s="921">
        <f t="shared" si="11"/>
        <v>325.26</v>
      </c>
      <c r="AB34" s="916">
        <f t="shared" si="12"/>
        <v>314</v>
      </c>
      <c r="AC34" s="917"/>
      <c r="AD34" s="917"/>
      <c r="AE34" s="476"/>
      <c r="AF34" s="476"/>
      <c r="AG34" s="50"/>
      <c r="AH34" s="50"/>
      <c r="AI34" s="50"/>
      <c r="AJ34" s="50"/>
      <c r="AK34" s="50"/>
      <c r="AL34" s="50"/>
      <c r="AM34" s="50"/>
      <c r="AN34" s="50"/>
      <c r="AO34" s="50"/>
      <c r="AP34" s="50"/>
      <c r="AQ34" s="50"/>
      <c r="AR34" s="50"/>
      <c r="AS34" s="50"/>
      <c r="AT34" s="50"/>
    </row>
    <row r="35" spans="1:46" ht="12" customHeight="1" x14ac:dyDescent="0.25">
      <c r="A35" s="927" t="s">
        <v>1382</v>
      </c>
      <c r="B35" s="908"/>
      <c r="C35" s="908" t="str">
        <f t="shared" ref="C35:C40" si="34">CONCATENATE(A35,D35,E35)</f>
        <v>II-1891</v>
      </c>
      <c r="D35" s="911">
        <v>9</v>
      </c>
      <c r="E35" s="911">
        <v>1</v>
      </c>
      <c r="F35" s="911">
        <f t="shared" si="22"/>
        <v>3523.5</v>
      </c>
      <c r="G35" s="911">
        <f>303.4*$D35*$E35</f>
        <v>2730.6</v>
      </c>
      <c r="H35" s="911">
        <f>191*$D35*$E35</f>
        <v>1719</v>
      </c>
      <c r="I35" s="911">
        <f t="shared" si="14"/>
        <v>792.90000000000009</v>
      </c>
      <c r="J35" s="911">
        <f t="shared" si="2"/>
        <v>23.724</v>
      </c>
      <c r="K35" s="911">
        <v>2.6360000000000001</v>
      </c>
      <c r="L35" s="911">
        <v>29</v>
      </c>
      <c r="M35" s="911">
        <v>13.5</v>
      </c>
      <c r="N35" s="911">
        <f>(M35+L35)*2*J35</f>
        <v>2016.54</v>
      </c>
      <c r="O35" s="912">
        <f t="shared" si="3"/>
        <v>1489.1333333333332</v>
      </c>
      <c r="P35" s="911">
        <f t="shared" si="24"/>
        <v>197</v>
      </c>
      <c r="Q35" s="911">
        <f>9*D35*E35+8*D35*E35+4*D35</f>
        <v>189</v>
      </c>
      <c r="R35" s="909">
        <f t="shared" si="8"/>
        <v>8</v>
      </c>
      <c r="S35" s="911">
        <f t="shared" si="25"/>
        <v>521.40666666666664</v>
      </c>
      <c r="T35" s="912">
        <f>2.66*Q35</f>
        <v>502.74</v>
      </c>
      <c r="U35" s="912">
        <f>28/12*R35</f>
        <v>18.666666666666668</v>
      </c>
      <c r="V35" s="911">
        <f t="shared" si="4"/>
        <v>1</v>
      </c>
      <c r="W35" s="911">
        <v>6</v>
      </c>
      <c r="X35" s="911">
        <v>367</v>
      </c>
      <c r="Y35" s="920">
        <v>367</v>
      </c>
      <c r="Z35" s="911">
        <f t="shared" si="10"/>
        <v>579.5</v>
      </c>
      <c r="AA35" s="921">
        <f t="shared" si="11"/>
        <v>320.274</v>
      </c>
      <c r="AB35" s="916">
        <f t="shared" si="12"/>
        <v>85</v>
      </c>
      <c r="AC35" s="917"/>
      <c r="AD35" s="917"/>
      <c r="AE35" s="476"/>
      <c r="AF35" s="476"/>
      <c r="AG35" s="50"/>
      <c r="AH35" s="50"/>
      <c r="AI35" s="50"/>
      <c r="AJ35" s="50"/>
      <c r="AK35" s="50"/>
      <c r="AL35" s="50"/>
      <c r="AM35" s="50"/>
      <c r="AN35" s="50"/>
      <c r="AO35" s="50"/>
      <c r="AP35" s="50"/>
      <c r="AQ35" s="50"/>
      <c r="AR35" s="50"/>
      <c r="AS35" s="50"/>
      <c r="AT35" s="50"/>
    </row>
    <row r="36" spans="1:46" ht="12" customHeight="1" x14ac:dyDescent="0.25">
      <c r="A36" s="927" t="s">
        <v>1382</v>
      </c>
      <c r="B36" s="908"/>
      <c r="C36" s="908" t="str">
        <f t="shared" si="34"/>
        <v>II-18121</v>
      </c>
      <c r="D36" s="911">
        <v>12</v>
      </c>
      <c r="E36" s="911">
        <v>1</v>
      </c>
      <c r="F36" s="911">
        <f t="shared" si="22"/>
        <v>4698</v>
      </c>
      <c r="G36" s="911">
        <f>303.4*$D36*$E36</f>
        <v>3640.7999999999997</v>
      </c>
      <c r="H36" s="911">
        <f>191*$D36*$E36</f>
        <v>2292</v>
      </c>
      <c r="I36" s="911">
        <f t="shared" si="14"/>
        <v>1057.2000000000003</v>
      </c>
      <c r="J36" s="911">
        <f t="shared" si="2"/>
        <v>38.64</v>
      </c>
      <c r="K36" s="911">
        <v>3.22</v>
      </c>
      <c r="L36" s="911">
        <v>29</v>
      </c>
      <c r="M36" s="911">
        <v>13.5</v>
      </c>
      <c r="N36" s="911">
        <v>3025</v>
      </c>
      <c r="O36" s="912">
        <f t="shared" si="3"/>
        <v>2320.6799999999998</v>
      </c>
      <c r="P36" s="911">
        <f t="shared" si="24"/>
        <v>263</v>
      </c>
      <c r="Q36" s="911">
        <f>9*D36*E36+8*D36*E36+4*D36</f>
        <v>252</v>
      </c>
      <c r="R36" s="909">
        <f t="shared" si="8"/>
        <v>11</v>
      </c>
      <c r="S36" s="911">
        <f t="shared" ref="S36:S49" si="35">T36+U36</f>
        <v>698.32</v>
      </c>
      <c r="T36" s="912">
        <f>2.66*Q36</f>
        <v>670.32</v>
      </c>
      <c r="U36" s="911">
        <v>28</v>
      </c>
      <c r="V36" s="911">
        <f t="shared" si="4"/>
        <v>1</v>
      </c>
      <c r="W36" s="911">
        <v>6</v>
      </c>
      <c r="X36" s="911">
        <v>392</v>
      </c>
      <c r="Y36" s="920">
        <v>392</v>
      </c>
      <c r="Z36" s="911">
        <f t="shared" si="10"/>
        <v>604.5</v>
      </c>
      <c r="AA36" s="921">
        <f t="shared" si="11"/>
        <v>521.64</v>
      </c>
      <c r="AB36" s="916">
        <f t="shared" si="12"/>
        <v>85</v>
      </c>
      <c r="AC36" s="917"/>
      <c r="AD36" s="917"/>
      <c r="AE36" s="476"/>
      <c r="AF36" s="476"/>
      <c r="AG36" s="50"/>
      <c r="AH36" s="50"/>
      <c r="AI36" s="50"/>
      <c r="AJ36" s="50"/>
      <c r="AK36" s="50"/>
      <c r="AL36" s="50"/>
      <c r="AM36" s="50"/>
      <c r="AN36" s="50"/>
      <c r="AO36" s="50"/>
      <c r="AP36" s="50"/>
      <c r="AQ36" s="50"/>
      <c r="AR36" s="50"/>
      <c r="AS36" s="50"/>
      <c r="AT36" s="50"/>
    </row>
    <row r="37" spans="1:46" ht="12" customHeight="1" x14ac:dyDescent="0.25">
      <c r="A37" s="927" t="s">
        <v>1382</v>
      </c>
      <c r="B37" s="908"/>
      <c r="C37" s="908" t="str">
        <f t="shared" si="34"/>
        <v>II-18122</v>
      </c>
      <c r="D37" s="911">
        <f>12</f>
        <v>12</v>
      </c>
      <c r="E37" s="911">
        <v>2</v>
      </c>
      <c r="F37" s="912">
        <f t="shared" si="22"/>
        <v>9396</v>
      </c>
      <c r="G37" s="912">
        <f>303.4*$D37*$E37</f>
        <v>7281.5999999999995</v>
      </c>
      <c r="H37" s="911">
        <f>191*$D37*$E37</f>
        <v>4584</v>
      </c>
      <c r="I37" s="911">
        <f t="shared" si="14"/>
        <v>2114.4000000000005</v>
      </c>
      <c r="J37" s="911">
        <f t="shared" si="2"/>
        <v>37.200000000000003</v>
      </c>
      <c r="K37" s="911">
        <v>3.1</v>
      </c>
      <c r="L37" s="911">
        <v>58</v>
      </c>
      <c r="M37" s="911">
        <v>13.5</v>
      </c>
      <c r="N37" s="912">
        <f>(L37+M37)*2*J37</f>
        <v>5319.6</v>
      </c>
      <c r="O37" s="912">
        <f t="shared" si="3"/>
        <v>4043.3066666666673</v>
      </c>
      <c r="P37" s="911">
        <f t="shared" si="24"/>
        <v>478</v>
      </c>
      <c r="Q37" s="911">
        <f>9*D37*E37+8*D37*E37+4*D37</f>
        <v>456</v>
      </c>
      <c r="R37" s="909">
        <f t="shared" si="8"/>
        <v>22</v>
      </c>
      <c r="S37" s="912">
        <f t="shared" si="35"/>
        <v>1264.2933333333333</v>
      </c>
      <c r="T37" s="912">
        <f>2.66*Q37</f>
        <v>1212.96</v>
      </c>
      <c r="U37" s="912">
        <f>28/12*R37</f>
        <v>51.333333333333336</v>
      </c>
      <c r="V37" s="912">
        <f t="shared" si="4"/>
        <v>2</v>
      </c>
      <c r="W37" s="912">
        <v>12</v>
      </c>
      <c r="X37" s="912">
        <f>392*E37</f>
        <v>784</v>
      </c>
      <c r="Y37" s="920">
        <f>392*E37</f>
        <v>784</v>
      </c>
      <c r="Z37" s="911">
        <f t="shared" si="10"/>
        <v>1141.5</v>
      </c>
      <c r="AA37" s="921">
        <f t="shared" si="11"/>
        <v>502.20000000000005</v>
      </c>
      <c r="AB37" s="916">
        <f t="shared" si="12"/>
        <v>143</v>
      </c>
      <c r="AC37" s="917"/>
      <c r="AD37" s="917"/>
      <c r="AE37" s="476"/>
      <c r="AF37" s="476"/>
      <c r="AG37" s="50"/>
      <c r="AH37" s="50"/>
      <c r="AI37" s="50"/>
      <c r="AJ37" s="50"/>
      <c r="AK37" s="50"/>
      <c r="AL37" s="50"/>
      <c r="AM37" s="50"/>
      <c r="AN37" s="50"/>
      <c r="AO37" s="50"/>
      <c r="AP37" s="50"/>
      <c r="AQ37" s="50"/>
      <c r="AR37" s="50"/>
      <c r="AS37" s="50"/>
      <c r="AT37" s="50"/>
    </row>
    <row r="38" spans="1:46" ht="12" customHeight="1" x14ac:dyDescent="0.25">
      <c r="A38" s="927" t="s">
        <v>1383</v>
      </c>
      <c r="B38" s="908"/>
      <c r="C38" s="908" t="str">
        <f t="shared" si="34"/>
        <v>II-2994</v>
      </c>
      <c r="D38" s="911">
        <v>9</v>
      </c>
      <c r="E38" s="911">
        <v>4</v>
      </c>
      <c r="F38" s="912">
        <f t="shared" si="22"/>
        <v>8437.5</v>
      </c>
      <c r="G38" s="912">
        <f>IF(E38&gt;2,2*157.7+(E38-2)*183.4,E38*157.7)*D38</f>
        <v>6139.8</v>
      </c>
      <c r="H38" s="911">
        <f>IF(E38&gt;2,2*109.3+(E38-2)*129.2,E38*109.3)*D38</f>
        <v>4293</v>
      </c>
      <c r="I38" s="911">
        <f t="shared" si="14"/>
        <v>2297.6999999999998</v>
      </c>
      <c r="J38" s="911">
        <f t="shared" si="2"/>
        <v>28.98</v>
      </c>
      <c r="K38" s="911">
        <v>3.22</v>
      </c>
      <c r="L38" s="911">
        <v>75</v>
      </c>
      <c r="M38" s="911">
        <v>12.5</v>
      </c>
      <c r="N38" s="912">
        <f t="shared" ref="N38:N51" si="36">(L38+M38)*2*J38</f>
        <v>5071.5</v>
      </c>
      <c r="O38" s="912">
        <f t="shared" ref="O38:O47" si="37">N38-S38-W38</f>
        <v>4075.5</v>
      </c>
      <c r="P38" s="911">
        <f t="shared" si="24"/>
        <v>500</v>
      </c>
      <c r="Q38" s="912">
        <f>(6+7)*D38*E38</f>
        <v>468</v>
      </c>
      <c r="R38" s="909">
        <f t="shared" si="8"/>
        <v>32</v>
      </c>
      <c r="S38" s="912">
        <f t="shared" si="35"/>
        <v>982</v>
      </c>
      <c r="T38" s="912">
        <v>902</v>
      </c>
      <c r="U38" s="912">
        <v>80</v>
      </c>
      <c r="V38" s="912">
        <f t="shared" si="4"/>
        <v>4</v>
      </c>
      <c r="W38" s="912">
        <v>14</v>
      </c>
      <c r="X38" s="912">
        <v>882</v>
      </c>
      <c r="Y38" s="920">
        <v>882</v>
      </c>
      <c r="Z38" s="911">
        <f t="shared" si="10"/>
        <v>1319.5</v>
      </c>
      <c r="AA38" s="921">
        <f t="shared" si="11"/>
        <v>362.25</v>
      </c>
      <c r="AB38" s="916">
        <f t="shared" si="12"/>
        <v>175</v>
      </c>
      <c r="AC38" s="917"/>
      <c r="AD38" s="917"/>
      <c r="AE38" s="476"/>
      <c r="AF38" s="476"/>
      <c r="AG38" s="50"/>
      <c r="AH38" s="50"/>
      <c r="AI38" s="50"/>
      <c r="AJ38" s="50"/>
      <c r="AK38" s="50"/>
      <c r="AL38" s="50"/>
      <c r="AM38" s="50"/>
      <c r="AN38" s="50"/>
      <c r="AO38" s="50"/>
      <c r="AP38" s="50"/>
      <c r="AQ38" s="50"/>
      <c r="AR38" s="50"/>
      <c r="AS38" s="50"/>
      <c r="AT38" s="50"/>
    </row>
    <row r="39" spans="1:46" ht="12" customHeight="1" x14ac:dyDescent="0.25">
      <c r="A39" s="927" t="s">
        <v>1384</v>
      </c>
      <c r="B39" s="908"/>
      <c r="C39" s="908" t="str">
        <f t="shared" si="34"/>
        <v>II-4994</v>
      </c>
      <c r="D39" s="911">
        <v>9</v>
      </c>
      <c r="E39" s="911">
        <v>4</v>
      </c>
      <c r="F39" s="911">
        <f t="shared" si="22"/>
        <v>9652.5</v>
      </c>
      <c r="G39" s="911">
        <f>200.52*$D39*$E39</f>
        <v>7218.72</v>
      </c>
      <c r="H39" s="911">
        <f>134.6*$D39*$E39</f>
        <v>4845.5999999999995</v>
      </c>
      <c r="I39" s="911">
        <f t="shared" si="14"/>
        <v>2433.7799999999997</v>
      </c>
      <c r="J39" s="911">
        <f t="shared" si="2"/>
        <v>28.98</v>
      </c>
      <c r="K39" s="911">
        <v>3.22</v>
      </c>
      <c r="L39" s="911">
        <v>82.5</v>
      </c>
      <c r="M39" s="911">
        <v>13</v>
      </c>
      <c r="N39" s="912">
        <f t="shared" si="36"/>
        <v>5535.18</v>
      </c>
      <c r="O39" s="912">
        <f t="shared" si="37"/>
        <v>4303.1000000000004</v>
      </c>
      <c r="P39" s="911">
        <f t="shared" ref="P39:P48" si="38">Q39+R39</f>
        <v>536</v>
      </c>
      <c r="Q39" s="911">
        <f>13*D39*E39+2*2*D39</f>
        <v>504</v>
      </c>
      <c r="R39" s="909">
        <f t="shared" si="8"/>
        <v>32</v>
      </c>
      <c r="S39" s="911">
        <f t="shared" si="35"/>
        <v>1224.08</v>
      </c>
      <c r="T39" s="928">
        <f>2.27*Q39</f>
        <v>1144.08</v>
      </c>
      <c r="U39" s="911">
        <f t="shared" ref="U39:U45" si="39">2.5*R39</f>
        <v>80</v>
      </c>
      <c r="V39" s="911">
        <f t="shared" si="4"/>
        <v>4</v>
      </c>
      <c r="W39" s="911">
        <f>V39*2</f>
        <v>8</v>
      </c>
      <c r="X39" s="911">
        <v>1076</v>
      </c>
      <c r="Y39" s="920">
        <v>1076</v>
      </c>
      <c r="Z39" s="911">
        <f t="shared" si="10"/>
        <v>1553.5</v>
      </c>
      <c r="AA39" s="921">
        <f t="shared" si="11"/>
        <v>376.74</v>
      </c>
      <c r="AB39" s="916">
        <f t="shared" si="12"/>
        <v>191</v>
      </c>
      <c r="AC39" s="917"/>
      <c r="AD39" s="917"/>
      <c r="AE39" s="476"/>
      <c r="AF39" s="476"/>
      <c r="AG39" s="50"/>
      <c r="AH39" s="50"/>
      <c r="AI39" s="50"/>
      <c r="AJ39" s="50"/>
      <c r="AK39" s="50"/>
      <c r="AL39" s="50"/>
      <c r="AM39" s="50"/>
      <c r="AN39" s="50"/>
      <c r="AO39" s="50"/>
      <c r="AP39" s="50"/>
      <c r="AQ39" s="50"/>
      <c r="AR39" s="50"/>
      <c r="AS39" s="50"/>
      <c r="AT39" s="50"/>
    </row>
    <row r="40" spans="1:46" ht="12" customHeight="1" x14ac:dyDescent="0.25">
      <c r="A40" s="927" t="s">
        <v>1384</v>
      </c>
      <c r="B40" s="908"/>
      <c r="C40" s="908" t="str">
        <f t="shared" si="34"/>
        <v>II-4996</v>
      </c>
      <c r="D40" s="911">
        <f>9</f>
        <v>9</v>
      </c>
      <c r="E40" s="911">
        <f>6</f>
        <v>6</v>
      </c>
      <c r="F40" s="912">
        <f t="shared" si="22"/>
        <v>14478.75</v>
      </c>
      <c r="G40" s="912">
        <f>200.52*$D40*$E40</f>
        <v>10828.08</v>
      </c>
      <c r="H40" s="911">
        <f>134.6*$D40*$E40</f>
        <v>7268.4</v>
      </c>
      <c r="I40" s="911">
        <f t="shared" si="14"/>
        <v>3650.67</v>
      </c>
      <c r="J40" s="911">
        <f t="shared" si="2"/>
        <v>27.900000000000002</v>
      </c>
      <c r="K40" s="911">
        <v>3.1</v>
      </c>
      <c r="L40" s="911">
        <v>123.75</v>
      </c>
      <c r="M40" s="911">
        <v>13</v>
      </c>
      <c r="N40" s="912">
        <f t="shared" si="36"/>
        <v>7630.6500000000005</v>
      </c>
      <c r="O40" s="912">
        <f t="shared" si="37"/>
        <v>5823.39</v>
      </c>
      <c r="P40" s="911">
        <f t="shared" si="38"/>
        <v>786</v>
      </c>
      <c r="Q40" s="911">
        <f>13*D40*E40+2*2*D40</f>
        <v>738</v>
      </c>
      <c r="R40" s="909">
        <f t="shared" si="8"/>
        <v>48</v>
      </c>
      <c r="S40" s="911">
        <f t="shared" si="35"/>
        <v>1795.26</v>
      </c>
      <c r="T40" s="928">
        <f>2.27*Q40</f>
        <v>1675.26</v>
      </c>
      <c r="U40" s="911">
        <f t="shared" si="39"/>
        <v>120</v>
      </c>
      <c r="V40" s="912">
        <f t="shared" si="4"/>
        <v>6</v>
      </c>
      <c r="W40" s="911">
        <f>V40*2</f>
        <v>12</v>
      </c>
      <c r="X40" s="912">
        <f>X39/4*6</f>
        <v>1614</v>
      </c>
      <c r="Y40" s="929">
        <f>Y39/4*6</f>
        <v>1614</v>
      </c>
      <c r="Z40" s="911">
        <f t="shared" si="10"/>
        <v>2297.75</v>
      </c>
      <c r="AA40" s="921">
        <f t="shared" si="11"/>
        <v>362.70000000000005</v>
      </c>
      <c r="AB40" s="916">
        <f t="shared" si="12"/>
        <v>273.5</v>
      </c>
      <c r="AC40" s="917"/>
      <c r="AD40" s="917"/>
      <c r="AE40" s="476"/>
      <c r="AF40" s="476"/>
      <c r="AG40" s="50"/>
      <c r="AH40" s="50"/>
      <c r="AI40" s="50"/>
      <c r="AJ40" s="50"/>
      <c r="AK40" s="50"/>
      <c r="AL40" s="50"/>
      <c r="AM40" s="50"/>
      <c r="AN40" s="50"/>
      <c r="AO40" s="50"/>
      <c r="AP40" s="50"/>
      <c r="AQ40" s="50"/>
      <c r="AR40" s="50"/>
      <c r="AS40" s="50"/>
      <c r="AT40" s="50"/>
    </row>
    <row r="41" spans="1:46" ht="12" customHeight="1" x14ac:dyDescent="0.25">
      <c r="A41" s="927" t="s">
        <v>1384</v>
      </c>
      <c r="B41" s="908"/>
      <c r="C41" s="908" t="str">
        <f t="shared" ref="C41:C46" si="40">CONCATENATE(A41,D41,E41)</f>
        <v>II-49124</v>
      </c>
      <c r="D41" s="911">
        <v>12</v>
      </c>
      <c r="E41" s="911">
        <f>4</f>
        <v>4</v>
      </c>
      <c r="F41" s="912">
        <f t="shared" si="22"/>
        <v>12870</v>
      </c>
      <c r="G41" s="912">
        <f>200.52*$D41*$E41</f>
        <v>9624.9600000000009</v>
      </c>
      <c r="H41" s="911">
        <f>134.6*$D41*$E41</f>
        <v>6460.7999999999993</v>
      </c>
      <c r="I41" s="911">
        <f t="shared" si="14"/>
        <v>3245.0399999999991</v>
      </c>
      <c r="J41" s="911">
        <f t="shared" si="2"/>
        <v>37.200000000000003</v>
      </c>
      <c r="K41" s="911">
        <v>3.1</v>
      </c>
      <c r="L41" s="911">
        <v>82.5</v>
      </c>
      <c r="M41" s="911">
        <v>13</v>
      </c>
      <c r="N41" s="912">
        <f t="shared" si="36"/>
        <v>7105.2000000000007</v>
      </c>
      <c r="O41" s="912">
        <f t="shared" si="37"/>
        <v>5461.76</v>
      </c>
      <c r="P41" s="911">
        <f>Q41+R41</f>
        <v>716</v>
      </c>
      <c r="Q41" s="911">
        <f>13*D41*E41+2*2*D41</f>
        <v>672</v>
      </c>
      <c r="R41" s="909">
        <f t="shared" si="8"/>
        <v>44</v>
      </c>
      <c r="S41" s="911">
        <f t="shared" si="35"/>
        <v>1635.44</v>
      </c>
      <c r="T41" s="928">
        <f>2.27*Q41</f>
        <v>1525.44</v>
      </c>
      <c r="U41" s="911">
        <f t="shared" si="39"/>
        <v>110</v>
      </c>
      <c r="V41" s="912">
        <f t="shared" si="4"/>
        <v>4</v>
      </c>
      <c r="W41" s="911">
        <f>V41*2</f>
        <v>8</v>
      </c>
      <c r="X41" s="912">
        <v>1076</v>
      </c>
      <c r="Y41" s="920">
        <v>1076</v>
      </c>
      <c r="Z41" s="911">
        <f t="shared" si="10"/>
        <v>1553.5</v>
      </c>
      <c r="AA41" s="921">
        <f t="shared" si="11"/>
        <v>483.6</v>
      </c>
      <c r="AB41" s="916">
        <f t="shared" si="12"/>
        <v>191</v>
      </c>
      <c r="AC41" s="917"/>
      <c r="AD41" s="917"/>
      <c r="AE41" s="476"/>
      <c r="AF41" s="476"/>
      <c r="AG41" s="50"/>
      <c r="AH41" s="50"/>
      <c r="AI41" s="50"/>
      <c r="AJ41" s="50"/>
      <c r="AK41" s="50"/>
      <c r="AL41" s="50"/>
      <c r="AM41" s="50"/>
      <c r="AN41" s="50"/>
      <c r="AO41" s="50"/>
      <c r="AP41" s="50"/>
      <c r="AQ41" s="50"/>
      <c r="AR41" s="50"/>
      <c r="AS41" s="50"/>
      <c r="AT41" s="50"/>
    </row>
    <row r="42" spans="1:46" ht="12" customHeight="1" x14ac:dyDescent="0.25">
      <c r="A42" s="927" t="s">
        <v>1430</v>
      </c>
      <c r="B42" s="908"/>
      <c r="C42" s="908" t="str">
        <f t="shared" si="40"/>
        <v>II-68 (-01, -02) 1 или 2 секции161</v>
      </c>
      <c r="D42" s="911">
        <v>16</v>
      </c>
      <c r="E42" s="911">
        <v>1</v>
      </c>
      <c r="F42" s="912">
        <f t="shared" si="22"/>
        <v>8960</v>
      </c>
      <c r="G42" s="912">
        <f>IF(E42=1,333*D42,D42*(333+314.1))</f>
        <v>5328</v>
      </c>
      <c r="H42" s="911">
        <f>IF(E42=1,208*D42,(208+176.3)*D42)</f>
        <v>3328</v>
      </c>
      <c r="I42" s="911">
        <f t="shared" si="14"/>
        <v>3632</v>
      </c>
      <c r="J42" s="911">
        <f t="shared" si="2"/>
        <v>49.6</v>
      </c>
      <c r="K42" s="911">
        <v>3.1</v>
      </c>
      <c r="L42" s="911">
        <f>35*E42</f>
        <v>35</v>
      </c>
      <c r="M42" s="911">
        <f>16</f>
        <v>16</v>
      </c>
      <c r="N42" s="912">
        <f t="shared" si="36"/>
        <v>5059.2</v>
      </c>
      <c r="O42" s="912">
        <f t="shared" si="37"/>
        <v>4517.3</v>
      </c>
      <c r="P42" s="911">
        <f>Q42+R42</f>
        <v>223</v>
      </c>
      <c r="Q42" s="911">
        <f>IF(E42=1,13*D42,(13+11)*D42)</f>
        <v>208</v>
      </c>
      <c r="R42" s="909">
        <f t="shared" si="8"/>
        <v>15</v>
      </c>
      <c r="S42" s="911">
        <f t="shared" si="35"/>
        <v>536.70000000000005</v>
      </c>
      <c r="T42" s="912">
        <f>2.4*Q42</f>
        <v>499.2</v>
      </c>
      <c r="U42" s="911">
        <f t="shared" si="39"/>
        <v>37.5</v>
      </c>
      <c r="V42" s="912">
        <f t="shared" si="4"/>
        <v>1</v>
      </c>
      <c r="W42" s="911">
        <f>5.2*V42</f>
        <v>5.2</v>
      </c>
      <c r="X42" s="911">
        <f t="shared" ref="X42:X50" si="41">L42*M42</f>
        <v>560</v>
      </c>
      <c r="Y42" s="920">
        <f t="shared" ref="Y42:Y51" si="42">$L42*$M42</f>
        <v>560</v>
      </c>
      <c r="Z42" s="911">
        <f t="shared" si="10"/>
        <v>815</v>
      </c>
      <c r="AA42" s="921">
        <f t="shared" si="11"/>
        <v>793.6</v>
      </c>
      <c r="AB42" s="916">
        <f t="shared" si="12"/>
        <v>102</v>
      </c>
      <c r="AC42" s="917"/>
      <c r="AD42" s="917"/>
      <c r="AE42" s="476"/>
      <c r="AF42" s="476"/>
      <c r="AG42" s="50"/>
      <c r="AH42" s="50"/>
      <c r="AI42" s="50"/>
      <c r="AJ42" s="50"/>
      <c r="AK42" s="50"/>
      <c r="AL42" s="50"/>
      <c r="AM42" s="50"/>
      <c r="AN42" s="50"/>
      <c r="AO42" s="50"/>
      <c r="AP42" s="50"/>
      <c r="AQ42" s="50"/>
      <c r="AR42" s="50"/>
      <c r="AS42" s="50"/>
      <c r="AT42" s="50"/>
    </row>
    <row r="43" spans="1:46" ht="12" customHeight="1" x14ac:dyDescent="0.25">
      <c r="A43" s="927" t="s">
        <v>1430</v>
      </c>
      <c r="B43" s="908"/>
      <c r="C43" s="908" t="str">
        <f t="shared" si="40"/>
        <v>II-68 (-01, -02) 1 или 2 секции162</v>
      </c>
      <c r="D43" s="911">
        <v>16</v>
      </c>
      <c r="E43" s="911">
        <v>2</v>
      </c>
      <c r="F43" s="912">
        <f t="shared" si="22"/>
        <v>17920</v>
      </c>
      <c r="G43" s="912">
        <f>IF(E43=1,333*D43,D43*(333+314.1))</f>
        <v>10353.6</v>
      </c>
      <c r="H43" s="911">
        <f>IF(E43=1,208*D43,(208+176.3)*D43)</f>
        <v>6148.8</v>
      </c>
      <c r="I43" s="911">
        <f t="shared" si="14"/>
        <v>7566.4</v>
      </c>
      <c r="J43" s="911">
        <f t="shared" si="2"/>
        <v>49.6</v>
      </c>
      <c r="K43" s="911">
        <v>3.1</v>
      </c>
      <c r="L43" s="911">
        <f>35*E43</f>
        <v>70</v>
      </c>
      <c r="M43" s="911">
        <f>16</f>
        <v>16</v>
      </c>
      <c r="N43" s="912">
        <f>(L43+M43)*2*J43</f>
        <v>8531.2000000000007</v>
      </c>
      <c r="O43" s="912">
        <f>N43-S43-W43</f>
        <v>7524.2000000000007</v>
      </c>
      <c r="P43" s="911">
        <f>Q43+R43</f>
        <v>414</v>
      </c>
      <c r="Q43" s="911">
        <f>IF(E43=1,13*D43,(13+11)*D43)</f>
        <v>384</v>
      </c>
      <c r="R43" s="909">
        <f t="shared" si="8"/>
        <v>30</v>
      </c>
      <c r="S43" s="911">
        <f>T43+U43</f>
        <v>996.59999999999991</v>
      </c>
      <c r="T43" s="912">
        <f>2.4*Q43</f>
        <v>921.59999999999991</v>
      </c>
      <c r="U43" s="911">
        <f t="shared" si="39"/>
        <v>75</v>
      </c>
      <c r="V43" s="912">
        <f t="shared" si="4"/>
        <v>2</v>
      </c>
      <c r="W43" s="911">
        <f>5.2*V43</f>
        <v>10.4</v>
      </c>
      <c r="X43" s="911">
        <f>L43*M43</f>
        <v>1120</v>
      </c>
      <c r="Y43" s="920">
        <f t="shared" si="42"/>
        <v>1120</v>
      </c>
      <c r="Z43" s="911">
        <f>Y43+(L43+M43)*2*2.5</f>
        <v>1550</v>
      </c>
      <c r="AA43" s="921">
        <f t="shared" si="11"/>
        <v>793.6</v>
      </c>
      <c r="AB43" s="916">
        <f t="shared" si="12"/>
        <v>172</v>
      </c>
      <c r="AC43" s="917"/>
      <c r="AD43" s="917"/>
      <c r="AE43" s="476"/>
      <c r="AF43" s="476"/>
      <c r="AG43" s="50"/>
      <c r="AH43" s="50"/>
      <c r="AI43" s="50"/>
      <c r="AJ43" s="50"/>
      <c r="AK43" s="50"/>
      <c r="AL43" s="50"/>
      <c r="AM43" s="50"/>
      <c r="AN43" s="50"/>
      <c r="AO43" s="50"/>
      <c r="AP43" s="50"/>
      <c r="AQ43" s="50"/>
      <c r="AR43" s="50"/>
      <c r="AS43" s="50"/>
      <c r="AT43" s="50"/>
    </row>
    <row r="44" spans="1:46" ht="12" customHeight="1" x14ac:dyDescent="0.25">
      <c r="A44" s="927" t="s">
        <v>1430</v>
      </c>
      <c r="B44" s="908"/>
      <c r="C44" s="908" t="str">
        <f t="shared" si="40"/>
        <v>II-68 (-01, -02) 1 или 2 секции171</v>
      </c>
      <c r="D44" s="911">
        <v>17</v>
      </c>
      <c r="E44" s="911">
        <v>1</v>
      </c>
      <c r="F44" s="912">
        <f t="shared" si="22"/>
        <v>9520</v>
      </c>
      <c r="G44" s="912">
        <f>IF(E44=1,333*D44,D44*(333+314.1))</f>
        <v>5661</v>
      </c>
      <c r="H44" s="911">
        <f>IF(E44=1,208*D44,(208+176.3)*D44)</f>
        <v>3536</v>
      </c>
      <c r="I44" s="911">
        <f t="shared" si="14"/>
        <v>3859</v>
      </c>
      <c r="J44" s="911">
        <f t="shared" si="2"/>
        <v>52.7</v>
      </c>
      <c r="K44" s="911">
        <v>3.1</v>
      </c>
      <c r="L44" s="911">
        <f>35*E44</f>
        <v>35</v>
      </c>
      <c r="M44" s="911">
        <f>16</f>
        <v>16</v>
      </c>
      <c r="N44" s="912">
        <f>(L44+M44)*2*J44</f>
        <v>5375.4000000000005</v>
      </c>
      <c r="O44" s="912">
        <f>N44-S44-W44</f>
        <v>4799.8000000000011</v>
      </c>
      <c r="P44" s="911">
        <f>Q44+R44</f>
        <v>237</v>
      </c>
      <c r="Q44" s="911">
        <f>IF(E44=1,13*D44,(13+11)*D44)</f>
        <v>221</v>
      </c>
      <c r="R44" s="909">
        <f t="shared" si="8"/>
        <v>16</v>
      </c>
      <c r="S44" s="911">
        <f>T44+U44</f>
        <v>570.4</v>
      </c>
      <c r="T44" s="912">
        <f>2.4*Q44</f>
        <v>530.4</v>
      </c>
      <c r="U44" s="911">
        <f t="shared" si="39"/>
        <v>40</v>
      </c>
      <c r="V44" s="912">
        <f t="shared" si="4"/>
        <v>1</v>
      </c>
      <c r="W44" s="911">
        <f>5.2*V44</f>
        <v>5.2</v>
      </c>
      <c r="X44" s="911">
        <f>L44*M44</f>
        <v>560</v>
      </c>
      <c r="Y44" s="920">
        <f t="shared" si="42"/>
        <v>560</v>
      </c>
      <c r="Z44" s="911">
        <f>Y44+(L44+M44)*2*2.5</f>
        <v>815</v>
      </c>
      <c r="AA44" s="921">
        <f t="shared" si="11"/>
        <v>843.2</v>
      </c>
      <c r="AB44" s="916">
        <f t="shared" si="12"/>
        <v>102</v>
      </c>
      <c r="AC44" s="917"/>
      <c r="AD44" s="917"/>
      <c r="AE44" s="476"/>
      <c r="AF44" s="476"/>
      <c r="AG44" s="50"/>
      <c r="AH44" s="50"/>
      <c r="AI44" s="50"/>
      <c r="AJ44" s="50"/>
      <c r="AK44" s="50"/>
      <c r="AL44" s="50"/>
      <c r="AM44" s="50"/>
      <c r="AN44" s="50"/>
      <c r="AO44" s="50"/>
      <c r="AP44" s="50"/>
      <c r="AQ44" s="50"/>
      <c r="AR44" s="50"/>
      <c r="AS44" s="50"/>
      <c r="AT44" s="50"/>
    </row>
    <row r="45" spans="1:46" ht="12" customHeight="1" x14ac:dyDescent="0.25">
      <c r="A45" s="927" t="s">
        <v>1430</v>
      </c>
      <c r="B45" s="908"/>
      <c r="C45" s="908" t="str">
        <f t="shared" si="40"/>
        <v>II-68 (-01, -02) 1 или 2 секции172</v>
      </c>
      <c r="D45" s="911">
        <v>17</v>
      </c>
      <c r="E45" s="911">
        <v>2</v>
      </c>
      <c r="F45" s="912">
        <f t="shared" si="22"/>
        <v>19040</v>
      </c>
      <c r="G45" s="912">
        <f>IF(E45=1,333*D45,D45*(333+314.1))</f>
        <v>11000.7</v>
      </c>
      <c r="H45" s="911">
        <f>IF(E45=1,208*D45,(208+176.3)*D45)</f>
        <v>6533.1</v>
      </c>
      <c r="I45" s="911">
        <f t="shared" si="14"/>
        <v>8039.2999999999993</v>
      </c>
      <c r="J45" s="911">
        <f t="shared" si="2"/>
        <v>52.7</v>
      </c>
      <c r="K45" s="911">
        <v>3.1</v>
      </c>
      <c r="L45" s="911">
        <f>35*E45</f>
        <v>70</v>
      </c>
      <c r="M45" s="911">
        <f>16</f>
        <v>16</v>
      </c>
      <c r="N45" s="912">
        <f>(L45+M45)*2*J45</f>
        <v>9064.4</v>
      </c>
      <c r="O45" s="912">
        <f>N45-S45-W45</f>
        <v>7994.8</v>
      </c>
      <c r="P45" s="911">
        <f>Q45+R45</f>
        <v>440</v>
      </c>
      <c r="Q45" s="911">
        <f>IF(E45=1,13*D45,(13+11)*D45)</f>
        <v>408</v>
      </c>
      <c r="R45" s="909">
        <f t="shared" si="8"/>
        <v>32</v>
      </c>
      <c r="S45" s="911">
        <f>T45+U45</f>
        <v>1059.1999999999998</v>
      </c>
      <c r="T45" s="912">
        <f>2.4*Q45</f>
        <v>979.19999999999993</v>
      </c>
      <c r="U45" s="911">
        <f t="shared" si="39"/>
        <v>80</v>
      </c>
      <c r="V45" s="912">
        <f t="shared" si="4"/>
        <v>2</v>
      </c>
      <c r="W45" s="911">
        <f>5.2*V45</f>
        <v>10.4</v>
      </c>
      <c r="X45" s="911">
        <f>L45*M45</f>
        <v>1120</v>
      </c>
      <c r="Y45" s="920">
        <f t="shared" si="42"/>
        <v>1120</v>
      </c>
      <c r="Z45" s="911">
        <f>Y45+(L45+M45)*2*2.5</f>
        <v>1550</v>
      </c>
      <c r="AA45" s="921">
        <f t="shared" si="11"/>
        <v>843.2</v>
      </c>
      <c r="AB45" s="916">
        <f t="shared" si="12"/>
        <v>172</v>
      </c>
      <c r="AC45" s="917"/>
      <c r="AD45" s="917"/>
      <c r="AE45" s="476"/>
      <c r="AF45" s="476"/>
      <c r="AG45" s="50"/>
      <c r="AH45" s="50"/>
      <c r="AI45" s="50"/>
      <c r="AJ45" s="50"/>
      <c r="AK45" s="50"/>
      <c r="AL45" s="50"/>
      <c r="AM45" s="50"/>
      <c r="AN45" s="50"/>
      <c r="AO45" s="50"/>
      <c r="AP45" s="50"/>
      <c r="AQ45" s="50"/>
      <c r="AR45" s="50"/>
      <c r="AS45" s="50"/>
      <c r="AT45" s="50"/>
    </row>
    <row r="46" spans="1:46" ht="13.5" customHeight="1" x14ac:dyDescent="0.25">
      <c r="A46" s="923" t="s">
        <v>609</v>
      </c>
      <c r="B46" s="908"/>
      <c r="C46" s="908" t="str">
        <f t="shared" si="40"/>
        <v>И-209А121</v>
      </c>
      <c r="D46" s="911">
        <f>12</f>
        <v>12</v>
      </c>
      <c r="E46" s="911">
        <f>1</f>
        <v>1</v>
      </c>
      <c r="F46" s="912">
        <f t="shared" si="22"/>
        <v>4804.8</v>
      </c>
      <c r="G46" s="912">
        <f>309.24*D46*E46*1.077</f>
        <v>3996.6177600000001</v>
      </c>
      <c r="H46" s="911">
        <f>182.2*E46*D46</f>
        <v>2186.3999999999996</v>
      </c>
      <c r="I46" s="911">
        <f t="shared" si="14"/>
        <v>808.18224000000009</v>
      </c>
      <c r="J46" s="911">
        <f t="shared" si="2"/>
        <v>26.880000000000003</v>
      </c>
      <c r="K46" s="911">
        <v>2.2400000000000002</v>
      </c>
      <c r="L46" s="911">
        <f>28.6*E46</f>
        <v>28.6</v>
      </c>
      <c r="M46" s="911">
        <v>14</v>
      </c>
      <c r="N46" s="912">
        <f t="shared" si="36"/>
        <v>2290.1760000000004</v>
      </c>
      <c r="O46" s="912">
        <f t="shared" si="37"/>
        <v>1620.1460000000002</v>
      </c>
      <c r="P46" s="911">
        <f t="shared" si="38"/>
        <v>251</v>
      </c>
      <c r="Q46" s="912">
        <f>(8+9)*D46*E46+(1+2)*D46</f>
        <v>240</v>
      </c>
      <c r="R46" s="909">
        <f t="shared" si="8"/>
        <v>11</v>
      </c>
      <c r="S46" s="912">
        <f t="shared" si="35"/>
        <v>664.03000000000009</v>
      </c>
      <c r="T46" s="912">
        <f>2.66*Q46</f>
        <v>638.40000000000009</v>
      </c>
      <c r="U46" s="912">
        <f>2.33*R46</f>
        <v>25.630000000000003</v>
      </c>
      <c r="V46" s="912">
        <f t="shared" si="4"/>
        <v>1</v>
      </c>
      <c r="W46" s="912">
        <f t="shared" ref="W46:W51" si="43">6*V46</f>
        <v>6</v>
      </c>
      <c r="X46" s="912">
        <f t="shared" si="41"/>
        <v>400.40000000000003</v>
      </c>
      <c r="Y46" s="920">
        <f t="shared" si="42"/>
        <v>400.40000000000003</v>
      </c>
      <c r="Z46" s="911">
        <f t="shared" si="10"/>
        <v>613.40000000000009</v>
      </c>
      <c r="AA46" s="921">
        <f t="shared" si="11"/>
        <v>376.32000000000005</v>
      </c>
      <c r="AB46" s="916">
        <f t="shared" si="12"/>
        <v>85.2</v>
      </c>
      <c r="AC46" s="917"/>
      <c r="AD46" s="917"/>
      <c r="AE46" s="476"/>
      <c r="AF46" s="476"/>
      <c r="AG46" s="50"/>
      <c r="AH46" s="50"/>
      <c r="AI46" s="50"/>
      <c r="AJ46" s="50"/>
      <c r="AK46" s="50"/>
      <c r="AL46" s="50"/>
      <c r="AM46" s="50"/>
      <c r="AN46" s="50"/>
      <c r="AO46" s="50"/>
      <c r="AP46" s="50"/>
      <c r="AQ46" s="50"/>
      <c r="AR46" s="50"/>
      <c r="AS46" s="50"/>
      <c r="AT46" s="50"/>
    </row>
    <row r="47" spans="1:46" ht="12" customHeight="1" x14ac:dyDescent="0.25">
      <c r="A47" s="923" t="s">
        <v>609</v>
      </c>
      <c r="B47" s="908"/>
      <c r="C47" s="908" t="str">
        <f>CONCATENATE(A47,D47,E47)</f>
        <v>И-209А141</v>
      </c>
      <c r="D47" s="911">
        <v>14</v>
      </c>
      <c r="E47" s="911">
        <v>1</v>
      </c>
      <c r="F47" s="911">
        <f t="shared" si="22"/>
        <v>5605.6</v>
      </c>
      <c r="G47" s="911">
        <f>309.24*D47*E47*1.077</f>
        <v>4662.7207200000003</v>
      </c>
      <c r="H47" s="911">
        <f>182.2*E47*D47</f>
        <v>2550.7999999999997</v>
      </c>
      <c r="I47" s="911">
        <f t="shared" si="14"/>
        <v>942.87928000000011</v>
      </c>
      <c r="J47" s="911">
        <f t="shared" si="2"/>
        <v>45.36</v>
      </c>
      <c r="K47" s="911">
        <v>3.24</v>
      </c>
      <c r="L47" s="911">
        <f>28.6*E47</f>
        <v>28.6</v>
      </c>
      <c r="M47" s="911">
        <v>14</v>
      </c>
      <c r="N47" s="912">
        <f t="shared" si="36"/>
        <v>3864.672</v>
      </c>
      <c r="O47" s="912">
        <f t="shared" si="37"/>
        <v>3083.5819999999999</v>
      </c>
      <c r="P47" s="911">
        <f t="shared" si="38"/>
        <v>293</v>
      </c>
      <c r="Q47" s="912">
        <f>(8+9)*D47*E47+(1+2)*D47</f>
        <v>280</v>
      </c>
      <c r="R47" s="909">
        <f t="shared" si="8"/>
        <v>13</v>
      </c>
      <c r="S47" s="912">
        <f t="shared" si="35"/>
        <v>775.09</v>
      </c>
      <c r="T47" s="912">
        <f>2.66*Q47</f>
        <v>744.80000000000007</v>
      </c>
      <c r="U47" s="912">
        <f>2.33*R47</f>
        <v>30.29</v>
      </c>
      <c r="V47" s="912">
        <f t="shared" si="4"/>
        <v>1</v>
      </c>
      <c r="W47" s="912">
        <f t="shared" si="43"/>
        <v>6</v>
      </c>
      <c r="X47" s="912">
        <f t="shared" si="41"/>
        <v>400.40000000000003</v>
      </c>
      <c r="Y47" s="920">
        <f t="shared" si="42"/>
        <v>400.40000000000003</v>
      </c>
      <c r="Z47" s="911">
        <f t="shared" si="10"/>
        <v>613.40000000000009</v>
      </c>
      <c r="AA47" s="921">
        <f t="shared" si="11"/>
        <v>635.04</v>
      </c>
      <c r="AB47" s="916">
        <f t="shared" si="12"/>
        <v>85.2</v>
      </c>
      <c r="AC47" s="917"/>
      <c r="AD47" s="917"/>
      <c r="AE47" s="476"/>
      <c r="AF47" s="476"/>
      <c r="AG47" s="50"/>
      <c r="AH47" s="50"/>
      <c r="AI47" s="50"/>
      <c r="AJ47" s="50"/>
      <c r="AK47" s="50"/>
      <c r="AL47" s="50"/>
      <c r="AM47" s="50"/>
      <c r="AN47" s="50"/>
      <c r="AO47" s="50"/>
      <c r="AP47" s="50"/>
      <c r="AQ47" s="50"/>
      <c r="AR47" s="50"/>
      <c r="AS47" s="50"/>
      <c r="AT47" s="50"/>
    </row>
    <row r="48" spans="1:46" ht="12" customHeight="1" x14ac:dyDescent="0.25">
      <c r="A48" s="927" t="s">
        <v>445</v>
      </c>
      <c r="B48" s="908"/>
      <c r="C48" s="908" t="str">
        <f>CONCATENATE(A48,D48,E48)</f>
        <v>К-754</v>
      </c>
      <c r="D48" s="911">
        <v>5</v>
      </c>
      <c r="E48" s="911">
        <v>4</v>
      </c>
      <c r="F48" s="930">
        <f>L48*M48*$D48*0.98</f>
        <v>3136</v>
      </c>
      <c r="G48" s="930">
        <f>140.2*D48*E48</f>
        <v>2804</v>
      </c>
      <c r="H48" s="930">
        <f>85*D48*E48</f>
        <v>1700</v>
      </c>
      <c r="I48" s="930">
        <f t="shared" si="14"/>
        <v>332</v>
      </c>
      <c r="J48" s="911">
        <f t="shared" si="2"/>
        <v>15.5</v>
      </c>
      <c r="K48" s="911">
        <v>3.1</v>
      </c>
      <c r="L48" s="911">
        <f>16*E48</f>
        <v>64</v>
      </c>
      <c r="M48" s="911">
        <v>10</v>
      </c>
      <c r="N48" s="912">
        <f t="shared" si="36"/>
        <v>2294</v>
      </c>
      <c r="O48" s="912">
        <f>N48-S48-W48</f>
        <v>1821.58</v>
      </c>
      <c r="P48" s="911">
        <f t="shared" si="38"/>
        <v>196</v>
      </c>
      <c r="Q48" s="911">
        <f>9*D48*E48</f>
        <v>180</v>
      </c>
      <c r="R48" s="909">
        <f t="shared" si="8"/>
        <v>16</v>
      </c>
      <c r="S48" s="931">
        <f t="shared" si="35"/>
        <v>448.42</v>
      </c>
      <c r="T48" s="931">
        <f>2.269*Q48</f>
        <v>408.42</v>
      </c>
      <c r="U48" s="930">
        <f>2.5*R48</f>
        <v>40</v>
      </c>
      <c r="V48" s="911">
        <f t="shared" si="4"/>
        <v>4</v>
      </c>
      <c r="W48" s="912">
        <f t="shared" si="43"/>
        <v>24</v>
      </c>
      <c r="X48" s="911">
        <f t="shared" si="41"/>
        <v>640</v>
      </c>
      <c r="Y48" s="920">
        <f t="shared" si="42"/>
        <v>640</v>
      </c>
      <c r="Z48" s="911">
        <f t="shared" si="10"/>
        <v>1010</v>
      </c>
      <c r="AA48" s="921">
        <f t="shared" si="11"/>
        <v>155</v>
      </c>
      <c r="AB48" s="916">
        <f t="shared" si="12"/>
        <v>148</v>
      </c>
      <c r="AC48" s="917"/>
      <c r="AD48" s="917"/>
      <c r="AE48" s="476"/>
      <c r="AF48" s="476"/>
      <c r="AG48" s="50"/>
      <c r="AH48" s="50"/>
      <c r="AI48" s="50"/>
      <c r="AJ48" s="50"/>
      <c r="AK48" s="50"/>
      <c r="AL48" s="50"/>
      <c r="AM48" s="50"/>
      <c r="AN48" s="50"/>
      <c r="AO48" s="50"/>
      <c r="AP48" s="50"/>
      <c r="AQ48" s="50"/>
      <c r="AR48" s="50"/>
      <c r="AS48" s="50"/>
      <c r="AT48" s="50"/>
    </row>
    <row r="49" spans="1:46" ht="12" customHeight="1" x14ac:dyDescent="0.25">
      <c r="A49" s="927" t="s">
        <v>445</v>
      </c>
      <c r="B49" s="908"/>
      <c r="C49" s="908" t="str">
        <f>CONCATENATE(A49,D49,E49)</f>
        <v>К-744</v>
      </c>
      <c r="D49" s="911">
        <v>4</v>
      </c>
      <c r="E49" s="911">
        <v>4</v>
      </c>
      <c r="F49" s="930">
        <f>L49*M49*$D49*0.98</f>
        <v>2508.8000000000002</v>
      </c>
      <c r="G49" s="930">
        <f>140.2*D49*E49</f>
        <v>2243.1999999999998</v>
      </c>
      <c r="H49" s="930">
        <f>85*D49*E49</f>
        <v>1360</v>
      </c>
      <c r="I49" s="930">
        <f t="shared" si="14"/>
        <v>265.60000000000036</v>
      </c>
      <c r="J49" s="911">
        <f t="shared" si="2"/>
        <v>12.4</v>
      </c>
      <c r="K49" s="911">
        <v>3.1</v>
      </c>
      <c r="L49" s="911">
        <f>16*E49</f>
        <v>64</v>
      </c>
      <c r="M49" s="911">
        <v>10</v>
      </c>
      <c r="N49" s="912">
        <f t="shared" si="36"/>
        <v>1835.2</v>
      </c>
      <c r="O49" s="912">
        <f>N49-S49-W49</f>
        <v>1454.4639999999999</v>
      </c>
      <c r="P49" s="911">
        <f>Q49+R49</f>
        <v>156</v>
      </c>
      <c r="Q49" s="911">
        <f>9*D49*E49</f>
        <v>144</v>
      </c>
      <c r="R49" s="909">
        <f t="shared" si="8"/>
        <v>12</v>
      </c>
      <c r="S49" s="931">
        <f t="shared" si="35"/>
        <v>356.73599999999999</v>
      </c>
      <c r="T49" s="931">
        <f>2.269*Q49</f>
        <v>326.73599999999999</v>
      </c>
      <c r="U49" s="930">
        <f>2.5*R49</f>
        <v>30</v>
      </c>
      <c r="V49" s="911">
        <f t="shared" si="4"/>
        <v>4</v>
      </c>
      <c r="W49" s="912">
        <f t="shared" si="43"/>
        <v>24</v>
      </c>
      <c r="X49" s="911">
        <f t="shared" si="41"/>
        <v>640</v>
      </c>
      <c r="Y49" s="920">
        <f t="shared" si="42"/>
        <v>640</v>
      </c>
      <c r="Z49" s="911">
        <f t="shared" si="10"/>
        <v>1010</v>
      </c>
      <c r="AA49" s="921">
        <f t="shared" si="11"/>
        <v>124</v>
      </c>
      <c r="AB49" s="916">
        <f t="shared" si="12"/>
        <v>148</v>
      </c>
      <c r="AC49" s="917"/>
      <c r="AD49" s="917"/>
      <c r="AE49" s="476"/>
      <c r="AF49" s="476"/>
      <c r="AG49" s="50"/>
      <c r="AH49" s="50"/>
      <c r="AI49" s="50"/>
      <c r="AJ49" s="50"/>
      <c r="AK49" s="50"/>
      <c r="AL49" s="50"/>
      <c r="AM49" s="50"/>
      <c r="AN49" s="50"/>
      <c r="AO49" s="50"/>
      <c r="AP49" s="50"/>
      <c r="AQ49" s="50"/>
      <c r="AR49" s="50"/>
      <c r="AS49" s="50"/>
      <c r="AT49" s="50"/>
    </row>
    <row r="50" spans="1:46" ht="12" customHeight="1" x14ac:dyDescent="0.25">
      <c r="A50" s="923" t="s">
        <v>1353</v>
      </c>
      <c r="B50" s="908"/>
      <c r="C50" s="908" t="str">
        <f>CONCATENATE(A50,D50,E50)</f>
        <v>П-3 (только прямая секция)161</v>
      </c>
      <c r="D50" s="911">
        <v>16</v>
      </c>
      <c r="E50" s="911">
        <v>1</v>
      </c>
      <c r="F50" s="930">
        <f>L50*M50*$D50*0.98-28.5*D50*E50</f>
        <v>5173.7471999999989</v>
      </c>
      <c r="G50" s="931">
        <f>253*$D50*$E50</f>
        <v>4048</v>
      </c>
      <c r="H50" s="930">
        <f>153.4*$D50*$E50</f>
        <v>2454.4</v>
      </c>
      <c r="I50" s="930">
        <f t="shared" si="14"/>
        <v>1125.7471999999989</v>
      </c>
      <c r="J50" s="911">
        <f t="shared" si="2"/>
        <v>51.2</v>
      </c>
      <c r="K50" s="911">
        <v>3.2</v>
      </c>
      <c r="L50" s="911">
        <f>26.4*E50</f>
        <v>26.4</v>
      </c>
      <c r="M50" s="911">
        <v>13.6</v>
      </c>
      <c r="N50" s="912">
        <f t="shared" si="36"/>
        <v>4096</v>
      </c>
      <c r="O50" s="912">
        <f>N50-S50-W50</f>
        <v>3421.93</v>
      </c>
      <c r="P50" s="911">
        <f>Q50+R50</f>
        <v>255</v>
      </c>
      <c r="Q50" s="912">
        <f>14*D50*E50</f>
        <v>224</v>
      </c>
      <c r="R50" s="909">
        <f>2*D50*E50-E50</f>
        <v>31</v>
      </c>
      <c r="S50" s="931">
        <f>T50+U50</f>
        <v>668.07</v>
      </c>
      <c r="T50" s="931">
        <f>2.66*Q50</f>
        <v>595.84</v>
      </c>
      <c r="U50" s="931">
        <f>2.33*R50</f>
        <v>72.23</v>
      </c>
      <c r="V50" s="912">
        <f t="shared" si="4"/>
        <v>1</v>
      </c>
      <c r="W50" s="912">
        <f t="shared" si="43"/>
        <v>6</v>
      </c>
      <c r="X50" s="912">
        <f t="shared" si="41"/>
        <v>359.03999999999996</v>
      </c>
      <c r="Y50" s="920">
        <f t="shared" si="42"/>
        <v>359.03999999999996</v>
      </c>
      <c r="Z50" s="911">
        <f t="shared" si="10"/>
        <v>559.04</v>
      </c>
      <c r="AA50" s="921">
        <f t="shared" si="11"/>
        <v>696.32</v>
      </c>
      <c r="AB50" s="916">
        <f t="shared" si="12"/>
        <v>80</v>
      </c>
      <c r="AC50" s="917"/>
      <c r="AD50" s="917"/>
      <c r="AE50" s="476"/>
      <c r="AF50" s="476"/>
      <c r="AG50" s="50"/>
      <c r="AH50" s="50"/>
      <c r="AI50" s="50"/>
      <c r="AJ50" s="50"/>
      <c r="AK50" s="50"/>
      <c r="AL50" s="50"/>
      <c r="AM50" s="50"/>
      <c r="AN50" s="50"/>
      <c r="AO50" s="50"/>
      <c r="AP50" s="50"/>
      <c r="AQ50" s="50"/>
      <c r="AR50" s="50"/>
      <c r="AS50" s="50"/>
      <c r="AT50" s="50"/>
    </row>
    <row r="51" spans="1:46" ht="12" customHeight="1" x14ac:dyDescent="0.25">
      <c r="A51" s="923" t="s">
        <v>1353</v>
      </c>
      <c r="B51" s="908"/>
      <c r="C51" s="908" t="str">
        <f>CONCATENATE(A51,D51,E51)</f>
        <v>П-3 (только прямая секция)171</v>
      </c>
      <c r="D51" s="911">
        <v>17</v>
      </c>
      <c r="E51" s="911">
        <v>1</v>
      </c>
      <c r="F51" s="930">
        <f>L51*M51*$D51*0.98-28.5*D51*E51</f>
        <v>5497.1063999999997</v>
      </c>
      <c r="G51" s="931">
        <f>253*$D51*$E51</f>
        <v>4301</v>
      </c>
      <c r="H51" s="930">
        <f>153.4*$D51*$E51</f>
        <v>2607.8000000000002</v>
      </c>
      <c r="I51" s="930">
        <f t="shared" si="14"/>
        <v>1196.1063999999997</v>
      </c>
      <c r="J51" s="911">
        <f t="shared" si="2"/>
        <v>54.400000000000006</v>
      </c>
      <c r="K51" s="911">
        <v>3.2</v>
      </c>
      <c r="L51" s="911">
        <f>26.4*E51</f>
        <v>26.4</v>
      </c>
      <c r="M51" s="911">
        <v>13.6</v>
      </c>
      <c r="N51" s="912">
        <f t="shared" si="36"/>
        <v>4352</v>
      </c>
      <c r="O51" s="912">
        <f>N51-S51-W51</f>
        <v>3636.0299999999997</v>
      </c>
      <c r="P51" s="911">
        <f>Q51+R51</f>
        <v>271</v>
      </c>
      <c r="Q51" s="912">
        <f>14*D51*E51</f>
        <v>238</v>
      </c>
      <c r="R51" s="909">
        <f>2*D51*E51-E51</f>
        <v>33</v>
      </c>
      <c r="S51" s="931">
        <f>T51+U51</f>
        <v>709.97</v>
      </c>
      <c r="T51" s="931">
        <f>2.66*Q51</f>
        <v>633.08000000000004</v>
      </c>
      <c r="U51" s="931">
        <f>2.33*R51</f>
        <v>76.89</v>
      </c>
      <c r="V51" s="912">
        <f t="shared" si="4"/>
        <v>1</v>
      </c>
      <c r="W51" s="912">
        <f t="shared" si="43"/>
        <v>6</v>
      </c>
      <c r="X51" s="912">
        <f>L51*M51</f>
        <v>359.03999999999996</v>
      </c>
      <c r="Y51" s="920">
        <f t="shared" si="42"/>
        <v>359.03999999999996</v>
      </c>
      <c r="Z51" s="911">
        <f>Y51+(L51+M51)*2*2.5</f>
        <v>559.04</v>
      </c>
      <c r="AA51" s="921">
        <f>M51*J51</f>
        <v>739.84</v>
      </c>
      <c r="AB51" s="916">
        <f t="shared" si="12"/>
        <v>80</v>
      </c>
      <c r="AC51" s="917"/>
      <c r="AD51" s="917"/>
      <c r="AE51" s="476"/>
      <c r="AF51" s="476"/>
      <c r="AG51" s="50"/>
      <c r="AH51" s="50"/>
      <c r="AI51" s="50"/>
      <c r="AJ51" s="50"/>
      <c r="AK51" s="50"/>
      <c r="AL51" s="50"/>
      <c r="AM51" s="50"/>
      <c r="AN51" s="50"/>
      <c r="AO51" s="50"/>
      <c r="AP51" s="50"/>
      <c r="AQ51" s="50"/>
      <c r="AR51" s="50"/>
      <c r="AS51" s="50"/>
      <c r="AT51" s="50"/>
    </row>
    <row r="52" spans="1:46" ht="12"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row>
    <row r="53" spans="1:46" ht="12" customHeight="1" x14ac:dyDescent="0.25">
      <c r="A53" s="923"/>
      <c r="B53" s="932" t="s">
        <v>1355</v>
      </c>
      <c r="C53" s="908"/>
      <c r="D53" s="933"/>
      <c r="E53" s="933"/>
      <c r="F53" s="934"/>
      <c r="G53" s="935"/>
      <c r="H53" s="936"/>
      <c r="I53" s="937"/>
      <c r="J53" s="908"/>
      <c r="K53" s="908"/>
      <c r="L53" s="908"/>
      <c r="M53" s="908"/>
      <c r="N53" s="938"/>
      <c r="O53" s="939"/>
      <c r="P53" s="908"/>
      <c r="Q53" s="940"/>
      <c r="R53" s="940"/>
      <c r="S53" s="941"/>
      <c r="T53" s="941"/>
      <c r="U53" s="941"/>
      <c r="V53" s="939"/>
      <c r="W53" s="942"/>
      <c r="X53" s="939"/>
      <c r="Y53" s="943"/>
      <c r="Z53" s="908"/>
      <c r="AA53" s="944"/>
      <c r="AB53" s="944"/>
      <c r="AC53" s="50"/>
      <c r="AD53" s="50"/>
      <c r="AE53" s="50"/>
      <c r="AF53" s="50"/>
      <c r="AG53" s="50"/>
      <c r="AH53" s="50"/>
      <c r="AI53" s="50"/>
      <c r="AJ53" s="50"/>
      <c r="AK53" s="50"/>
      <c r="AL53" s="50"/>
      <c r="AM53" s="50"/>
      <c r="AN53" s="50"/>
      <c r="AO53" s="50"/>
      <c r="AP53" s="50"/>
      <c r="AQ53" s="50"/>
      <c r="AR53" s="50"/>
      <c r="AS53" s="50"/>
      <c r="AT53" s="50"/>
    </row>
    <row r="54" spans="1:46" ht="12"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row>
    <row r="55" spans="1:46" s="926" customFormat="1" ht="15" customHeight="1" x14ac:dyDescent="0.25">
      <c r="A55" s="945" t="s">
        <v>1376</v>
      </c>
      <c r="B55" s="946"/>
      <c r="C55" s="945" t="s">
        <v>1376</v>
      </c>
      <c r="D55" s="947">
        <f>IF('Ввод исходных данных'!$D$14='Серии планировка'!A55,'Ввод исходных данных'!$D$19,1)</f>
        <v>1</v>
      </c>
      <c r="E55" s="947">
        <f>IF('Ввод исходных данных'!$D$14='Серии планировка'!A55,'Ввод исходных данных'!$D$17,1)</f>
        <v>1</v>
      </c>
      <c r="F55" s="947">
        <f>L55*M55*D55</f>
        <v>194.88</v>
      </c>
      <c r="G55" s="947">
        <f>159*$D55*$E55</f>
        <v>159</v>
      </c>
      <c r="H55" s="947">
        <f>117.25*$D55*$E55</f>
        <v>117.25</v>
      </c>
      <c r="I55" s="947">
        <f t="shared" ref="I55:I61" si="44">F55-G55</f>
        <v>35.879999999999995</v>
      </c>
      <c r="J55" s="947">
        <f t="shared" ref="J55:J74" si="45">K55*D55</f>
        <v>2.7</v>
      </c>
      <c r="K55" s="947">
        <v>2.7</v>
      </c>
      <c r="L55" s="947">
        <f>16.8*E55</f>
        <v>16.8</v>
      </c>
      <c r="M55" s="947">
        <v>11.6</v>
      </c>
      <c r="N55" s="947">
        <f>2*(L55+M55)*J55</f>
        <v>153.36000000000001</v>
      </c>
      <c r="O55" s="948">
        <f>N55-S55-W55</f>
        <v>121.45000000000002</v>
      </c>
      <c r="P55" s="947">
        <f t="shared" ref="P55:P74" si="46">Q55+R55</f>
        <v>11</v>
      </c>
      <c r="Q55" s="947">
        <f>11*D55*E55</f>
        <v>11</v>
      </c>
      <c r="R55" s="947">
        <f>1*D55*E55-E55</f>
        <v>0</v>
      </c>
      <c r="S55" s="947">
        <f t="shared" ref="S55:S74" si="47">T55+U55</f>
        <v>28.16</v>
      </c>
      <c r="T55" s="947">
        <f>Q55*2.56</f>
        <v>28.16</v>
      </c>
      <c r="U55" s="947">
        <f>2.5*R55</f>
        <v>0</v>
      </c>
      <c r="V55" s="947">
        <f t="shared" ref="V55:V74" si="48">1*E55</f>
        <v>1</v>
      </c>
      <c r="W55" s="949">
        <f>3.75*V55</f>
        <v>3.75</v>
      </c>
      <c r="X55" s="948">
        <f t="shared" ref="X55:Y57" si="49">$L55*$M55</f>
        <v>194.88</v>
      </c>
      <c r="Y55" s="950">
        <f t="shared" si="49"/>
        <v>194.88</v>
      </c>
      <c r="Z55" s="947">
        <f t="shared" ref="Z55:Z74" si="50">Y55+(L55+M55)*2*2.5</f>
        <v>336.88</v>
      </c>
      <c r="AA55" s="947">
        <f t="shared" ref="AA55:AA76" si="51">M55*J55</f>
        <v>31.32</v>
      </c>
      <c r="AB55" s="947">
        <f t="shared" ref="AB55:AB74" si="52">(L55+M55)*2</f>
        <v>56.8</v>
      </c>
      <c r="AC55" s="50"/>
      <c r="AD55" s="50"/>
      <c r="AE55" s="50"/>
      <c r="AF55" s="50"/>
      <c r="AG55" s="50"/>
      <c r="AH55" s="50"/>
      <c r="AI55" s="50"/>
      <c r="AJ55" s="50"/>
      <c r="AK55" s="50"/>
      <c r="AL55" s="50"/>
      <c r="AM55" s="50"/>
      <c r="AN55" s="50"/>
      <c r="AO55" s="50"/>
      <c r="AP55" s="50"/>
      <c r="AQ55" s="50"/>
      <c r="AR55" s="50"/>
      <c r="AS55" s="50"/>
      <c r="AT55" s="50"/>
    </row>
    <row r="56" spans="1:46" s="926" customFormat="1" ht="12" customHeight="1" x14ac:dyDescent="0.25">
      <c r="A56" s="951" t="s">
        <v>1550</v>
      </c>
      <c r="B56" s="946"/>
      <c r="C56" s="951" t="s">
        <v>1550</v>
      </c>
      <c r="D56" s="947">
        <f>IF('Ввод исходных данных'!$D$14='Серии планировка'!A56,'Ввод исходных данных'!$D$19,1)</f>
        <v>1</v>
      </c>
      <c r="E56" s="947">
        <f>IF('Ввод исходных данных'!$D$14='Серии планировка'!A56,'Ввод исходных данных'!$D$17,1)</f>
        <v>1</v>
      </c>
      <c r="F56" s="948">
        <f>L56*M56*D56</f>
        <v>204</v>
      </c>
      <c r="G56" s="948">
        <f>161.55*D56*E56</f>
        <v>161.55000000000001</v>
      </c>
      <c r="H56" s="947">
        <f>105.11*D56*E56</f>
        <v>105.11</v>
      </c>
      <c r="I56" s="947">
        <f t="shared" si="44"/>
        <v>42.449999999999989</v>
      </c>
      <c r="J56" s="947">
        <f t="shared" si="45"/>
        <v>2.8</v>
      </c>
      <c r="K56" s="947">
        <v>2.8</v>
      </c>
      <c r="L56" s="947">
        <f>17*E56</f>
        <v>17</v>
      </c>
      <c r="M56" s="947">
        <v>12</v>
      </c>
      <c r="N56" s="948">
        <f t="shared" ref="N56:N64" si="53">(L56+M56)*2*J56</f>
        <v>162.39999999999998</v>
      </c>
      <c r="O56" s="948">
        <f t="shared" ref="O56:O74" si="54">N56-S56-W56</f>
        <v>126.09999999999998</v>
      </c>
      <c r="P56" s="947">
        <f t="shared" si="46"/>
        <v>15</v>
      </c>
      <c r="Q56" s="948">
        <f>(5+6)*D56*E56+2*2*D56+IF(E56&gt;=3,(E56-2)*D56*2,0)</f>
        <v>15</v>
      </c>
      <c r="R56" s="947">
        <f t="shared" ref="R56:R73" si="55">1*D56*E56-E56</f>
        <v>0</v>
      </c>
      <c r="S56" s="948">
        <f t="shared" si="47"/>
        <v>31.5</v>
      </c>
      <c r="T56" s="948">
        <f>(1.8*2/3+1.8*3/2*1/3)*Q56</f>
        <v>31.5</v>
      </c>
      <c r="U56" s="948">
        <f>(1.8)*R56</f>
        <v>0</v>
      </c>
      <c r="V56" s="948">
        <f t="shared" si="48"/>
        <v>1</v>
      </c>
      <c r="W56" s="948">
        <f>V56*4.8</f>
        <v>4.8</v>
      </c>
      <c r="X56" s="948">
        <f t="shared" si="49"/>
        <v>204</v>
      </c>
      <c r="Y56" s="950">
        <f t="shared" si="49"/>
        <v>204</v>
      </c>
      <c r="Z56" s="947">
        <f t="shared" si="50"/>
        <v>349</v>
      </c>
      <c r="AA56" s="947">
        <f t="shared" si="51"/>
        <v>33.599999999999994</v>
      </c>
      <c r="AB56" s="947">
        <f t="shared" si="52"/>
        <v>58</v>
      </c>
      <c r="AC56" s="50"/>
      <c r="AD56" s="50"/>
      <c r="AE56" s="50"/>
      <c r="AF56" s="50"/>
      <c r="AG56" s="50"/>
      <c r="AH56" s="50"/>
      <c r="AI56" s="50"/>
      <c r="AJ56" s="50"/>
      <c r="AK56" s="50"/>
      <c r="AL56" s="50"/>
      <c r="AM56" s="50"/>
      <c r="AN56" s="50"/>
      <c r="AO56" s="50"/>
      <c r="AP56" s="50"/>
      <c r="AQ56" s="50"/>
      <c r="AR56" s="50"/>
      <c r="AS56" s="50"/>
      <c r="AT56" s="50"/>
    </row>
    <row r="57" spans="1:46" ht="12" customHeight="1" x14ac:dyDescent="0.25">
      <c r="A57" s="952" t="s">
        <v>1385</v>
      </c>
      <c r="B57" s="946"/>
      <c r="C57" s="952" t="s">
        <v>1385</v>
      </c>
      <c r="D57" s="947">
        <f>IF('Ввод исходных данных'!$D$14='Серии планировка'!A57,'Ввод исходных данных'!$D$19,1)</f>
        <v>1</v>
      </c>
      <c r="E57" s="947">
        <f>IF('Ввод исходных данных'!$D$14='Серии планировка'!A57,'Ввод исходных данных'!$D$17,1)</f>
        <v>1</v>
      </c>
      <c r="F57" s="947">
        <v>2387</v>
      </c>
      <c r="G57" s="948">
        <v>2127</v>
      </c>
      <c r="H57" s="947">
        <f>1421</f>
        <v>1421</v>
      </c>
      <c r="I57" s="947">
        <f t="shared" si="44"/>
        <v>260</v>
      </c>
      <c r="J57" s="947">
        <f t="shared" si="45"/>
        <v>2.8</v>
      </c>
      <c r="K57" s="947">
        <v>2.8</v>
      </c>
      <c r="L57" s="947">
        <v>16.52</v>
      </c>
      <c r="M57" s="947">
        <v>18.100000000000001</v>
      </c>
      <c r="N57" s="948">
        <f t="shared" si="53"/>
        <v>193.87200000000001</v>
      </c>
      <c r="O57" s="948">
        <f t="shared" si="54"/>
        <v>156.17200000000003</v>
      </c>
      <c r="P57" s="948">
        <f t="shared" si="46"/>
        <v>17</v>
      </c>
      <c r="Q57" s="948">
        <f>17*D57</f>
        <v>17</v>
      </c>
      <c r="R57" s="947">
        <f t="shared" si="55"/>
        <v>0</v>
      </c>
      <c r="S57" s="948">
        <f t="shared" si="47"/>
        <v>35.700000000000003</v>
      </c>
      <c r="T57" s="948">
        <f>2.1*Q57</f>
        <v>35.700000000000003</v>
      </c>
      <c r="U57" s="948">
        <f>(1.8)*R57</f>
        <v>0</v>
      </c>
      <c r="V57" s="948">
        <f t="shared" si="48"/>
        <v>1</v>
      </c>
      <c r="W57" s="947">
        <f>V57*2</f>
        <v>2</v>
      </c>
      <c r="X57" s="948">
        <f t="shared" si="49"/>
        <v>299.012</v>
      </c>
      <c r="Y57" s="950">
        <f t="shared" si="49"/>
        <v>299.012</v>
      </c>
      <c r="Z57" s="947">
        <f t="shared" si="50"/>
        <v>472.11200000000002</v>
      </c>
      <c r="AA57" s="947">
        <f t="shared" si="51"/>
        <v>50.68</v>
      </c>
      <c r="AB57" s="947">
        <f t="shared" si="52"/>
        <v>69.240000000000009</v>
      </c>
      <c r="AC57" s="917"/>
      <c r="AD57" s="917"/>
      <c r="AE57" s="476"/>
      <c r="AF57" s="476"/>
      <c r="AG57" s="50"/>
      <c r="AH57" s="50"/>
      <c r="AI57" s="50"/>
      <c r="AJ57" s="50"/>
      <c r="AK57" s="50"/>
      <c r="AL57" s="50"/>
      <c r="AM57" s="50"/>
      <c r="AN57" s="50"/>
      <c r="AO57" s="50"/>
      <c r="AP57" s="50"/>
      <c r="AQ57" s="50"/>
      <c r="AR57" s="50"/>
      <c r="AS57" s="50"/>
      <c r="AT57" s="50"/>
    </row>
    <row r="58" spans="1:46" s="926" customFormat="1" ht="12" customHeight="1" x14ac:dyDescent="0.25">
      <c r="A58" s="953" t="s">
        <v>1767</v>
      </c>
      <c r="B58" s="946"/>
      <c r="C58" s="953" t="s">
        <v>1767</v>
      </c>
      <c r="D58" s="947">
        <f>IF('Ввод исходных данных'!$D$14='Серии планировка'!A58,'Ввод исходных данных'!$D$19,1)</f>
        <v>1</v>
      </c>
      <c r="E58" s="947">
        <f>IF('Ввод исходных данных'!$D$14='Серии планировка'!A58,'Ввод исходных данных'!$D$17,1)</f>
        <v>1</v>
      </c>
      <c r="F58" s="947">
        <f t="shared" ref="F58:F64" si="56">L58*M58*D58</f>
        <v>193.536</v>
      </c>
      <c r="G58" s="948">
        <f>177.55*$D58*$E58</f>
        <v>177.55</v>
      </c>
      <c r="H58" s="947">
        <f>146.3*$D58*$E58</f>
        <v>146.30000000000001</v>
      </c>
      <c r="I58" s="947">
        <f t="shared" si="44"/>
        <v>15.98599999999999</v>
      </c>
      <c r="J58" s="947">
        <f t="shared" si="45"/>
        <v>2.7</v>
      </c>
      <c r="K58" s="947">
        <v>2.7</v>
      </c>
      <c r="L58" s="947">
        <f>IF(E58&gt;2,(E58-2)*19.4+2*16.8,E58*16.8)</f>
        <v>16.8</v>
      </c>
      <c r="M58" s="947">
        <v>11.52</v>
      </c>
      <c r="N58" s="948">
        <f t="shared" si="53"/>
        <v>152.92800000000003</v>
      </c>
      <c r="O58" s="948">
        <f t="shared" si="54"/>
        <v>129.53800000000001</v>
      </c>
      <c r="P58" s="948">
        <f t="shared" si="46"/>
        <v>11</v>
      </c>
      <c r="Q58" s="948">
        <f>IF(E58&gt;2,(E58-2)*13*D58+2*11*D58,11*D58)</f>
        <v>11</v>
      </c>
      <c r="R58" s="947">
        <f t="shared" si="55"/>
        <v>0</v>
      </c>
      <c r="S58" s="948">
        <f t="shared" si="47"/>
        <v>18.59</v>
      </c>
      <c r="T58" s="948">
        <f>1.69*Q58</f>
        <v>18.59</v>
      </c>
      <c r="U58" s="948">
        <f>(1.8)*R58</f>
        <v>0</v>
      </c>
      <c r="V58" s="948">
        <f t="shared" si="48"/>
        <v>1</v>
      </c>
      <c r="W58" s="948">
        <f>V58*4.8</f>
        <v>4.8</v>
      </c>
      <c r="X58" s="948">
        <f t="shared" ref="X58:Y60" si="57">$L58*$M58</f>
        <v>193.536</v>
      </c>
      <c r="Y58" s="950">
        <f t="shared" si="57"/>
        <v>193.536</v>
      </c>
      <c r="Z58" s="947">
        <f t="shared" si="50"/>
        <v>335.13599999999997</v>
      </c>
      <c r="AA58" s="947">
        <f t="shared" si="51"/>
        <v>31.103999999999999</v>
      </c>
      <c r="AB58" s="947">
        <f t="shared" si="52"/>
        <v>56.64</v>
      </c>
      <c r="AC58" s="50"/>
      <c r="AD58" s="50"/>
      <c r="AE58" s="50"/>
      <c r="AF58" s="50"/>
      <c r="AG58" s="50"/>
      <c r="AH58" s="50"/>
      <c r="AI58" s="50"/>
      <c r="AJ58" s="50"/>
      <c r="AK58" s="50"/>
      <c r="AL58" s="50"/>
      <c r="AM58" s="50"/>
      <c r="AN58" s="50"/>
      <c r="AO58" s="50"/>
      <c r="AP58" s="50"/>
      <c r="AQ58" s="50"/>
      <c r="AR58" s="50"/>
      <c r="AS58" s="50"/>
      <c r="AT58" s="50"/>
    </row>
    <row r="59" spans="1:46" s="926" customFormat="1" ht="12" customHeight="1" x14ac:dyDescent="0.25">
      <c r="A59" s="953" t="s">
        <v>1768</v>
      </c>
      <c r="B59" s="946"/>
      <c r="C59" s="953" t="s">
        <v>1768</v>
      </c>
      <c r="D59" s="947">
        <f>IF('Ввод исходных данных'!$D$14='Серии планировка'!A59,'Ввод исходных данных'!$D$19,1)</f>
        <v>1</v>
      </c>
      <c r="E59" s="947">
        <f>IF('Ввод исходных данных'!$D$14='Серии планировка'!A59,'Ввод исходных данных'!$D$17,1)</f>
        <v>1</v>
      </c>
      <c r="F59" s="947">
        <f t="shared" si="56"/>
        <v>200.44799999999998</v>
      </c>
      <c r="G59" s="948">
        <f>IF(E59&gt;=2,(E59-2)*D59*136+2*D59*170.3,E59*D59*170.3)</f>
        <v>170.3</v>
      </c>
      <c r="H59" s="947">
        <f>IF(E59&gt;=2,(E59-2)*D59*91.9+2*D59*123.1,E59*D59*123.1)</f>
        <v>123.1</v>
      </c>
      <c r="I59" s="947">
        <f t="shared" si="44"/>
        <v>30.147999999999968</v>
      </c>
      <c r="J59" s="947">
        <f t="shared" si="45"/>
        <v>2.7</v>
      </c>
      <c r="K59" s="947">
        <v>2.7</v>
      </c>
      <c r="L59" s="947">
        <f>IF(E59&gt;2,(E59-2)*14.2+2*17.4,E59*17.4)</f>
        <v>17.399999999999999</v>
      </c>
      <c r="M59" s="947">
        <v>11.52</v>
      </c>
      <c r="N59" s="948">
        <f t="shared" si="53"/>
        <v>156.16800000000001</v>
      </c>
      <c r="O59" s="948">
        <f t="shared" si="54"/>
        <v>125.438</v>
      </c>
      <c r="P59" s="948">
        <f t="shared" si="46"/>
        <v>17</v>
      </c>
      <c r="Q59" s="948">
        <f>9*D59*E59+2*2*D59+2*2*D59</f>
        <v>17</v>
      </c>
      <c r="R59" s="947">
        <f t="shared" si="55"/>
        <v>0</v>
      </c>
      <c r="S59" s="948">
        <f t="shared" si="47"/>
        <v>28.73</v>
      </c>
      <c r="T59" s="948">
        <f>1.69*Q59</f>
        <v>28.73</v>
      </c>
      <c r="U59" s="948">
        <f>(1.8)*R59</f>
        <v>0</v>
      </c>
      <c r="V59" s="948">
        <f t="shared" si="48"/>
        <v>1</v>
      </c>
      <c r="W59" s="948">
        <f>V59*2</f>
        <v>2</v>
      </c>
      <c r="X59" s="948">
        <f t="shared" si="57"/>
        <v>200.44799999999998</v>
      </c>
      <c r="Y59" s="950">
        <f t="shared" si="57"/>
        <v>200.44799999999998</v>
      </c>
      <c r="Z59" s="947">
        <f t="shared" si="50"/>
        <v>345.048</v>
      </c>
      <c r="AA59" s="947">
        <f t="shared" si="51"/>
        <v>31.103999999999999</v>
      </c>
      <c r="AB59" s="947">
        <f t="shared" si="52"/>
        <v>57.839999999999996</v>
      </c>
      <c r="AC59" s="50"/>
      <c r="AD59" s="50"/>
      <c r="AE59" s="50"/>
      <c r="AF59" s="50"/>
      <c r="AG59" s="50"/>
      <c r="AH59" s="50"/>
      <c r="AI59" s="50"/>
      <c r="AJ59" s="50"/>
      <c r="AK59" s="50"/>
      <c r="AL59" s="50"/>
      <c r="AM59" s="50"/>
      <c r="AN59" s="50"/>
      <c r="AO59" s="50"/>
      <c r="AP59" s="50"/>
      <c r="AQ59" s="50"/>
      <c r="AR59" s="50"/>
      <c r="AS59" s="50"/>
      <c r="AT59" s="50"/>
    </row>
    <row r="60" spans="1:46" s="926" customFormat="1" ht="12" customHeight="1" x14ac:dyDescent="0.25">
      <c r="A60" s="953" t="s">
        <v>1431</v>
      </c>
      <c r="B60" s="946"/>
      <c r="C60" s="953" t="s">
        <v>1431</v>
      </c>
      <c r="D60" s="947">
        <f>IF('Ввод исходных данных'!$D$14='Серии планировка'!A60,'Ввод исходных данных'!$D$19,1)</f>
        <v>1</v>
      </c>
      <c r="E60" s="947">
        <f>IF('Ввод исходных данных'!$D$14='Серии планировка'!A60,'Ввод исходных данных'!$D$17,1)</f>
        <v>1</v>
      </c>
      <c r="F60" s="947">
        <f t="shared" si="56"/>
        <v>303.60000000000002</v>
      </c>
      <c r="G60" s="954">
        <f>225*D60*E60</f>
        <v>225</v>
      </c>
      <c r="H60" s="954">
        <f>144.8*D60*E60</f>
        <v>144.80000000000001</v>
      </c>
      <c r="I60" s="947">
        <f t="shared" si="44"/>
        <v>78.600000000000023</v>
      </c>
      <c r="J60" s="947">
        <f t="shared" si="45"/>
        <v>2.85</v>
      </c>
      <c r="K60" s="947">
        <v>2.85</v>
      </c>
      <c r="L60" s="947">
        <f>22*E60</f>
        <v>22</v>
      </c>
      <c r="M60" s="947">
        <v>13.8</v>
      </c>
      <c r="N60" s="948">
        <f t="shared" si="53"/>
        <v>204.06</v>
      </c>
      <c r="O60" s="948">
        <f t="shared" si="54"/>
        <v>172.22</v>
      </c>
      <c r="P60" s="948">
        <f t="shared" si="46"/>
        <v>16</v>
      </c>
      <c r="Q60" s="948">
        <f>16*D60*E60</f>
        <v>16</v>
      </c>
      <c r="R60" s="947">
        <f t="shared" si="55"/>
        <v>0</v>
      </c>
      <c r="S60" s="948">
        <f t="shared" si="47"/>
        <v>27.04</v>
      </c>
      <c r="T60" s="948">
        <f>1.69*Q60</f>
        <v>27.04</v>
      </c>
      <c r="U60" s="948">
        <f>(1.8)*R60</f>
        <v>0</v>
      </c>
      <c r="V60" s="948">
        <f t="shared" si="48"/>
        <v>1</v>
      </c>
      <c r="W60" s="948">
        <f>V60*4.8</f>
        <v>4.8</v>
      </c>
      <c r="X60" s="948">
        <f t="shared" si="57"/>
        <v>303.60000000000002</v>
      </c>
      <c r="Y60" s="950">
        <f t="shared" si="57"/>
        <v>303.60000000000002</v>
      </c>
      <c r="Z60" s="947">
        <f t="shared" si="50"/>
        <v>482.6</v>
      </c>
      <c r="AA60" s="947">
        <f t="shared" si="51"/>
        <v>39.330000000000005</v>
      </c>
      <c r="AB60" s="947">
        <f t="shared" si="52"/>
        <v>71.599999999999994</v>
      </c>
      <c r="AC60" s="50"/>
      <c r="AD60" s="50"/>
      <c r="AE60" s="50"/>
      <c r="AF60" s="50"/>
      <c r="AG60" s="50"/>
      <c r="AH60" s="50"/>
      <c r="AI60" s="50"/>
      <c r="AJ60" s="50"/>
      <c r="AK60" s="50"/>
      <c r="AL60" s="50"/>
      <c r="AM60" s="50"/>
      <c r="AN60" s="50"/>
      <c r="AO60" s="50"/>
      <c r="AP60" s="50"/>
      <c r="AQ60" s="50"/>
      <c r="AR60" s="50"/>
      <c r="AS60" s="50"/>
      <c r="AT60" s="50"/>
    </row>
    <row r="61" spans="1:46" s="926" customFormat="1" ht="12" customHeight="1" x14ac:dyDescent="0.25">
      <c r="A61" s="951" t="s">
        <v>1377</v>
      </c>
      <c r="B61" s="946"/>
      <c r="C61" s="951" t="s">
        <v>1377</v>
      </c>
      <c r="D61" s="947">
        <f>IF('Ввод исходных данных'!$D$14='Серии планировка'!A61,'Ввод исходных данных'!$D$19,1)</f>
        <v>1</v>
      </c>
      <c r="E61" s="947">
        <f>IF('Ввод исходных данных'!$D$14='Серии планировка'!A61,'Ввод исходных данных'!$D$17,1)</f>
        <v>1</v>
      </c>
      <c r="F61" s="948">
        <f t="shared" si="56"/>
        <v>196.79999999999998</v>
      </c>
      <c r="G61" s="948">
        <f>IF(E61&gt;2,2*163.2+(E61-2)*189.7,E61*163.2)*D61</f>
        <v>163.19999999999999</v>
      </c>
      <c r="H61" s="947">
        <f>IF(E61&gt;2,2*113.3+(E61-2)*139.2,E61*113.3)*D61</f>
        <v>113.3</v>
      </c>
      <c r="I61" s="947">
        <f t="shared" si="44"/>
        <v>33.599999999999994</v>
      </c>
      <c r="J61" s="947">
        <f t="shared" si="45"/>
        <v>2.95</v>
      </c>
      <c r="K61" s="947">
        <v>2.95</v>
      </c>
      <c r="L61" s="947">
        <f>IF(E61&gt;2,2*16.4+(E61-2)*19.16,E61*16.4)</f>
        <v>16.399999999999999</v>
      </c>
      <c r="M61" s="947">
        <v>12</v>
      </c>
      <c r="N61" s="948">
        <f t="shared" si="53"/>
        <v>167.56</v>
      </c>
      <c r="O61" s="948">
        <f t="shared" si="54"/>
        <v>135.45999999999998</v>
      </c>
      <c r="P61" s="947">
        <f t="shared" si="46"/>
        <v>13</v>
      </c>
      <c r="Q61" s="948">
        <f>13*D61*E61</f>
        <v>13</v>
      </c>
      <c r="R61" s="947">
        <f t="shared" si="55"/>
        <v>0</v>
      </c>
      <c r="S61" s="948">
        <f t="shared" si="47"/>
        <v>27.3</v>
      </c>
      <c r="T61" s="948">
        <f>Q61*(1.8*2/3+2.7*1/3)</f>
        <v>27.3</v>
      </c>
      <c r="U61" s="948">
        <f>1.8*R61</f>
        <v>0</v>
      </c>
      <c r="V61" s="948">
        <f t="shared" si="48"/>
        <v>1</v>
      </c>
      <c r="W61" s="948">
        <f>V61*4.8</f>
        <v>4.8</v>
      </c>
      <c r="X61" s="948">
        <f t="shared" ref="X61:Y64" si="58">$L61*$M61</f>
        <v>196.79999999999998</v>
      </c>
      <c r="Y61" s="950">
        <f t="shared" si="58"/>
        <v>196.79999999999998</v>
      </c>
      <c r="Z61" s="947">
        <f t="shared" si="50"/>
        <v>338.79999999999995</v>
      </c>
      <c r="AA61" s="947">
        <f t="shared" si="51"/>
        <v>35.400000000000006</v>
      </c>
      <c r="AB61" s="947">
        <f t="shared" si="52"/>
        <v>56.8</v>
      </c>
      <c r="AC61" s="50"/>
      <c r="AD61" s="50"/>
      <c r="AE61" s="50"/>
      <c r="AF61" s="50"/>
      <c r="AG61" s="50"/>
      <c r="AH61" s="50"/>
      <c r="AI61" s="50"/>
      <c r="AJ61" s="50"/>
      <c r="AK61" s="50"/>
      <c r="AL61" s="50"/>
      <c r="AM61" s="50"/>
      <c r="AN61" s="50"/>
      <c r="AO61" s="50"/>
      <c r="AP61" s="50"/>
      <c r="AQ61" s="50"/>
      <c r="AR61" s="50"/>
      <c r="AS61" s="50"/>
      <c r="AT61" s="50"/>
    </row>
    <row r="62" spans="1:46" s="926" customFormat="1" ht="12" customHeight="1" x14ac:dyDescent="0.25">
      <c r="A62" s="955" t="s">
        <v>1378</v>
      </c>
      <c r="B62" s="956"/>
      <c r="C62" s="955" t="s">
        <v>1378</v>
      </c>
      <c r="D62" s="947">
        <f>IF('Ввод исходных данных'!$D$14='Серии планировка'!A62,'Ввод исходных данных'!$D$19,1)</f>
        <v>1</v>
      </c>
      <c r="E62" s="947">
        <f>IF('Ввод исходных данных'!$D$14='Серии планировка'!A62,'Ввод исходных данных'!$D$17,1)</f>
        <v>1</v>
      </c>
      <c r="F62" s="947">
        <f t="shared" si="56"/>
        <v>196.79999999999998</v>
      </c>
      <c r="G62" s="947">
        <f>IF(E62&gt;2,2*155.1+(E62-2)*185.1,E62*155.1)*D62</f>
        <v>155.1</v>
      </c>
      <c r="H62" s="947">
        <f>IF(E62&gt;2,2*103.6+(E62-2)*133.6,E62*103.6)*D62</f>
        <v>103.6</v>
      </c>
      <c r="I62" s="947">
        <f>2.3*6*D62*E62</f>
        <v>13.799999999999999</v>
      </c>
      <c r="J62" s="947">
        <f t="shared" si="45"/>
        <v>2.95</v>
      </c>
      <c r="K62" s="947">
        <v>2.95</v>
      </c>
      <c r="L62" s="947">
        <f>IF(E62&gt;2,2*16.4+(E62-2)*19.16,E62*16.4)</f>
        <v>16.399999999999999</v>
      </c>
      <c r="M62" s="947">
        <v>12</v>
      </c>
      <c r="N62" s="948">
        <f t="shared" si="53"/>
        <v>167.56</v>
      </c>
      <c r="O62" s="948">
        <f t="shared" si="54"/>
        <v>131.26</v>
      </c>
      <c r="P62" s="947">
        <f t="shared" si="46"/>
        <v>15</v>
      </c>
      <c r="Q62" s="948">
        <f>(5+6)*D62*E62+2*2*D62+IF(E62&gt;=3,(E62-2)*D62*2,0)</f>
        <v>15</v>
      </c>
      <c r="R62" s="947">
        <f t="shared" si="55"/>
        <v>0</v>
      </c>
      <c r="S62" s="947">
        <f t="shared" si="47"/>
        <v>31.5</v>
      </c>
      <c r="T62" s="948">
        <f>Q62*(1.8*2/3+2.7*1/3)</f>
        <v>31.5</v>
      </c>
      <c r="U62" s="948">
        <f>1.8*R62</f>
        <v>0</v>
      </c>
      <c r="V62" s="948">
        <f t="shared" si="48"/>
        <v>1</v>
      </c>
      <c r="W62" s="948">
        <f>V62*4.8</f>
        <v>4.8</v>
      </c>
      <c r="X62" s="948">
        <f t="shared" si="58"/>
        <v>196.79999999999998</v>
      </c>
      <c r="Y62" s="950">
        <f t="shared" si="58"/>
        <v>196.79999999999998</v>
      </c>
      <c r="Z62" s="947">
        <f t="shared" si="50"/>
        <v>338.79999999999995</v>
      </c>
      <c r="AA62" s="947">
        <f t="shared" si="51"/>
        <v>35.400000000000006</v>
      </c>
      <c r="AB62" s="947">
        <f t="shared" si="52"/>
        <v>56.8</v>
      </c>
      <c r="AC62" s="50"/>
      <c r="AD62" s="50"/>
      <c r="AE62" s="50"/>
      <c r="AF62" s="50"/>
      <c r="AG62" s="50"/>
      <c r="AH62" s="50"/>
      <c r="AI62" s="50"/>
      <c r="AJ62" s="50"/>
      <c r="AK62" s="50"/>
      <c r="AL62" s="50"/>
      <c r="AM62" s="50"/>
      <c r="AN62" s="50"/>
      <c r="AO62" s="50"/>
      <c r="AP62" s="50"/>
      <c r="AQ62" s="50"/>
      <c r="AR62" s="50"/>
      <c r="AS62" s="50"/>
      <c r="AT62" s="50"/>
    </row>
    <row r="63" spans="1:46" s="926" customFormat="1" ht="12" customHeight="1" x14ac:dyDescent="0.25">
      <c r="A63" s="953" t="s">
        <v>1379</v>
      </c>
      <c r="B63" s="946"/>
      <c r="C63" s="953" t="s">
        <v>1379</v>
      </c>
      <c r="D63" s="947">
        <f>IF('Ввод исходных данных'!$D$14='Серии планировка'!A63,'Ввод исходных данных'!$D$19,1)</f>
        <v>1</v>
      </c>
      <c r="E63" s="947">
        <f>IF('Ввод исходных данных'!$D$14='Серии планировка'!A63,'Ввод исходных данных'!$D$17,1)</f>
        <v>1</v>
      </c>
      <c r="F63" s="947">
        <f t="shared" si="56"/>
        <v>180.39999999999998</v>
      </c>
      <c r="G63" s="947">
        <f>IF(E63&gt;2,2*163.33+(E63-2)*188.95,E63*163.3)*D63</f>
        <v>163.30000000000001</v>
      </c>
      <c r="H63" s="947">
        <f>IF(E63&gt;2,2*93+(E63-2)*102.3,E63*93)*D63</f>
        <v>93</v>
      </c>
      <c r="I63" s="947">
        <f t="shared" ref="I63:I74" si="59">F63-G63</f>
        <v>17.099999999999966</v>
      </c>
      <c r="J63" s="947">
        <f t="shared" si="45"/>
        <v>2.78</v>
      </c>
      <c r="K63" s="947">
        <v>2.78</v>
      </c>
      <c r="L63" s="947">
        <f>IF(E63&gt;2,2*16.4+(E63-2)*19.16,E63*16.4)</f>
        <v>16.399999999999999</v>
      </c>
      <c r="M63" s="947">
        <v>11</v>
      </c>
      <c r="N63" s="948">
        <f t="shared" si="53"/>
        <v>152.34399999999999</v>
      </c>
      <c r="O63" s="948">
        <f t="shared" si="54"/>
        <v>117.64399999999999</v>
      </c>
      <c r="P63" s="947">
        <f t="shared" si="46"/>
        <v>13</v>
      </c>
      <c r="Q63" s="947">
        <f>13*D63*E63</f>
        <v>13</v>
      </c>
      <c r="R63" s="947">
        <f t="shared" si="55"/>
        <v>0</v>
      </c>
      <c r="S63" s="947">
        <f t="shared" si="47"/>
        <v>29.9</v>
      </c>
      <c r="T63" s="948">
        <f>(29.9)*D63*E63</f>
        <v>29.9</v>
      </c>
      <c r="U63" s="948">
        <f>1.8*R63</f>
        <v>0</v>
      </c>
      <c r="V63" s="948">
        <f t="shared" si="48"/>
        <v>1</v>
      </c>
      <c r="W63" s="948">
        <f>V63*4.8</f>
        <v>4.8</v>
      </c>
      <c r="X63" s="948">
        <f t="shared" si="58"/>
        <v>180.39999999999998</v>
      </c>
      <c r="Y63" s="950">
        <f t="shared" si="58"/>
        <v>180.39999999999998</v>
      </c>
      <c r="Z63" s="947">
        <f t="shared" si="50"/>
        <v>317.39999999999998</v>
      </c>
      <c r="AA63" s="947">
        <f t="shared" si="51"/>
        <v>30.58</v>
      </c>
      <c r="AB63" s="947">
        <f t="shared" si="52"/>
        <v>54.8</v>
      </c>
      <c r="AC63" s="50"/>
      <c r="AD63" s="50"/>
      <c r="AE63" s="50"/>
      <c r="AF63" s="50"/>
      <c r="AG63" s="50"/>
      <c r="AH63" s="50"/>
      <c r="AI63" s="50"/>
      <c r="AJ63" s="50"/>
      <c r="AK63" s="50"/>
      <c r="AL63" s="50"/>
      <c r="AM63" s="50"/>
      <c r="AN63" s="50"/>
      <c r="AO63" s="50"/>
      <c r="AP63" s="50"/>
      <c r="AQ63" s="50"/>
      <c r="AR63" s="50"/>
      <c r="AS63" s="50"/>
      <c r="AT63" s="50"/>
    </row>
    <row r="64" spans="1:46" s="926" customFormat="1" ht="12" customHeight="1" x14ac:dyDescent="0.25">
      <c r="A64" s="953" t="s">
        <v>1380</v>
      </c>
      <c r="B64" s="946"/>
      <c r="C64" s="953" t="s">
        <v>1380</v>
      </c>
      <c r="D64" s="947">
        <f>IF('Ввод исходных данных'!$D$14='Серии планировка'!A64,'Ввод исходных данных'!$D$19,1)</f>
        <v>1</v>
      </c>
      <c r="E64" s="947">
        <f>IF('Ввод исходных данных'!$D$14='Серии планировка'!A64,'Ввод исходных данных'!$D$17,1)</f>
        <v>1</v>
      </c>
      <c r="F64" s="947">
        <f t="shared" si="56"/>
        <v>234</v>
      </c>
      <c r="G64" s="948">
        <f>193.4*$D64*$E64</f>
        <v>193.4</v>
      </c>
      <c r="H64" s="947">
        <f>127.69*$D64*$E64</f>
        <v>127.69</v>
      </c>
      <c r="I64" s="947">
        <f t="shared" si="59"/>
        <v>40.599999999999994</v>
      </c>
      <c r="J64" s="947">
        <f t="shared" si="45"/>
        <v>2.78</v>
      </c>
      <c r="K64" s="947">
        <v>2.78</v>
      </c>
      <c r="L64" s="947">
        <f>18*E64</f>
        <v>18</v>
      </c>
      <c r="M64" s="947">
        <v>13</v>
      </c>
      <c r="N64" s="948">
        <f t="shared" si="53"/>
        <v>172.35999999999999</v>
      </c>
      <c r="O64" s="948">
        <f t="shared" si="54"/>
        <v>134.35999999999996</v>
      </c>
      <c r="P64" s="947">
        <f t="shared" si="46"/>
        <v>15</v>
      </c>
      <c r="Q64" s="947">
        <f>(5+6)*D64*E64+2*2*D64+IF(E64&gt;=3,(E64-2)*D64*2,0)</f>
        <v>15</v>
      </c>
      <c r="R64" s="947">
        <f t="shared" si="55"/>
        <v>0</v>
      </c>
      <c r="S64" s="947">
        <f t="shared" si="47"/>
        <v>33.200000000000003</v>
      </c>
      <c r="T64" s="948">
        <f>IF(E64&gt;=2,(E64-2)*D64*28.44+2*D64*33.2,D64*33.2)</f>
        <v>33.200000000000003</v>
      </c>
      <c r="U64" s="948">
        <f>1.8*R64</f>
        <v>0</v>
      </c>
      <c r="V64" s="948">
        <f t="shared" si="48"/>
        <v>1</v>
      </c>
      <c r="W64" s="948">
        <f>V64*4.8</f>
        <v>4.8</v>
      </c>
      <c r="X64" s="948">
        <f t="shared" si="58"/>
        <v>234</v>
      </c>
      <c r="Y64" s="950">
        <f t="shared" si="58"/>
        <v>234</v>
      </c>
      <c r="Z64" s="947">
        <f t="shared" si="50"/>
        <v>389</v>
      </c>
      <c r="AA64" s="947">
        <f t="shared" si="51"/>
        <v>36.14</v>
      </c>
      <c r="AB64" s="947">
        <f t="shared" si="52"/>
        <v>62</v>
      </c>
      <c r="AC64" s="50"/>
      <c r="AD64" s="50"/>
      <c r="AE64" s="50"/>
      <c r="AF64" s="50"/>
      <c r="AG64" s="50"/>
      <c r="AH64" s="50"/>
      <c r="AI64" s="50"/>
      <c r="AJ64" s="50"/>
      <c r="AK64" s="50"/>
      <c r="AL64" s="50"/>
      <c r="AM64" s="50"/>
      <c r="AN64" s="50"/>
      <c r="AO64" s="50"/>
      <c r="AP64" s="50"/>
      <c r="AQ64" s="50"/>
      <c r="AR64" s="50"/>
      <c r="AS64" s="50"/>
      <c r="AT64" s="50"/>
    </row>
    <row r="65" spans="1:46" s="926" customFormat="1" ht="12" customHeight="1" x14ac:dyDescent="0.25">
      <c r="A65" s="957" t="s">
        <v>445</v>
      </c>
      <c r="B65" s="946"/>
      <c r="C65" s="957" t="s">
        <v>445</v>
      </c>
      <c r="D65" s="947">
        <f>IF('Ввод исходных данных'!$D$14='Серии планировка'!A65,'Ввод исходных данных'!$D$19,1)</f>
        <v>1</v>
      </c>
      <c r="E65" s="947">
        <f>IF('Ввод исходных данных'!$D$14='Серии планировка'!A65,'Ввод исходных данных'!$D$17,1)</f>
        <v>1</v>
      </c>
      <c r="F65" s="958">
        <f>L65*M65*$D65*0.98</f>
        <v>156.80000000000001</v>
      </c>
      <c r="G65" s="958">
        <f>140.2*D65*E65</f>
        <v>140.19999999999999</v>
      </c>
      <c r="H65" s="958">
        <f>85*D65*E65</f>
        <v>85</v>
      </c>
      <c r="I65" s="958">
        <f t="shared" si="59"/>
        <v>16.600000000000023</v>
      </c>
      <c r="J65" s="947">
        <f t="shared" si="45"/>
        <v>3.1</v>
      </c>
      <c r="K65" s="947">
        <v>3.1</v>
      </c>
      <c r="L65" s="947">
        <f>16*E65</f>
        <v>16</v>
      </c>
      <c r="M65" s="947">
        <v>10</v>
      </c>
      <c r="N65" s="948">
        <f>2*(L65+M65)*J65</f>
        <v>161.20000000000002</v>
      </c>
      <c r="O65" s="948">
        <f t="shared" si="54"/>
        <v>134.77900000000002</v>
      </c>
      <c r="P65" s="947">
        <f t="shared" si="46"/>
        <v>9</v>
      </c>
      <c r="Q65" s="947">
        <f>9*D65*E65</f>
        <v>9</v>
      </c>
      <c r="R65" s="947">
        <f t="shared" si="55"/>
        <v>0</v>
      </c>
      <c r="S65" s="959">
        <f t="shared" si="47"/>
        <v>20.420999999999999</v>
      </c>
      <c r="T65" s="959">
        <f>2.269*Q65</f>
        <v>20.420999999999999</v>
      </c>
      <c r="U65" s="958">
        <f>2.5*R65</f>
        <v>0</v>
      </c>
      <c r="V65" s="947">
        <f t="shared" si="48"/>
        <v>1</v>
      </c>
      <c r="W65" s="948">
        <f>6*V65</f>
        <v>6</v>
      </c>
      <c r="X65" s="947">
        <f>L65*M65</f>
        <v>160</v>
      </c>
      <c r="Y65" s="950">
        <f>$L65*$M65</f>
        <v>160</v>
      </c>
      <c r="Z65" s="947">
        <f t="shared" si="50"/>
        <v>290</v>
      </c>
      <c r="AA65" s="947">
        <f t="shared" si="51"/>
        <v>31</v>
      </c>
      <c r="AB65" s="947">
        <f t="shared" si="52"/>
        <v>52</v>
      </c>
      <c r="AC65" s="50"/>
      <c r="AD65" s="50"/>
      <c r="AE65" s="50"/>
      <c r="AF65" s="50"/>
      <c r="AG65" s="50"/>
      <c r="AH65" s="50"/>
      <c r="AI65" s="50"/>
      <c r="AJ65" s="50"/>
      <c r="AK65" s="50"/>
      <c r="AL65" s="50"/>
      <c r="AM65" s="50"/>
      <c r="AN65" s="50"/>
      <c r="AO65" s="50"/>
      <c r="AP65" s="50"/>
      <c r="AQ65" s="50"/>
      <c r="AR65" s="50"/>
      <c r="AS65" s="50"/>
      <c r="AT65" s="50"/>
    </row>
    <row r="66" spans="1:46" ht="15" customHeight="1" x14ac:dyDescent="0.25">
      <c r="A66" s="945" t="s">
        <v>1548</v>
      </c>
      <c r="B66" s="946"/>
      <c r="C66" s="945" t="s">
        <v>1548</v>
      </c>
      <c r="D66" s="947">
        <f>IF('Ввод исходных данных'!$D$14='Серии планировка'!A66,'Ввод исходных данных'!$D$19,1)</f>
        <v>1</v>
      </c>
      <c r="E66" s="947">
        <f>IF('Ввод исходных данных'!$D$14='Серии планировка'!A66,'Ввод исходных данных'!$D$17,1)</f>
        <v>1</v>
      </c>
      <c r="F66" s="947">
        <f>L66*M66*D66</f>
        <v>268.79999999999995</v>
      </c>
      <c r="G66" s="947">
        <f>215*D66*E66</f>
        <v>215</v>
      </c>
      <c r="H66" s="947">
        <f>121.2*D66*E66</f>
        <v>121.2</v>
      </c>
      <c r="I66" s="947">
        <f t="shared" si="59"/>
        <v>53.799999999999955</v>
      </c>
      <c r="J66" s="947">
        <f t="shared" si="45"/>
        <v>2.78</v>
      </c>
      <c r="K66" s="947">
        <v>2.78</v>
      </c>
      <c r="L66" s="947">
        <f>22.4*E66</f>
        <v>22.4</v>
      </c>
      <c r="M66" s="947">
        <v>12</v>
      </c>
      <c r="N66" s="947">
        <f>2*(L66+M66)*J66</f>
        <v>191.26399999999998</v>
      </c>
      <c r="O66" s="948">
        <f t="shared" si="54"/>
        <v>154.31199999999998</v>
      </c>
      <c r="P66" s="947">
        <f t="shared" si="46"/>
        <v>17</v>
      </c>
      <c r="Q66" s="947">
        <f>13*D66*E66+4*D66</f>
        <v>17</v>
      </c>
      <c r="R66" s="947">
        <f t="shared" si="55"/>
        <v>0</v>
      </c>
      <c r="S66" s="947">
        <f t="shared" si="47"/>
        <v>34.951999999999998</v>
      </c>
      <c r="T66" s="947">
        <f>Q66*2.056</f>
        <v>34.951999999999998</v>
      </c>
      <c r="U66" s="947">
        <f>R66*2.5</f>
        <v>0</v>
      </c>
      <c r="V66" s="947">
        <f t="shared" si="48"/>
        <v>1</v>
      </c>
      <c r="W66" s="947">
        <f>V66*2</f>
        <v>2</v>
      </c>
      <c r="X66" s="947">
        <f>L66*M66</f>
        <v>268.79999999999995</v>
      </c>
      <c r="Y66" s="950">
        <f>$L66*$M66</f>
        <v>268.79999999999995</v>
      </c>
      <c r="Z66" s="947">
        <f t="shared" si="50"/>
        <v>440.79999999999995</v>
      </c>
      <c r="AA66" s="960">
        <f t="shared" si="51"/>
        <v>33.36</v>
      </c>
      <c r="AB66" s="961">
        <f t="shared" si="52"/>
        <v>68.8</v>
      </c>
      <c r="AC66" s="917"/>
      <c r="AD66" s="917"/>
      <c r="AE66" s="476"/>
      <c r="AF66" s="476"/>
      <c r="AG66" s="50"/>
      <c r="AH66" s="50"/>
      <c r="AI66" s="50"/>
      <c r="AJ66" s="50"/>
      <c r="AK66" s="50"/>
      <c r="AL66" s="50"/>
      <c r="AM66" s="50"/>
      <c r="AN66" s="50"/>
      <c r="AO66" s="50"/>
      <c r="AP66" s="50"/>
      <c r="AQ66" s="50"/>
      <c r="AR66" s="50"/>
      <c r="AS66" s="50"/>
      <c r="AT66" s="50"/>
    </row>
    <row r="67" spans="1:46" ht="15" customHeight="1" x14ac:dyDescent="0.25">
      <c r="A67" s="945" t="s">
        <v>1549</v>
      </c>
      <c r="B67" s="946"/>
      <c r="C67" s="945" t="s">
        <v>1549</v>
      </c>
      <c r="D67" s="947">
        <f>IF('Ввод исходных данных'!$D$14='Серии планировка'!A67,'Ввод исходных данных'!$D$19,1)</f>
        <v>1</v>
      </c>
      <c r="E67" s="947">
        <f>IF('Ввод исходных данных'!$D$14='Серии планировка'!A67,'Ввод исходных данных'!$D$17,1)</f>
        <v>1</v>
      </c>
      <c r="F67" s="947">
        <f>L67*M67*D67</f>
        <v>291.64799999999997</v>
      </c>
      <c r="G67" s="947">
        <f>215*D67*E67</f>
        <v>215</v>
      </c>
      <c r="H67" s="947">
        <f>132*D67*E67</f>
        <v>132</v>
      </c>
      <c r="I67" s="947">
        <f t="shared" si="59"/>
        <v>76.647999999999968</v>
      </c>
      <c r="J67" s="947">
        <f t="shared" si="45"/>
        <v>2.78</v>
      </c>
      <c r="K67" s="947">
        <v>2.78</v>
      </c>
      <c r="L67" s="947">
        <f>22.4*E67</f>
        <v>22.4</v>
      </c>
      <c r="M67" s="947">
        <v>13.02</v>
      </c>
      <c r="N67" s="947">
        <f>2*(L67+M67)*J67</f>
        <v>196.93520000000001</v>
      </c>
      <c r="O67" s="948">
        <f t="shared" si="54"/>
        <v>168.2072</v>
      </c>
      <c r="P67" s="947">
        <f t="shared" si="46"/>
        <v>13</v>
      </c>
      <c r="Q67" s="947">
        <f>13*D67*E67</f>
        <v>13</v>
      </c>
      <c r="R67" s="947">
        <f t="shared" si="55"/>
        <v>0</v>
      </c>
      <c r="S67" s="947">
        <f t="shared" si="47"/>
        <v>26.728000000000002</v>
      </c>
      <c r="T67" s="947">
        <f>Q67*2.056</f>
        <v>26.728000000000002</v>
      </c>
      <c r="U67" s="947">
        <f>R67*2.5</f>
        <v>0</v>
      </c>
      <c r="V67" s="947">
        <f t="shared" si="48"/>
        <v>1</v>
      </c>
      <c r="W67" s="947">
        <f>V67*2</f>
        <v>2</v>
      </c>
      <c r="X67" s="947">
        <f>L67*M67</f>
        <v>291.64799999999997</v>
      </c>
      <c r="Y67" s="950">
        <f>$L67*$M67</f>
        <v>291.64799999999997</v>
      </c>
      <c r="Z67" s="947">
        <f t="shared" si="50"/>
        <v>468.74799999999999</v>
      </c>
      <c r="AA67" s="960">
        <f t="shared" si="51"/>
        <v>36.195599999999999</v>
      </c>
      <c r="AB67" s="961">
        <f t="shared" si="52"/>
        <v>70.84</v>
      </c>
      <c r="AC67" s="917"/>
      <c r="AD67" s="917"/>
      <c r="AE67" s="476"/>
      <c r="AF67" s="476"/>
      <c r="AG67" s="50"/>
      <c r="AH67" s="50"/>
      <c r="AI67" s="50"/>
      <c r="AJ67" s="50"/>
      <c r="AK67" s="50"/>
      <c r="AL67" s="50"/>
      <c r="AM67" s="50"/>
      <c r="AN67" s="50"/>
      <c r="AO67" s="50"/>
      <c r="AP67" s="50"/>
      <c r="AQ67" s="50"/>
      <c r="AR67" s="50"/>
      <c r="AS67" s="50"/>
      <c r="AT67" s="50"/>
    </row>
    <row r="68" spans="1:46" s="926" customFormat="1" ht="15" customHeight="1" x14ac:dyDescent="0.25">
      <c r="A68" s="945" t="s">
        <v>1381</v>
      </c>
      <c r="B68" s="946"/>
      <c r="C68" s="945" t="s">
        <v>1381</v>
      </c>
      <c r="D68" s="947">
        <f>IF('Ввод исходных данных'!$D$14='Серии планировка'!A68,'Ввод исходных данных'!$D$19,1)</f>
        <v>1</v>
      </c>
      <c r="E68" s="947">
        <f>IF('Ввод исходных данных'!$D$14='Серии планировка'!A68,'Ввод исходных данных'!$D$17,1)</f>
        <v>1</v>
      </c>
      <c r="F68" s="947">
        <f t="shared" ref="F68:F73" si="60">L68*M68*D68</f>
        <v>268.79999999999995</v>
      </c>
      <c r="G68" s="947">
        <f>242.2*D68*E68-IF(E68&gt;2,3.2*12*2*D68,0)</f>
        <v>242.2</v>
      </c>
      <c r="H68" s="947">
        <f>140*D68*E68-IF(E68&gt;2,3.2*12*2*D68,0)*3/4</f>
        <v>140</v>
      </c>
      <c r="I68" s="947">
        <f t="shared" si="59"/>
        <v>26.599999999999966</v>
      </c>
      <c r="J68" s="947">
        <f t="shared" si="45"/>
        <v>2.78</v>
      </c>
      <c r="K68" s="947">
        <v>2.78</v>
      </c>
      <c r="L68" s="947">
        <f>IF(E68&gt;2,(E68-2)*25.6+2*22.4,E68*22.4)</f>
        <v>22.4</v>
      </c>
      <c r="M68" s="947">
        <v>12</v>
      </c>
      <c r="N68" s="948">
        <f>2*(L68+M68)*J68</f>
        <v>191.26399999999998</v>
      </c>
      <c r="O68" s="948">
        <f t="shared" si="54"/>
        <v>143.02399999999997</v>
      </c>
      <c r="P68" s="947">
        <f t="shared" si="46"/>
        <v>12</v>
      </c>
      <c r="Q68" s="948">
        <f>IF(E68&gt;2,(E68-2)*14*D68+2*12*D68,12*D68)</f>
        <v>12</v>
      </c>
      <c r="R68" s="947">
        <f t="shared" si="55"/>
        <v>0</v>
      </c>
      <c r="S68" s="947">
        <f t="shared" si="47"/>
        <v>42.24</v>
      </c>
      <c r="T68" s="947">
        <f>Q68*3.52</f>
        <v>42.24</v>
      </c>
      <c r="U68" s="947">
        <f>R68*1.23</f>
        <v>0</v>
      </c>
      <c r="V68" s="947">
        <f t="shared" si="48"/>
        <v>1</v>
      </c>
      <c r="W68" s="947">
        <f>V68*6</f>
        <v>6</v>
      </c>
      <c r="X68" s="954">
        <v>1221.3</v>
      </c>
      <c r="Y68" s="954">
        <v>1221.3</v>
      </c>
      <c r="Z68" s="947">
        <f t="shared" si="50"/>
        <v>1393.3</v>
      </c>
      <c r="AA68" s="947">
        <f t="shared" si="51"/>
        <v>33.36</v>
      </c>
      <c r="AB68" s="947">
        <f t="shared" si="52"/>
        <v>68.8</v>
      </c>
      <c r="AC68" s="50"/>
      <c r="AD68" s="50"/>
      <c r="AE68" s="50"/>
      <c r="AF68" s="50"/>
      <c r="AG68" s="50"/>
      <c r="AH68" s="50"/>
      <c r="AI68" s="50"/>
      <c r="AJ68" s="50"/>
      <c r="AK68" s="50"/>
      <c r="AL68" s="50"/>
      <c r="AM68" s="50"/>
      <c r="AN68" s="50"/>
      <c r="AO68" s="50"/>
      <c r="AP68" s="50"/>
      <c r="AQ68" s="50"/>
      <c r="AR68" s="50"/>
      <c r="AS68" s="50"/>
      <c r="AT68" s="50"/>
    </row>
    <row r="69" spans="1:46" s="926" customFormat="1" ht="12" customHeight="1" x14ac:dyDescent="0.25">
      <c r="A69" s="962" t="s">
        <v>1382</v>
      </c>
      <c r="B69" s="946"/>
      <c r="C69" s="962" t="s">
        <v>1382</v>
      </c>
      <c r="D69" s="947">
        <f>IF('Ввод исходных данных'!$D$14='Серии планировка'!A69,'Ввод исходных данных'!$D$19,1)</f>
        <v>1</v>
      </c>
      <c r="E69" s="947">
        <f>IF('Ввод исходных данных'!$D$14='Серии планировка'!A69,'Ввод исходных данных'!$D$17,1)</f>
        <v>1</v>
      </c>
      <c r="F69" s="947">
        <f t="shared" si="60"/>
        <v>391.5</v>
      </c>
      <c r="G69" s="947">
        <f>303.4*$D69*$E69</f>
        <v>303.39999999999998</v>
      </c>
      <c r="H69" s="947">
        <f>191*$D69*$E69</f>
        <v>191</v>
      </c>
      <c r="I69" s="947">
        <f t="shared" si="59"/>
        <v>88.100000000000023</v>
      </c>
      <c r="J69" s="947">
        <f t="shared" si="45"/>
        <v>3.13</v>
      </c>
      <c r="K69" s="947">
        <v>3.13</v>
      </c>
      <c r="L69" s="947">
        <f>29*E69</f>
        <v>29</v>
      </c>
      <c r="M69" s="947">
        <v>13.5</v>
      </c>
      <c r="N69" s="947">
        <f>(M69+L69)*2*J69</f>
        <v>266.05</v>
      </c>
      <c r="O69" s="948">
        <f t="shared" si="54"/>
        <v>204.19</v>
      </c>
      <c r="P69" s="947">
        <f t="shared" si="46"/>
        <v>21</v>
      </c>
      <c r="Q69" s="947">
        <f>9*D69*E69+8*D69*E69+4*D69</f>
        <v>21</v>
      </c>
      <c r="R69" s="947">
        <f t="shared" si="55"/>
        <v>0</v>
      </c>
      <c r="S69" s="947">
        <f t="shared" si="47"/>
        <v>55.86</v>
      </c>
      <c r="T69" s="948">
        <f>2.66*Q69</f>
        <v>55.86</v>
      </c>
      <c r="U69" s="948">
        <f>28/12*R69</f>
        <v>0</v>
      </c>
      <c r="V69" s="948">
        <f t="shared" si="48"/>
        <v>1</v>
      </c>
      <c r="W69" s="948">
        <f>6*E69</f>
        <v>6</v>
      </c>
      <c r="X69" s="948">
        <f>392*E69</f>
        <v>392</v>
      </c>
      <c r="Y69" s="950">
        <f>392*E69</f>
        <v>392</v>
      </c>
      <c r="Z69" s="947">
        <f t="shared" si="50"/>
        <v>604.5</v>
      </c>
      <c r="AA69" s="947">
        <f t="shared" si="51"/>
        <v>42.254999999999995</v>
      </c>
      <c r="AB69" s="947">
        <f t="shared" si="52"/>
        <v>85</v>
      </c>
      <c r="AC69" s="50"/>
      <c r="AD69" s="50"/>
      <c r="AE69" s="50"/>
      <c r="AF69" s="50"/>
      <c r="AG69" s="50"/>
      <c r="AH69" s="50"/>
      <c r="AI69" s="50"/>
      <c r="AJ69" s="50"/>
      <c r="AK69" s="50"/>
      <c r="AL69" s="50"/>
      <c r="AM69" s="50"/>
      <c r="AN69" s="50"/>
      <c r="AO69" s="50"/>
      <c r="AP69" s="50"/>
      <c r="AQ69" s="50"/>
      <c r="AR69" s="50"/>
      <c r="AS69" s="50"/>
      <c r="AT69" s="50"/>
    </row>
    <row r="70" spans="1:46" s="926" customFormat="1" ht="12" customHeight="1" x14ac:dyDescent="0.25">
      <c r="A70" s="957" t="s">
        <v>1383</v>
      </c>
      <c r="B70" s="946"/>
      <c r="C70" s="957" t="s">
        <v>1383</v>
      </c>
      <c r="D70" s="947">
        <f>IF('Ввод исходных данных'!$D$14='Серии планировка'!A70,'Ввод исходных данных'!$D$19,1)</f>
        <v>1</v>
      </c>
      <c r="E70" s="947">
        <f>IF('Ввод исходных данных'!$D$14='Серии планировка'!A70,'Ввод исходных данных'!$D$17,1)</f>
        <v>1</v>
      </c>
      <c r="F70" s="948">
        <f t="shared" si="60"/>
        <v>235</v>
      </c>
      <c r="G70" s="948">
        <f>IF(E70&gt;2,2*157.7+(E70-2)*183.4,E70*157.7)*D70</f>
        <v>157.69999999999999</v>
      </c>
      <c r="H70" s="947">
        <f>IF(E70&gt;2,2*109.3+(E70-2)*129.2,E70*109.3)*D70</f>
        <v>109.3</v>
      </c>
      <c r="I70" s="947">
        <f t="shared" si="59"/>
        <v>77.300000000000011</v>
      </c>
      <c r="J70" s="947">
        <f t="shared" si="45"/>
        <v>3.22</v>
      </c>
      <c r="K70" s="947">
        <v>3.22</v>
      </c>
      <c r="L70" s="947">
        <f>E70*18.8</f>
        <v>18.8</v>
      </c>
      <c r="M70" s="947">
        <v>12.5</v>
      </c>
      <c r="N70" s="947">
        <f>(M70+L70)*2*J70</f>
        <v>201.572</v>
      </c>
      <c r="O70" s="948">
        <f t="shared" si="54"/>
        <v>163.27199999999999</v>
      </c>
      <c r="P70" s="947">
        <f t="shared" si="46"/>
        <v>17</v>
      </c>
      <c r="Q70" s="948">
        <f>(6+7)*D70*E70+2*2*D70</f>
        <v>17</v>
      </c>
      <c r="R70" s="947">
        <f t="shared" si="55"/>
        <v>0</v>
      </c>
      <c r="S70" s="948">
        <f t="shared" si="47"/>
        <v>32.299999999999997</v>
      </c>
      <c r="T70" s="948">
        <f>1.9*Q70</f>
        <v>32.299999999999997</v>
      </c>
      <c r="U70" s="948">
        <f>2.2*R70</f>
        <v>0</v>
      </c>
      <c r="V70" s="948">
        <f t="shared" si="48"/>
        <v>1</v>
      </c>
      <c r="W70" s="948">
        <f>6*E70</f>
        <v>6</v>
      </c>
      <c r="X70" s="948">
        <f>220.5*E70</f>
        <v>220.5</v>
      </c>
      <c r="Y70" s="950">
        <f>220.5*E70</f>
        <v>220.5</v>
      </c>
      <c r="Z70" s="947">
        <f t="shared" si="50"/>
        <v>377</v>
      </c>
      <c r="AA70" s="947">
        <f t="shared" si="51"/>
        <v>40.25</v>
      </c>
      <c r="AB70" s="947">
        <f t="shared" si="52"/>
        <v>62.6</v>
      </c>
      <c r="AC70" s="50"/>
      <c r="AD70" s="50"/>
      <c r="AE70" s="50"/>
      <c r="AF70" s="50"/>
      <c r="AG70" s="50"/>
      <c r="AH70" s="50"/>
      <c r="AI70" s="50"/>
      <c r="AJ70" s="50"/>
      <c r="AK70" s="50"/>
      <c r="AL70" s="50"/>
      <c r="AM70" s="50"/>
      <c r="AN70" s="50"/>
      <c r="AO70" s="50"/>
      <c r="AP70" s="50"/>
      <c r="AQ70" s="50"/>
      <c r="AR70" s="50"/>
      <c r="AS70" s="50"/>
      <c r="AT70" s="50"/>
    </row>
    <row r="71" spans="1:46" s="926" customFormat="1" ht="12" customHeight="1" x14ac:dyDescent="0.25">
      <c r="A71" s="963" t="s">
        <v>1384</v>
      </c>
      <c r="B71" s="946"/>
      <c r="C71" s="963" t="s">
        <v>1384</v>
      </c>
      <c r="D71" s="947">
        <f>IF('Ввод исходных данных'!$D$14='Серии планировка'!A71,'Ввод исходных данных'!$D$19,1)</f>
        <v>1</v>
      </c>
      <c r="E71" s="947">
        <f>IF('Ввод исходных данных'!$D$14='Серии планировка'!A71,'Ввод исходных данных'!$D$17,1)</f>
        <v>1</v>
      </c>
      <c r="F71" s="948">
        <f t="shared" si="60"/>
        <v>252.51900000000003</v>
      </c>
      <c r="G71" s="948">
        <f>200.52*$D71*$E71</f>
        <v>200.52</v>
      </c>
      <c r="H71" s="947">
        <f>134.6*$D71*$E71</f>
        <v>134.6</v>
      </c>
      <c r="I71" s="947">
        <f t="shared" si="59"/>
        <v>51.999000000000024</v>
      </c>
      <c r="J71" s="947">
        <f t="shared" si="45"/>
        <v>3.1</v>
      </c>
      <c r="K71" s="947">
        <v>3.1</v>
      </c>
      <c r="L71" s="947">
        <f>20.53*E71</f>
        <v>20.53</v>
      </c>
      <c r="M71" s="947">
        <v>12.3</v>
      </c>
      <c r="N71" s="947">
        <f>(M71+L71)*2*J71</f>
        <v>203.54599999999999</v>
      </c>
      <c r="O71" s="948">
        <f t="shared" si="54"/>
        <v>158.95599999999999</v>
      </c>
      <c r="P71" s="947">
        <f t="shared" si="46"/>
        <v>17</v>
      </c>
      <c r="Q71" s="947">
        <f>13*D71*E71+2*2*D71</f>
        <v>17</v>
      </c>
      <c r="R71" s="947">
        <f t="shared" si="55"/>
        <v>0</v>
      </c>
      <c r="S71" s="948">
        <f t="shared" si="47"/>
        <v>38.590000000000003</v>
      </c>
      <c r="T71" s="964">
        <f>2.27*Q71</f>
        <v>38.590000000000003</v>
      </c>
      <c r="U71" s="948">
        <f>2.2*R71</f>
        <v>0</v>
      </c>
      <c r="V71" s="948">
        <f t="shared" si="48"/>
        <v>1</v>
      </c>
      <c r="W71" s="948">
        <f>6*E71</f>
        <v>6</v>
      </c>
      <c r="X71" s="948">
        <f>269*E71</f>
        <v>269</v>
      </c>
      <c r="Y71" s="950">
        <f>269*E71</f>
        <v>269</v>
      </c>
      <c r="Z71" s="947">
        <f t="shared" si="50"/>
        <v>433.15</v>
      </c>
      <c r="AA71" s="947">
        <f t="shared" si="51"/>
        <v>38.130000000000003</v>
      </c>
      <c r="AB71" s="947">
        <f t="shared" si="52"/>
        <v>65.66</v>
      </c>
      <c r="AC71" s="50"/>
      <c r="AD71" s="50"/>
      <c r="AE71" s="50"/>
      <c r="AF71" s="50"/>
      <c r="AG71" s="50"/>
      <c r="AH71" s="50"/>
      <c r="AI71" s="50"/>
      <c r="AJ71" s="50"/>
      <c r="AK71" s="50"/>
      <c r="AL71" s="50"/>
      <c r="AM71" s="50"/>
      <c r="AN71" s="50"/>
      <c r="AO71" s="50"/>
      <c r="AP71" s="50"/>
      <c r="AQ71" s="50"/>
      <c r="AR71" s="50"/>
      <c r="AS71" s="50"/>
      <c r="AT71" s="50"/>
    </row>
    <row r="72" spans="1:46" s="926" customFormat="1" ht="12" customHeight="1" x14ac:dyDescent="0.25">
      <c r="A72" s="963" t="s">
        <v>1430</v>
      </c>
      <c r="B72" s="946"/>
      <c r="C72" s="963" t="s">
        <v>1430</v>
      </c>
      <c r="D72" s="947">
        <f>IF('Ввод исходных данных'!$D$14='Серии планировка'!A72,'Ввод исходных данных'!$D$19,1)</f>
        <v>1</v>
      </c>
      <c r="E72" s="947">
        <f>IF('Ввод исходных данных'!$D$14='Серии планировка'!A72,'Ввод исходных данных'!$D$17,1)</f>
        <v>1</v>
      </c>
      <c r="F72" s="948">
        <f t="shared" si="60"/>
        <v>560</v>
      </c>
      <c r="G72" s="948">
        <f>IF(E72=1,333*D72,D72*(333+314.1))</f>
        <v>333</v>
      </c>
      <c r="H72" s="947">
        <f>IF(E72=1,208*D72,(208+176.3)*D72)</f>
        <v>208</v>
      </c>
      <c r="I72" s="947">
        <f t="shared" si="59"/>
        <v>227</v>
      </c>
      <c r="J72" s="947">
        <f t="shared" si="45"/>
        <v>3.1</v>
      </c>
      <c r="K72" s="947">
        <v>3.1</v>
      </c>
      <c r="L72" s="947">
        <f>35*E72</f>
        <v>35</v>
      </c>
      <c r="M72" s="947">
        <f>16</f>
        <v>16</v>
      </c>
      <c r="N72" s="947">
        <f>(M72+L72)*2*J72</f>
        <v>316.2</v>
      </c>
      <c r="O72" s="948">
        <f t="shared" si="54"/>
        <v>279</v>
      </c>
      <c r="P72" s="947">
        <f t="shared" si="46"/>
        <v>13</v>
      </c>
      <c r="Q72" s="948">
        <f>IF(E72=1,13*D72,(13+11)*D72)</f>
        <v>13</v>
      </c>
      <c r="R72" s="947">
        <f t="shared" si="55"/>
        <v>0</v>
      </c>
      <c r="S72" s="948">
        <f t="shared" si="47"/>
        <v>31.2</v>
      </c>
      <c r="T72" s="948">
        <f>2.4*Q72</f>
        <v>31.2</v>
      </c>
      <c r="U72" s="948">
        <f>2.5*R72</f>
        <v>0</v>
      </c>
      <c r="V72" s="948">
        <f t="shared" si="48"/>
        <v>1</v>
      </c>
      <c r="W72" s="948">
        <f>6*E72</f>
        <v>6</v>
      </c>
      <c r="X72" s="948">
        <f>L72*M72</f>
        <v>560</v>
      </c>
      <c r="Y72" s="950">
        <f>$L72*$M72</f>
        <v>560</v>
      </c>
      <c r="Z72" s="947">
        <f t="shared" si="50"/>
        <v>815</v>
      </c>
      <c r="AA72" s="947">
        <f t="shared" si="51"/>
        <v>49.6</v>
      </c>
      <c r="AB72" s="947">
        <f t="shared" si="52"/>
        <v>102</v>
      </c>
      <c r="AC72" s="50"/>
      <c r="AD72" s="50"/>
      <c r="AE72" s="50"/>
      <c r="AF72" s="50"/>
      <c r="AG72" s="50"/>
      <c r="AH72" s="50"/>
      <c r="AI72" s="50"/>
      <c r="AJ72" s="50"/>
      <c r="AK72" s="50"/>
      <c r="AL72" s="50"/>
      <c r="AM72" s="50"/>
      <c r="AN72" s="50"/>
      <c r="AO72" s="50"/>
      <c r="AP72" s="50"/>
      <c r="AQ72" s="50"/>
      <c r="AR72" s="50"/>
      <c r="AS72" s="50"/>
      <c r="AT72" s="50"/>
    </row>
    <row r="73" spans="1:46" s="926" customFormat="1" ht="13.5" customHeight="1" x14ac:dyDescent="0.25">
      <c r="A73" s="953" t="s">
        <v>609</v>
      </c>
      <c r="B73" s="946"/>
      <c r="C73" s="953" t="s">
        <v>609</v>
      </c>
      <c r="D73" s="947">
        <f>IF('Ввод исходных данных'!$D$14='Серии планировка'!A73,'Ввод исходных данных'!$D$19,1)</f>
        <v>1</v>
      </c>
      <c r="E73" s="947">
        <f>IF('Ввод исходных данных'!$D$14='Серии планировка'!A73,'Ввод исходных данных'!$D$17,1)</f>
        <v>1</v>
      </c>
      <c r="F73" s="948">
        <f t="shared" si="60"/>
        <v>400.40000000000003</v>
      </c>
      <c r="G73" s="948">
        <f>309.24*D73*E73*1.077</f>
        <v>333.05147999999997</v>
      </c>
      <c r="H73" s="947">
        <f>182.2*E73*D73</f>
        <v>182.2</v>
      </c>
      <c r="I73" s="947">
        <f t="shared" si="59"/>
        <v>67.348520000000065</v>
      </c>
      <c r="J73" s="947">
        <f t="shared" si="45"/>
        <v>3.2</v>
      </c>
      <c r="K73" s="947">
        <v>3.2</v>
      </c>
      <c r="L73" s="947">
        <f>28.6*E73</f>
        <v>28.6</v>
      </c>
      <c r="M73" s="947">
        <v>14</v>
      </c>
      <c r="N73" s="948">
        <f>2*(L73+M73)*J73</f>
        <v>272.64000000000004</v>
      </c>
      <c r="O73" s="948">
        <f t="shared" si="54"/>
        <v>213.44000000000005</v>
      </c>
      <c r="P73" s="947">
        <f t="shared" si="46"/>
        <v>20</v>
      </c>
      <c r="Q73" s="948">
        <f>(8+9)*D73*E73+(1+2)*D73</f>
        <v>20</v>
      </c>
      <c r="R73" s="947">
        <f t="shared" si="55"/>
        <v>0</v>
      </c>
      <c r="S73" s="948">
        <f t="shared" si="47"/>
        <v>53.2</v>
      </c>
      <c r="T73" s="948">
        <f>2.66*Q73</f>
        <v>53.2</v>
      </c>
      <c r="U73" s="948">
        <f>2.33*R73</f>
        <v>0</v>
      </c>
      <c r="V73" s="948">
        <f t="shared" si="48"/>
        <v>1</v>
      </c>
      <c r="W73" s="948">
        <f>6*V73</f>
        <v>6</v>
      </c>
      <c r="X73" s="948">
        <f>$L73*$M73</f>
        <v>400.40000000000003</v>
      </c>
      <c r="Y73" s="950">
        <f>$L73*$M73</f>
        <v>400.40000000000003</v>
      </c>
      <c r="Z73" s="947">
        <f t="shared" si="50"/>
        <v>613.40000000000009</v>
      </c>
      <c r="AA73" s="947">
        <f t="shared" si="51"/>
        <v>44.800000000000004</v>
      </c>
      <c r="AB73" s="947">
        <f t="shared" si="52"/>
        <v>85.2</v>
      </c>
      <c r="AC73" s="50"/>
      <c r="AD73" s="50"/>
      <c r="AE73" s="50"/>
      <c r="AF73" s="50"/>
      <c r="AG73" s="50"/>
      <c r="AH73" s="50"/>
      <c r="AI73" s="50"/>
      <c r="AJ73" s="50"/>
      <c r="AK73" s="50"/>
      <c r="AL73" s="50"/>
      <c r="AM73" s="50"/>
      <c r="AN73" s="50"/>
      <c r="AO73" s="50"/>
      <c r="AP73" s="50"/>
      <c r="AQ73" s="50"/>
      <c r="AR73" s="50"/>
      <c r="AS73" s="50"/>
      <c r="AT73" s="50"/>
    </row>
    <row r="74" spans="1:46" s="926" customFormat="1" ht="12" customHeight="1" x14ac:dyDescent="0.25">
      <c r="A74" s="953" t="s">
        <v>1353</v>
      </c>
      <c r="B74" s="946"/>
      <c r="C74" s="953" t="s">
        <v>1353</v>
      </c>
      <c r="D74" s="947">
        <f>IF('Ввод исходных данных'!$D$14='Серии планировка'!A74,'Ввод исходных данных'!$D$19,1)</f>
        <v>1</v>
      </c>
      <c r="E74" s="947">
        <f>IF('Ввод исходных данных'!$D$14='Серии планировка'!A74,'Ввод исходных данных'!$D$17,1)</f>
        <v>1</v>
      </c>
      <c r="F74" s="958">
        <f>L74*M74*$D74*0.98-28.5*D74*E74</f>
        <v>323.35919999999993</v>
      </c>
      <c r="G74" s="959">
        <f>253*$D74*$E74</f>
        <v>253</v>
      </c>
      <c r="H74" s="958">
        <f>153.4*$D74*$E74</f>
        <v>153.4</v>
      </c>
      <c r="I74" s="958">
        <f t="shared" si="59"/>
        <v>70.35919999999993</v>
      </c>
      <c r="J74" s="947">
        <f t="shared" si="45"/>
        <v>3.2</v>
      </c>
      <c r="K74" s="947">
        <v>3.2</v>
      </c>
      <c r="L74" s="947">
        <f>26.4*E74</f>
        <v>26.4</v>
      </c>
      <c r="M74" s="947">
        <v>13.6</v>
      </c>
      <c r="N74" s="948">
        <f>2*(L74+M74)*J74</f>
        <v>256</v>
      </c>
      <c r="O74" s="948">
        <f t="shared" si="54"/>
        <v>210.43</v>
      </c>
      <c r="P74" s="947">
        <f t="shared" si="46"/>
        <v>15</v>
      </c>
      <c r="Q74" s="948">
        <f>14*D74*E74</f>
        <v>14</v>
      </c>
      <c r="R74" s="948">
        <f>2*D74*E74-E74</f>
        <v>1</v>
      </c>
      <c r="S74" s="959">
        <f t="shared" si="47"/>
        <v>39.57</v>
      </c>
      <c r="T74" s="959">
        <f>2.66*Q74</f>
        <v>37.24</v>
      </c>
      <c r="U74" s="959">
        <f>2.33*R74</f>
        <v>2.33</v>
      </c>
      <c r="V74" s="948">
        <f t="shared" si="48"/>
        <v>1</v>
      </c>
      <c r="W74" s="948">
        <f>6*V74</f>
        <v>6</v>
      </c>
      <c r="X74" s="948">
        <f>L74*M74</f>
        <v>359.03999999999996</v>
      </c>
      <c r="Y74" s="950">
        <f>$L74*$M74</f>
        <v>359.03999999999996</v>
      </c>
      <c r="Z74" s="947">
        <f t="shared" si="50"/>
        <v>559.04</v>
      </c>
      <c r="AA74" s="947">
        <f t="shared" si="51"/>
        <v>43.52</v>
      </c>
      <c r="AB74" s="947">
        <f t="shared" si="52"/>
        <v>80</v>
      </c>
      <c r="AC74" s="50"/>
      <c r="AD74" s="50"/>
      <c r="AE74" s="50"/>
      <c r="AF74" s="50"/>
      <c r="AG74" s="50"/>
      <c r="AH74" s="50"/>
      <c r="AI74" s="50"/>
      <c r="AJ74" s="50"/>
      <c r="AK74" s="50"/>
      <c r="AL74" s="50"/>
      <c r="AM74" s="50"/>
      <c r="AN74" s="50"/>
      <c r="AO74" s="50"/>
      <c r="AP74" s="50"/>
      <c r="AQ74" s="50"/>
      <c r="AR74" s="50"/>
      <c r="AS74" s="50"/>
      <c r="AT74" s="50"/>
    </row>
    <row r="75" spans="1:46" x14ac:dyDescent="0.25">
      <c r="A75" s="50"/>
      <c r="B75" s="50" t="s">
        <v>1483</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row>
    <row r="76" spans="1:46" x14ac:dyDescent="0.25">
      <c r="A76" s="965"/>
      <c r="B76" s="965"/>
      <c r="C76" s="965" t="str">
        <f>B2</f>
        <v>Нет в списке</v>
      </c>
      <c r="D76" s="965">
        <f>'Ввод исходных данных'!D19</f>
        <v>0</v>
      </c>
      <c r="E76" s="965">
        <f>'Ввод исходных данных'!D17</f>
        <v>0</v>
      </c>
      <c r="F76" s="965" t="e">
        <f>IFERROR(VLOOKUP($B$2,$C$7:$AB$51,F2,0),VLOOKUP('Ввод исходных данных'!$D$14,'Серии планировка'!$C$55:$AB$74,'Серии планировка'!F2,0))</f>
        <v>#N/A</v>
      </c>
      <c r="G76" s="965" t="e">
        <f>IFERROR(VLOOKUP($B$2,$C$7:$AB$51,G2,0),VLOOKUP('Ввод исходных данных'!$D$14,'Серии планировка'!$C$55:$AB$74,'Серии планировка'!G2,0))</f>
        <v>#N/A</v>
      </c>
      <c r="H76" s="965" t="e">
        <f>IFERROR(VLOOKUP($B$2,$C$7:$AB$51,H2,0),VLOOKUP('Ввод исходных данных'!$D$14,'Серии планировка'!$C$55:$AB$74,'Серии планировка'!H2,0))</f>
        <v>#N/A</v>
      </c>
      <c r="I76" s="965" t="e">
        <f>F76-G76</f>
        <v>#N/A</v>
      </c>
      <c r="J76" s="965">
        <f>IFERROR(IFERROR(VLOOKUP($B$2,$C$7:$AB$51,J2,0),VLOOKUP('Ввод исходных данных'!$D$14,'Серии планировка'!$C$55:$AB$74,'Серии планировка'!J2,0)),'Ввод исходных данных'!G60)</f>
        <v>0</v>
      </c>
      <c r="K76" s="965" t="e">
        <f>IFERROR(VLOOKUP($B$2,$C$7:$AB$51,K2,0),VLOOKUP('Ввод исходных данных'!$D$14,'Серии планировка'!$C$55:$AB$74,'Серии планировка'!K2,0))</f>
        <v>#N/A</v>
      </c>
      <c r="L76" s="965" t="e">
        <f>IFERROR(VLOOKUP($B$2,$C$7:$AB$51,L2,0),VLOOKUP('Ввод исходных данных'!$D$14,'Серии планировка'!$C$55:$AB$74,'Серии планировка'!L2,0))</f>
        <v>#N/A</v>
      </c>
      <c r="M76" s="965" t="e">
        <f>IFERROR(VLOOKUP($B$2,$C$7:$AB$51,M2,0),VLOOKUP('Ввод исходных данных'!$D$14,'Серии планировка'!$C$55:$AB$74,'Серии планировка'!M2,0))</f>
        <v>#N/A</v>
      </c>
      <c r="N76" s="965" t="e">
        <f>IFERROR(VLOOKUP($B$2,$C$7:$AB$51,N2,0),VLOOKUP('Ввод исходных данных'!$D$14,'Серии планировка'!$C$55:$AB$74,'Серии планировка'!N2,0))</f>
        <v>#N/A</v>
      </c>
      <c r="O76" s="965" t="e">
        <f>IFERROR(VLOOKUP($B$2,$C$7:$AB$51,O2,0),VLOOKUP('Ввод исходных данных'!$D$14,'Серии планировка'!$C$55:$AB$74,'Серии планировка'!O2,0))</f>
        <v>#N/A</v>
      </c>
      <c r="P76" s="965" t="e">
        <f>Q76+R76</f>
        <v>#N/A</v>
      </c>
      <c r="Q76" s="965" t="e">
        <f>IFERROR(VLOOKUP($B$2,$C$7:$AB$51,Q2,0),VLOOKUP('Ввод исходных данных'!$D$14,'Серии планировка'!$C$55:$AB$74,'Серии планировка'!Q2,0))</f>
        <v>#N/A</v>
      </c>
      <c r="R76" s="965" t="e">
        <f>IFERROR(VLOOKUP($B$2,$C$7:$AB$51,R2,0),VLOOKUP('Ввод исходных данных'!$D$14,'Серии планировка'!$C$55:$AB$74,'Серии планировка'!R2,0))</f>
        <v>#N/A</v>
      </c>
      <c r="S76" s="965" t="e">
        <f>T76+U76</f>
        <v>#N/A</v>
      </c>
      <c r="T76" s="965" t="e">
        <f>IFERROR(VLOOKUP($B$2,$C$7:$AB$51,T2,0),VLOOKUP('Ввод исходных данных'!$D$14,'Серии планировка'!$C$55:$AB$74,'Серии планировка'!T2,0))</f>
        <v>#N/A</v>
      </c>
      <c r="U76" s="965" t="e">
        <f>IFERROR(VLOOKUP($B$2,$C$7:$AB$51,U2,0),VLOOKUP('Ввод исходных данных'!$D$14,'Серии планировка'!$C$55:$AB$74,'Серии планировка'!U2,0))</f>
        <v>#N/A</v>
      </c>
      <c r="V76" s="965" t="e">
        <f>IFERROR(VLOOKUP($B$2,$C$7:$AB$51,V2,0),VLOOKUP('Ввод исходных данных'!$D$14,'Серии планировка'!$C$55:$AB$74,'Серии планировка'!V2,0))</f>
        <v>#N/A</v>
      </c>
      <c r="W76" s="965" t="e">
        <f>IFERROR(VLOOKUP($B$2,$C$7:$AB$51,W2,0),VLOOKUP('Ввод исходных данных'!$D$14,'Серии планировка'!$C$55:$AB$74,'Серии планировка'!W2,0))</f>
        <v>#N/A</v>
      </c>
      <c r="X76" s="965" t="e">
        <f>IFERROR(VLOOKUP($B$2,$C$7:$AB$51,X2,0),VLOOKUP('Ввод исходных данных'!$D$14,'Серии планировка'!$C$55:$AB$74,'Серии планировка'!X2,0))</f>
        <v>#N/A</v>
      </c>
      <c r="Y76" s="965" t="e">
        <f>X76</f>
        <v>#N/A</v>
      </c>
      <c r="Z76" s="966" t="e">
        <f>Y76+(L76+M76)*2*2.5</f>
        <v>#N/A</v>
      </c>
      <c r="AA76" s="966" t="e">
        <f t="shared" si="51"/>
        <v>#N/A</v>
      </c>
      <c r="AB76" s="966">
        <f>('Ввод исходных данных'!G58+'Ввод исходных данных'!G59)*2</f>
        <v>0</v>
      </c>
      <c r="AC76" s="50"/>
      <c r="AD76" s="50"/>
      <c r="AE76" s="50"/>
      <c r="AF76" s="50"/>
      <c r="AG76" s="50"/>
      <c r="AH76" s="50"/>
      <c r="AI76" s="50"/>
      <c r="AJ76" s="50"/>
      <c r="AK76" s="50"/>
      <c r="AL76" s="50"/>
      <c r="AM76" s="50"/>
      <c r="AN76" s="50"/>
      <c r="AO76" s="50"/>
      <c r="AP76" s="50"/>
      <c r="AQ76" s="50"/>
      <c r="AR76" s="50"/>
      <c r="AS76" s="50"/>
      <c r="AT76" s="50"/>
    </row>
    <row r="77" spans="1:46" x14ac:dyDescent="0.25">
      <c r="A77" s="50"/>
      <c r="B77" s="2447" t="s">
        <v>2001</v>
      </c>
      <c r="C77" s="2447"/>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row>
    <row r="78" spans="1:46" x14ac:dyDescent="0.25">
      <c r="A78" s="50"/>
      <c r="B78" s="1353" t="s">
        <v>2002</v>
      </c>
      <c r="C78" s="1429">
        <f>'Ввод исходных данных'!D45</f>
        <v>0</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row>
    <row r="79" spans="1:46" x14ac:dyDescent="0.25">
      <c r="A79" s="50"/>
      <c r="B79" s="1353" t="s">
        <v>2003</v>
      </c>
      <c r="C79" s="1429">
        <f>0.8*C78-'Ввод исходных данных'!D23</f>
        <v>0</v>
      </c>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row>
    <row r="80" spans="1:46" x14ac:dyDescent="0.25">
      <c r="A80" s="50"/>
      <c r="B80" s="1353" t="s">
        <v>2004</v>
      </c>
      <c r="C80" s="1429">
        <f>0.6*C79</f>
        <v>0</v>
      </c>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row>
    <row r="81" spans="1:46" x14ac:dyDescent="0.25">
      <c r="A81" s="50"/>
      <c r="B81" s="1430" t="s">
        <v>2005</v>
      </c>
      <c r="C81" s="1429">
        <f>'Ввод исходных данных'!D23</f>
        <v>0</v>
      </c>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row>
    <row r="82" spans="1:46" x14ac:dyDescent="0.25">
      <c r="A82" s="50"/>
      <c r="B82" s="1353" t="s">
        <v>2006</v>
      </c>
      <c r="C82" s="1429" t="e">
        <f>((0.684-0.015*'Ввод исходных данных'!D19-0.021*'Ввод исходных данных'!D17+0.014*'Ввод исходных данных'!D19/'Ввод исходных данных'!D17+0.07*IF(списки!D38=1,1,0)-0.145*IF(списки!D39=1,1,0)+0.126*IF('Ввод исходных данных'!D12&gt;=1960,1,0))*C78-списки!D44*14*3*'Ввод исходных данных'!D19-списки!D45*14*3*'Ввод исходных данных'!D19)*IF(списки!D46=1,3.5/3,1)</f>
        <v>#DIV/0!</v>
      </c>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row>
    <row r="83" spans="1:46" x14ac:dyDescent="0.25">
      <c r="A83" s="50"/>
      <c r="B83" s="1353" t="s">
        <v>2007</v>
      </c>
      <c r="C83" s="1429" t="e">
        <f>C82-C84-C97</f>
        <v>#DIV/0!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row>
    <row r="84" spans="1:46" x14ac:dyDescent="0.25">
      <c r="A84" s="50"/>
      <c r="B84" s="1353" t="s">
        <v>2008</v>
      </c>
      <c r="C84" s="1429" t="e">
        <f>C86+C88+C90</f>
        <v>#DIV/0!</v>
      </c>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row>
    <row r="85" spans="1:46" x14ac:dyDescent="0.25">
      <c r="A85" s="50"/>
      <c r="B85" s="1431" t="s">
        <v>2009</v>
      </c>
      <c r="C85" s="1429">
        <f>'Ввод исходных данных'!D47</f>
        <v>0</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row>
    <row r="86" spans="1:46" x14ac:dyDescent="0.25">
      <c r="A86" s="50"/>
      <c r="B86" s="1432" t="s">
        <v>2010</v>
      </c>
      <c r="C86" s="1429" t="e">
        <f>0.9*0.2*C82-C81/(C78/'Ввод исходных данных'!D19)*(0.2*C82)/'Ввод исходных данных'!D19</f>
        <v>#DIV/0!</v>
      </c>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row>
    <row r="87" spans="1:46" x14ac:dyDescent="0.25">
      <c r="A87" s="50"/>
      <c r="B87" s="1431" t="s">
        <v>2011</v>
      </c>
      <c r="C87" s="1429">
        <f>'Ввод исходных данных'!D46</f>
        <v>0</v>
      </c>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row>
    <row r="88" spans="1:46" x14ac:dyDescent="0.25">
      <c r="B88" s="1433" t="s">
        <v>2012</v>
      </c>
      <c r="C88" s="1429">
        <f>C87*2</f>
        <v>0</v>
      </c>
    </row>
    <row r="89" spans="1:46" x14ac:dyDescent="0.25">
      <c r="B89" s="1431" t="s">
        <v>2013</v>
      </c>
      <c r="C89" s="1429">
        <f>'Ввод исходных данных'!D48</f>
        <v>0</v>
      </c>
    </row>
    <row r="90" spans="1:46" x14ac:dyDescent="0.25">
      <c r="B90" s="1433" t="s">
        <v>2014</v>
      </c>
      <c r="C90" s="1429" t="e">
        <f>IF(списки!D48=0,C81/(C78/'Ввод исходных данных'!D19)*(0.2*C82)/'Ввод исходных данных'!D19,2*C81/(C78/'Ввод исходных данных'!D19)*(0.2*C82)/'Ввод исходных данных'!D19)</f>
        <v>#DIV/0!</v>
      </c>
    </row>
    <row r="91" spans="1:46" x14ac:dyDescent="0.25">
      <c r="B91" s="1353" t="s">
        <v>2015</v>
      </c>
      <c r="C91" s="1429" t="e">
        <f>IF(списки!D31=0,'Серии планировка'!C78/'Ввод исходных данных'!D19,0)</f>
        <v>#DIV/0!</v>
      </c>
    </row>
    <row r="92" spans="1:46" x14ac:dyDescent="0.25">
      <c r="B92" s="1353" t="s">
        <v>2016</v>
      </c>
      <c r="C92" s="1429">
        <f>IF(AND(списки!D31=1,списки!D32=0),'Серии планировка'!C78/'Ввод исходных данных'!D19,0)</f>
        <v>0</v>
      </c>
    </row>
    <row r="93" spans="1:46" x14ac:dyDescent="0.25">
      <c r="B93" s="1353" t="s">
        <v>2017</v>
      </c>
      <c r="C93" s="1429">
        <f>IF(AND(списки!D31=1,списки!D32=1),'Серии планировка'!C78/'Ввод исходных данных'!D19,0)</f>
        <v>0</v>
      </c>
    </row>
    <row r="94" spans="1:46" x14ac:dyDescent="0.25">
      <c r="B94" s="1353" t="s">
        <v>2018</v>
      </c>
      <c r="C94" s="1429">
        <f>IF(AND(списки!D33=1,списки!D34=0),'Серии планировка'!C78/'Ввод исходных данных'!D19,0)</f>
        <v>0</v>
      </c>
    </row>
    <row r="95" spans="1:46" x14ac:dyDescent="0.25">
      <c r="B95" s="1353" t="s">
        <v>2019</v>
      </c>
      <c r="C95" s="1429" t="e">
        <f>IF(OR(списки!D33=0,списки!D34=1),'Серии планировка'!C78/'Ввод исходных данных'!D19,0)*1.5</f>
        <v>#DIV/0!</v>
      </c>
    </row>
    <row r="96" spans="1:46" x14ac:dyDescent="0.25">
      <c r="B96" s="1430" t="s">
        <v>1300</v>
      </c>
      <c r="C96" s="1429">
        <f>'Ввод исходных данных'!D17</f>
        <v>0</v>
      </c>
    </row>
    <row r="97" spans="2:3" x14ac:dyDescent="0.25">
      <c r="B97" s="1353" t="s">
        <v>2020</v>
      </c>
      <c r="C97" s="1429">
        <f>C96*2.5</f>
        <v>0</v>
      </c>
    </row>
    <row r="98" spans="2:3" x14ac:dyDescent="0.25">
      <c r="B98" s="1430" t="s">
        <v>2021</v>
      </c>
      <c r="C98" s="1429" t="e">
        <f>C101/C99</f>
        <v>#DIV/0!</v>
      </c>
    </row>
    <row r="99" spans="2:3" x14ac:dyDescent="0.25">
      <c r="B99" s="1430" t="s">
        <v>2022</v>
      </c>
      <c r="C99" s="1429">
        <f>IF(списки!D46=1,15,13)</f>
        <v>13</v>
      </c>
    </row>
    <row r="100" spans="2:3" x14ac:dyDescent="0.25">
      <c r="B100" s="1430" t="s">
        <v>2023</v>
      </c>
      <c r="C100" s="1429">
        <f>IF(списки!D46=1,3.5*'Ввод исходных данных'!D19,3*'Ввод исходных данных'!D19)</f>
        <v>0</v>
      </c>
    </row>
    <row r="101" spans="2:3" x14ac:dyDescent="0.25">
      <c r="B101" s="1430" t="s">
        <v>2024</v>
      </c>
      <c r="C101" s="1429" t="e">
        <f>'Серии планировка'!C78/'Ввод исходных данных'!D19</f>
        <v>#DIV/0!</v>
      </c>
    </row>
  </sheetData>
  <sheetProtection password="ECB1" sheet="1" objects="1" scenarios="1"/>
  <sortState ref="A163:BN204">
    <sortCondition ref="C163:C204"/>
  </sortState>
  <mergeCells count="3">
    <mergeCell ref="B6:F6"/>
    <mergeCell ref="A1:M1"/>
    <mergeCell ref="B77:C7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7"/>
  <sheetViews>
    <sheetView zoomScale="75" zoomScaleNormal="75" workbookViewId="0">
      <selection activeCell="D103" sqref="D103"/>
    </sheetView>
  </sheetViews>
  <sheetFormatPr defaultColWidth="9.140625" defaultRowHeight="15" x14ac:dyDescent="0.25"/>
  <cols>
    <col min="1" max="1" width="38.28515625" style="51" customWidth="1"/>
    <col min="2" max="2" width="15.140625" style="51" customWidth="1"/>
    <col min="3" max="3" width="15.5703125" style="51" customWidth="1"/>
    <col min="4" max="4" width="14.7109375" style="51" customWidth="1"/>
    <col min="5" max="5" width="15.140625" style="51" customWidth="1"/>
    <col min="6" max="6" width="16.140625" style="51" customWidth="1"/>
    <col min="7" max="7" width="37.42578125" style="51" customWidth="1"/>
    <col min="8" max="8" width="10" style="51" customWidth="1"/>
    <col min="9" max="9" width="12.85546875" style="51" customWidth="1"/>
    <col min="10" max="10" width="13.42578125" style="51" customWidth="1"/>
    <col min="11" max="11" width="14.28515625" style="51" customWidth="1"/>
    <col min="12" max="12" width="12.28515625" style="51" customWidth="1"/>
    <col min="13" max="13" width="13.140625" style="51" customWidth="1"/>
    <col min="14" max="14" width="15.28515625" style="51" customWidth="1"/>
    <col min="15" max="15" width="12.7109375" style="51" customWidth="1"/>
    <col min="16" max="16" width="11.28515625" style="51" customWidth="1"/>
    <col min="17" max="17" width="15.5703125" style="51" customWidth="1"/>
    <col min="18" max="18" width="15.7109375" style="51" customWidth="1"/>
    <col min="19" max="19" width="11.7109375" style="51" customWidth="1"/>
    <col min="20" max="20" width="13.140625" style="51" customWidth="1"/>
    <col min="21" max="21" width="11.42578125" style="51" customWidth="1"/>
    <col min="22" max="22" width="12.42578125" style="51" customWidth="1"/>
    <col min="23" max="23" width="14.140625" style="51" customWidth="1"/>
    <col min="24" max="24" width="12.42578125" style="51" customWidth="1"/>
    <col min="25" max="25" width="12.5703125" style="51" customWidth="1"/>
    <col min="26" max="26" width="16" style="51" customWidth="1"/>
    <col min="27" max="27" width="11.5703125" style="51" customWidth="1"/>
    <col min="28" max="28" width="13.42578125" style="51" customWidth="1"/>
    <col min="29" max="29" width="15.28515625" style="51" customWidth="1"/>
    <col min="30" max="30" width="12.42578125" style="51" customWidth="1"/>
    <col min="31" max="31" width="14.140625" style="51" customWidth="1"/>
    <col min="32" max="32" width="14.85546875" style="51" customWidth="1"/>
    <col min="33" max="33" width="12" style="51" customWidth="1"/>
    <col min="34" max="34" width="13.42578125" style="51" customWidth="1"/>
    <col min="35" max="35" width="14.85546875" style="51" customWidth="1"/>
    <col min="36" max="36" width="11.7109375" style="51" customWidth="1"/>
    <col min="37" max="37" width="12.5703125" style="51" customWidth="1"/>
    <col min="38" max="38" width="16" style="51" customWidth="1"/>
    <col min="39" max="39" width="12.7109375" style="51" customWidth="1"/>
    <col min="40" max="40" width="12.42578125" style="51" customWidth="1"/>
    <col min="41" max="41" width="13.85546875" style="51" customWidth="1"/>
    <col min="42" max="42" width="12.5703125" style="51" customWidth="1"/>
    <col min="43" max="44" width="13.28515625" style="51" customWidth="1"/>
    <col min="45" max="45" width="9.140625" style="51"/>
    <col min="46" max="46" width="12.140625" style="51" customWidth="1"/>
    <col min="47" max="16384" width="9.140625" style="51"/>
  </cols>
  <sheetData>
    <row r="1" spans="1:67"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row>
    <row r="2" spans="1:67"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row>
    <row r="3" spans="1:67" ht="34.5" customHeight="1" thickBot="1" x14ac:dyDescent="0.3">
      <c r="A3" s="2483" t="s">
        <v>1156</v>
      </c>
      <c r="B3" s="2483"/>
      <c r="C3" s="2483"/>
      <c r="D3" s="2483"/>
      <c r="E3" s="2483"/>
      <c r="F3" s="265"/>
      <c r="G3" s="267" t="s">
        <v>1157</v>
      </c>
      <c r="H3" s="267"/>
      <c r="I3" s="267"/>
      <c r="J3" s="267"/>
      <c r="K3" s="268"/>
      <c r="L3" s="268"/>
      <c r="M3" s="268"/>
      <c r="N3" s="268"/>
      <c r="O3" s="268"/>
      <c r="P3" s="268"/>
      <c r="Q3" s="268"/>
      <c r="R3" s="268"/>
      <c r="S3" s="268"/>
      <c r="T3" s="268"/>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50"/>
      <c r="AT3" s="50"/>
      <c r="AU3" s="50"/>
      <c r="AV3" s="50"/>
      <c r="AW3" s="50"/>
      <c r="AX3" s="50"/>
      <c r="AY3" s="50"/>
      <c r="AZ3" s="50"/>
      <c r="BA3" s="50"/>
      <c r="BB3" s="50"/>
      <c r="BC3" s="50"/>
      <c r="BD3" s="50"/>
      <c r="BE3" s="50"/>
      <c r="BF3" s="50"/>
      <c r="BG3" s="50"/>
      <c r="BH3" s="50"/>
      <c r="BI3" s="50"/>
      <c r="BJ3" s="50"/>
      <c r="BK3" s="50"/>
      <c r="BL3" s="50"/>
      <c r="BM3" s="50"/>
      <c r="BN3" s="50"/>
      <c r="BO3" s="50"/>
    </row>
    <row r="4" spans="1:67" ht="69" customHeight="1" x14ac:dyDescent="0.25">
      <c r="A4" s="2458" t="s">
        <v>829</v>
      </c>
      <c r="B4" s="2460" t="s">
        <v>1158</v>
      </c>
      <c r="C4" s="2484" t="s">
        <v>1159</v>
      </c>
      <c r="D4" s="2475" t="s">
        <v>1160</v>
      </c>
      <c r="E4" s="2455" t="s">
        <v>1161</v>
      </c>
      <c r="F4" s="50"/>
      <c r="G4" s="2458" t="s">
        <v>829</v>
      </c>
      <c r="H4" s="2460" t="s">
        <v>1158</v>
      </c>
      <c r="I4" s="2451" t="s">
        <v>488</v>
      </c>
      <c r="J4" s="2470"/>
      <c r="K4" s="2452"/>
      <c r="L4" s="2451" t="s">
        <v>489</v>
      </c>
      <c r="M4" s="2470"/>
      <c r="N4" s="2452"/>
      <c r="O4" s="2451" t="s">
        <v>490</v>
      </c>
      <c r="P4" s="2470"/>
      <c r="Q4" s="2452"/>
      <c r="R4" s="2451" t="s">
        <v>491</v>
      </c>
      <c r="S4" s="2470"/>
      <c r="T4" s="2452"/>
      <c r="U4" s="2451" t="s">
        <v>800</v>
      </c>
      <c r="V4" s="2470"/>
      <c r="W4" s="2452"/>
      <c r="X4" s="2451" t="s">
        <v>801</v>
      </c>
      <c r="Y4" s="2470"/>
      <c r="Z4" s="2452"/>
      <c r="AA4" s="2451" t="s">
        <v>802</v>
      </c>
      <c r="AB4" s="2470"/>
      <c r="AC4" s="2452"/>
      <c r="AD4" s="2451" t="s">
        <v>803</v>
      </c>
      <c r="AE4" s="2470"/>
      <c r="AF4" s="2452"/>
      <c r="AG4" s="2451" t="s">
        <v>804</v>
      </c>
      <c r="AH4" s="2470"/>
      <c r="AI4" s="2452"/>
      <c r="AJ4" s="2451" t="s">
        <v>482</v>
      </c>
      <c r="AK4" s="2470"/>
      <c r="AL4" s="2452"/>
      <c r="AM4" s="2451" t="s">
        <v>486</v>
      </c>
      <c r="AN4" s="2470"/>
      <c r="AO4" s="2452"/>
      <c r="AP4" s="2479" t="s">
        <v>487</v>
      </c>
      <c r="AQ4" s="2480"/>
      <c r="AR4" s="2481"/>
      <c r="AS4" s="50"/>
      <c r="AT4" s="50"/>
      <c r="AU4" s="50"/>
      <c r="AV4" s="50"/>
      <c r="AW4" s="50"/>
      <c r="AX4" s="50"/>
      <c r="AY4" s="50"/>
      <c r="AZ4" s="50"/>
      <c r="BA4" s="50"/>
      <c r="BB4" s="50"/>
      <c r="BC4" s="50"/>
      <c r="BD4" s="50"/>
      <c r="BE4" s="50"/>
      <c r="BF4" s="50"/>
      <c r="BG4" s="50"/>
      <c r="BH4" s="50"/>
      <c r="BI4" s="50"/>
      <c r="BJ4" s="50"/>
      <c r="BK4" s="50"/>
      <c r="BL4" s="50"/>
      <c r="BM4" s="50"/>
      <c r="BN4" s="50"/>
      <c r="BO4" s="50"/>
    </row>
    <row r="5" spans="1:67" ht="72.95" customHeight="1" thickBot="1" x14ac:dyDescent="0.3">
      <c r="A5" s="2459"/>
      <c r="B5" s="2461"/>
      <c r="C5" s="2485"/>
      <c r="D5" s="2476"/>
      <c r="E5" s="2456"/>
      <c r="F5" s="50"/>
      <c r="G5" s="2459"/>
      <c r="H5" s="2461"/>
      <c r="I5" s="480" t="s">
        <v>1159</v>
      </c>
      <c r="J5" s="481" t="s">
        <v>1160</v>
      </c>
      <c r="K5" s="482" t="s">
        <v>1163</v>
      </c>
      <c r="L5" s="480" t="s">
        <v>1159</v>
      </c>
      <c r="M5" s="481" t="s">
        <v>1160</v>
      </c>
      <c r="N5" s="482" t="s">
        <v>1163</v>
      </c>
      <c r="O5" s="480" t="s">
        <v>1159</v>
      </c>
      <c r="P5" s="481" t="s">
        <v>1160</v>
      </c>
      <c r="Q5" s="482" t="s">
        <v>1163</v>
      </c>
      <c r="R5" s="480" t="s">
        <v>1159</v>
      </c>
      <c r="S5" s="481" t="s">
        <v>1160</v>
      </c>
      <c r="T5" s="482" t="s">
        <v>1163</v>
      </c>
      <c r="U5" s="480" t="s">
        <v>1159</v>
      </c>
      <c r="V5" s="481" t="s">
        <v>1160</v>
      </c>
      <c r="W5" s="482" t="s">
        <v>1163</v>
      </c>
      <c r="X5" s="480" t="s">
        <v>1159</v>
      </c>
      <c r="Y5" s="481" t="s">
        <v>1160</v>
      </c>
      <c r="Z5" s="482" t="s">
        <v>1163</v>
      </c>
      <c r="AA5" s="480" t="s">
        <v>1159</v>
      </c>
      <c r="AB5" s="481" t="s">
        <v>1160</v>
      </c>
      <c r="AC5" s="482" t="s">
        <v>1163</v>
      </c>
      <c r="AD5" s="480" t="s">
        <v>1159</v>
      </c>
      <c r="AE5" s="481" t="s">
        <v>1160</v>
      </c>
      <c r="AF5" s="482" t="s">
        <v>1163</v>
      </c>
      <c r="AG5" s="480" t="s">
        <v>1159</v>
      </c>
      <c r="AH5" s="481" t="s">
        <v>1160</v>
      </c>
      <c r="AI5" s="482" t="s">
        <v>1163</v>
      </c>
      <c r="AJ5" s="480" t="s">
        <v>1159</v>
      </c>
      <c r="AK5" s="481" t="s">
        <v>1160</v>
      </c>
      <c r="AL5" s="482" t="s">
        <v>1163</v>
      </c>
      <c r="AM5" s="480" t="s">
        <v>1159</v>
      </c>
      <c r="AN5" s="481" t="s">
        <v>1160</v>
      </c>
      <c r="AO5" s="482" t="s">
        <v>1163</v>
      </c>
      <c r="AP5" s="483" t="s">
        <v>1159</v>
      </c>
      <c r="AQ5" s="287" t="s">
        <v>1160</v>
      </c>
      <c r="AR5" s="288" t="s">
        <v>1163</v>
      </c>
      <c r="AS5" s="50"/>
      <c r="AT5" s="50"/>
      <c r="AU5" s="50"/>
      <c r="AV5" s="50"/>
      <c r="AW5" s="50"/>
      <c r="AX5" s="50"/>
      <c r="AY5" s="50"/>
      <c r="AZ5" s="50"/>
      <c r="BA5" s="50"/>
      <c r="BB5" s="50"/>
      <c r="BC5" s="50"/>
      <c r="BD5" s="50"/>
      <c r="BE5" s="50"/>
      <c r="BF5" s="50"/>
      <c r="BG5" s="50"/>
      <c r="BH5" s="50"/>
      <c r="BI5" s="50"/>
      <c r="BJ5" s="50"/>
      <c r="BK5" s="50"/>
      <c r="BL5" s="50"/>
      <c r="BM5" s="50"/>
      <c r="BN5" s="50"/>
      <c r="BO5" s="50"/>
    </row>
    <row r="6" spans="1:67" ht="30" customHeight="1" x14ac:dyDescent="0.25">
      <c r="A6" s="484" t="s">
        <v>1162</v>
      </c>
      <c r="B6" s="485" t="s">
        <v>837</v>
      </c>
      <c r="C6" s="486" t="e">
        <f ca="1">C12+C15+C18</f>
        <v>#N/A</v>
      </c>
      <c r="D6" s="487">
        <f ca="1">D12+D15+D18</f>
        <v>0</v>
      </c>
      <c r="E6" s="488">
        <f ca="1">E12+E15+E18</f>
        <v>0</v>
      </c>
      <c r="F6" s="50"/>
      <c r="G6" s="489" t="s">
        <v>1162</v>
      </c>
      <c r="H6" s="490" t="s">
        <v>837</v>
      </c>
      <c r="I6" s="295" t="e">
        <f t="shared" ref="I6:AR6" ca="1" si="0">I12+I15+I18</f>
        <v>#N/A</v>
      </c>
      <c r="J6" s="491">
        <f t="shared" ca="1" si="0"/>
        <v>0</v>
      </c>
      <c r="K6" s="492">
        <f t="shared" ca="1" si="0"/>
        <v>0</v>
      </c>
      <c r="L6" s="295" t="e">
        <f t="shared" ca="1" si="0"/>
        <v>#N/A</v>
      </c>
      <c r="M6" s="491">
        <f t="shared" ca="1" si="0"/>
        <v>0</v>
      </c>
      <c r="N6" s="492">
        <f t="shared" ca="1" si="0"/>
        <v>0</v>
      </c>
      <c r="O6" s="493" t="e">
        <f t="shared" ca="1" si="0"/>
        <v>#N/A</v>
      </c>
      <c r="P6" s="494">
        <f t="shared" ca="1" si="0"/>
        <v>0</v>
      </c>
      <c r="Q6" s="495">
        <f t="shared" ca="1" si="0"/>
        <v>0</v>
      </c>
      <c r="R6" s="295" t="e">
        <f t="shared" ca="1" si="0"/>
        <v>#N/A</v>
      </c>
      <c r="S6" s="491">
        <f t="shared" ca="1" si="0"/>
        <v>0</v>
      </c>
      <c r="T6" s="492">
        <f t="shared" ca="1" si="0"/>
        <v>0</v>
      </c>
      <c r="U6" s="493" t="e">
        <f t="shared" si="0"/>
        <v>#N/A</v>
      </c>
      <c r="V6" s="494">
        <f t="shared" ca="1" si="0"/>
        <v>0</v>
      </c>
      <c r="W6" s="495">
        <f t="shared" ca="1" si="0"/>
        <v>0</v>
      </c>
      <c r="X6" s="295" t="e">
        <f t="shared" si="0"/>
        <v>#N/A</v>
      </c>
      <c r="Y6" s="491">
        <f t="shared" ca="1" si="0"/>
        <v>0</v>
      </c>
      <c r="Z6" s="492">
        <f t="shared" ca="1" si="0"/>
        <v>0</v>
      </c>
      <c r="AA6" s="493" t="e">
        <f t="shared" si="0"/>
        <v>#N/A</v>
      </c>
      <c r="AB6" s="494">
        <f t="shared" ca="1" si="0"/>
        <v>0</v>
      </c>
      <c r="AC6" s="495">
        <f t="shared" ca="1" si="0"/>
        <v>0</v>
      </c>
      <c r="AD6" s="295" t="e">
        <f t="shared" si="0"/>
        <v>#N/A</v>
      </c>
      <c r="AE6" s="491">
        <f t="shared" ca="1" si="0"/>
        <v>0</v>
      </c>
      <c r="AF6" s="492">
        <f t="shared" ca="1" si="0"/>
        <v>0</v>
      </c>
      <c r="AG6" s="295" t="e">
        <f t="shared" si="0"/>
        <v>#N/A</v>
      </c>
      <c r="AH6" s="491">
        <f t="shared" ca="1" si="0"/>
        <v>0</v>
      </c>
      <c r="AI6" s="492">
        <f t="shared" ca="1" si="0"/>
        <v>0</v>
      </c>
      <c r="AJ6" s="295" t="e">
        <f t="shared" ca="1" si="0"/>
        <v>#N/A</v>
      </c>
      <c r="AK6" s="491">
        <f t="shared" ca="1" si="0"/>
        <v>0</v>
      </c>
      <c r="AL6" s="492">
        <f t="shared" ca="1" si="0"/>
        <v>0</v>
      </c>
      <c r="AM6" s="295" t="e">
        <f t="shared" ca="1" si="0"/>
        <v>#N/A</v>
      </c>
      <c r="AN6" s="491">
        <f t="shared" ca="1" si="0"/>
        <v>0</v>
      </c>
      <c r="AO6" s="492">
        <f t="shared" ca="1" si="0"/>
        <v>0</v>
      </c>
      <c r="AP6" s="496" t="e">
        <f t="shared" ca="1" si="0"/>
        <v>#N/A</v>
      </c>
      <c r="AQ6" s="497">
        <f t="shared" ca="1" si="0"/>
        <v>0</v>
      </c>
      <c r="AR6" s="497">
        <f t="shared" ca="1" si="0"/>
        <v>0</v>
      </c>
      <c r="AS6" s="50"/>
      <c r="AT6" s="50"/>
      <c r="AU6" s="50"/>
      <c r="AV6" s="50"/>
      <c r="AW6" s="50"/>
      <c r="AX6" s="50"/>
      <c r="AY6" s="50"/>
      <c r="AZ6" s="50"/>
      <c r="BA6" s="50"/>
      <c r="BB6" s="50"/>
      <c r="BC6" s="50"/>
      <c r="BD6" s="50"/>
      <c r="BE6" s="50"/>
      <c r="BF6" s="50"/>
      <c r="BG6" s="50"/>
      <c r="BH6" s="50"/>
      <c r="BI6" s="50"/>
      <c r="BJ6" s="50"/>
      <c r="BK6" s="50"/>
      <c r="BL6" s="50"/>
      <c r="BM6" s="50"/>
      <c r="BN6" s="50"/>
      <c r="BO6" s="50"/>
    </row>
    <row r="7" spans="1:67" ht="19.5" customHeight="1" x14ac:dyDescent="0.25">
      <c r="A7" s="320" t="s">
        <v>868</v>
      </c>
      <c r="B7" s="321" t="s">
        <v>1164</v>
      </c>
      <c r="C7" s="498" t="e">
        <f ca="1">C6*0.123/1000</f>
        <v>#N/A</v>
      </c>
      <c r="D7" s="499">
        <f ca="1">D6*0.123/1000</f>
        <v>0</v>
      </c>
      <c r="E7" s="500">
        <f ca="1">E6*0.123/1000</f>
        <v>0</v>
      </c>
      <c r="F7" s="50"/>
      <c r="G7" s="501" t="s">
        <v>868</v>
      </c>
      <c r="H7" s="502" t="s">
        <v>1164</v>
      </c>
      <c r="I7" s="498" t="e">
        <f t="shared" ref="I7:AR7" ca="1" si="1">I6*0.123/1000</f>
        <v>#N/A</v>
      </c>
      <c r="J7" s="499">
        <f t="shared" ca="1" si="1"/>
        <v>0</v>
      </c>
      <c r="K7" s="500">
        <f t="shared" ca="1" si="1"/>
        <v>0</v>
      </c>
      <c r="L7" s="498" t="e">
        <f t="shared" ca="1" si="1"/>
        <v>#N/A</v>
      </c>
      <c r="M7" s="499">
        <f t="shared" ca="1" si="1"/>
        <v>0</v>
      </c>
      <c r="N7" s="500">
        <f t="shared" ca="1" si="1"/>
        <v>0</v>
      </c>
      <c r="O7" s="498" t="e">
        <f t="shared" ca="1" si="1"/>
        <v>#N/A</v>
      </c>
      <c r="P7" s="499">
        <f t="shared" ca="1" si="1"/>
        <v>0</v>
      </c>
      <c r="Q7" s="500">
        <f t="shared" ca="1" si="1"/>
        <v>0</v>
      </c>
      <c r="R7" s="498" t="e">
        <f t="shared" ca="1" si="1"/>
        <v>#N/A</v>
      </c>
      <c r="S7" s="499">
        <f t="shared" ca="1" si="1"/>
        <v>0</v>
      </c>
      <c r="T7" s="500">
        <f t="shared" ca="1" si="1"/>
        <v>0</v>
      </c>
      <c r="U7" s="498" t="e">
        <f t="shared" si="1"/>
        <v>#N/A</v>
      </c>
      <c r="V7" s="499">
        <f t="shared" ca="1" si="1"/>
        <v>0</v>
      </c>
      <c r="W7" s="500">
        <f t="shared" ca="1" si="1"/>
        <v>0</v>
      </c>
      <c r="X7" s="498" t="e">
        <f t="shared" si="1"/>
        <v>#N/A</v>
      </c>
      <c r="Y7" s="499">
        <f t="shared" ca="1" si="1"/>
        <v>0</v>
      </c>
      <c r="Z7" s="500">
        <f t="shared" ca="1" si="1"/>
        <v>0</v>
      </c>
      <c r="AA7" s="498" t="e">
        <f t="shared" si="1"/>
        <v>#N/A</v>
      </c>
      <c r="AB7" s="499">
        <f t="shared" ca="1" si="1"/>
        <v>0</v>
      </c>
      <c r="AC7" s="503">
        <f t="shared" ca="1" si="1"/>
        <v>0</v>
      </c>
      <c r="AD7" s="498" t="e">
        <f t="shared" si="1"/>
        <v>#N/A</v>
      </c>
      <c r="AE7" s="499">
        <f t="shared" ca="1" si="1"/>
        <v>0</v>
      </c>
      <c r="AF7" s="500">
        <f t="shared" ca="1" si="1"/>
        <v>0</v>
      </c>
      <c r="AG7" s="498" t="e">
        <f t="shared" si="1"/>
        <v>#N/A</v>
      </c>
      <c r="AH7" s="499">
        <f t="shared" ca="1" si="1"/>
        <v>0</v>
      </c>
      <c r="AI7" s="500">
        <f t="shared" ca="1" si="1"/>
        <v>0</v>
      </c>
      <c r="AJ7" s="498" t="e">
        <f t="shared" ca="1" si="1"/>
        <v>#N/A</v>
      </c>
      <c r="AK7" s="499">
        <f t="shared" ca="1" si="1"/>
        <v>0</v>
      </c>
      <c r="AL7" s="500">
        <f t="shared" ca="1" si="1"/>
        <v>0</v>
      </c>
      <c r="AM7" s="498" t="e">
        <f t="shared" ca="1" si="1"/>
        <v>#N/A</v>
      </c>
      <c r="AN7" s="499">
        <f t="shared" ca="1" si="1"/>
        <v>0</v>
      </c>
      <c r="AO7" s="500">
        <f t="shared" ca="1" si="1"/>
        <v>0</v>
      </c>
      <c r="AP7" s="504" t="e">
        <f t="shared" ca="1" si="1"/>
        <v>#N/A</v>
      </c>
      <c r="AQ7" s="499">
        <f t="shared" ca="1" si="1"/>
        <v>0</v>
      </c>
      <c r="AR7" s="500">
        <f t="shared" ca="1" si="1"/>
        <v>0</v>
      </c>
      <c r="AS7" s="50"/>
      <c r="AT7" s="50"/>
      <c r="AU7" s="50"/>
      <c r="AV7" s="50"/>
      <c r="AW7" s="50"/>
      <c r="AX7" s="50"/>
      <c r="AY7" s="50"/>
      <c r="AZ7" s="50"/>
      <c r="BA7" s="50"/>
      <c r="BB7" s="50"/>
      <c r="BC7" s="50"/>
      <c r="BD7" s="50"/>
      <c r="BE7" s="50"/>
      <c r="BF7" s="50"/>
      <c r="BG7" s="50"/>
      <c r="BH7" s="50"/>
      <c r="BI7" s="50"/>
      <c r="BJ7" s="50"/>
      <c r="BK7" s="50"/>
      <c r="BL7" s="50"/>
      <c r="BM7" s="50"/>
      <c r="BN7" s="50"/>
      <c r="BO7" s="50"/>
    </row>
    <row r="8" spans="1:67" ht="14.25" customHeight="1" thickBot="1" x14ac:dyDescent="0.3">
      <c r="A8" s="347" t="s">
        <v>868</v>
      </c>
      <c r="B8" s="348" t="s">
        <v>1165</v>
      </c>
      <c r="C8" s="505" t="e">
        <f ca="1">C14+C17+C19</f>
        <v>#N/A</v>
      </c>
      <c r="D8" s="505" t="e">
        <f ca="1">D14+D17+D19</f>
        <v>#DIV/0!</v>
      </c>
      <c r="E8" s="505"/>
      <c r="F8" s="50"/>
      <c r="G8" s="506" t="s">
        <v>868</v>
      </c>
      <c r="H8" s="507" t="s">
        <v>1165</v>
      </c>
      <c r="I8" s="508" t="e">
        <f t="shared" ref="I8:AR8" ca="1" si="2">I6/I$6</f>
        <v>#N/A</v>
      </c>
      <c r="J8" s="509" t="e">
        <f t="shared" ca="1" si="2"/>
        <v>#DIV/0!</v>
      </c>
      <c r="K8" s="510" t="e">
        <f t="shared" ca="1" si="2"/>
        <v>#DIV/0!</v>
      </c>
      <c r="L8" s="508" t="e">
        <f t="shared" ca="1" si="2"/>
        <v>#N/A</v>
      </c>
      <c r="M8" s="509" t="e">
        <f t="shared" ca="1" si="2"/>
        <v>#DIV/0!</v>
      </c>
      <c r="N8" s="510" t="e">
        <f t="shared" ca="1" si="2"/>
        <v>#DIV/0!</v>
      </c>
      <c r="O8" s="511" t="e">
        <f t="shared" ca="1" si="2"/>
        <v>#N/A</v>
      </c>
      <c r="P8" s="512" t="e">
        <f t="shared" ca="1" si="2"/>
        <v>#DIV/0!</v>
      </c>
      <c r="Q8" s="513" t="e">
        <f t="shared" ca="1" si="2"/>
        <v>#DIV/0!</v>
      </c>
      <c r="R8" s="508" t="e">
        <f t="shared" ca="1" si="2"/>
        <v>#N/A</v>
      </c>
      <c r="S8" s="509" t="e">
        <f t="shared" ca="1" si="2"/>
        <v>#DIV/0!</v>
      </c>
      <c r="T8" s="510" t="e">
        <f t="shared" ca="1" si="2"/>
        <v>#DIV/0!</v>
      </c>
      <c r="U8" s="511" t="e">
        <f t="shared" si="2"/>
        <v>#N/A</v>
      </c>
      <c r="V8" s="512" t="e">
        <f t="shared" ca="1" si="2"/>
        <v>#DIV/0!</v>
      </c>
      <c r="W8" s="513" t="e">
        <f t="shared" ca="1" si="2"/>
        <v>#DIV/0!</v>
      </c>
      <c r="X8" s="508" t="e">
        <f t="shared" si="2"/>
        <v>#N/A</v>
      </c>
      <c r="Y8" s="509" t="e">
        <f t="shared" ca="1" si="2"/>
        <v>#DIV/0!</v>
      </c>
      <c r="Z8" s="510" t="e">
        <f t="shared" ca="1" si="2"/>
        <v>#DIV/0!</v>
      </c>
      <c r="AA8" s="511" t="e">
        <f t="shared" si="2"/>
        <v>#N/A</v>
      </c>
      <c r="AB8" s="512" t="e">
        <f t="shared" ca="1" si="2"/>
        <v>#DIV/0!</v>
      </c>
      <c r="AC8" s="513" t="e">
        <f t="shared" ca="1" si="2"/>
        <v>#DIV/0!</v>
      </c>
      <c r="AD8" s="508" t="e">
        <f t="shared" si="2"/>
        <v>#N/A</v>
      </c>
      <c r="AE8" s="509" t="e">
        <f t="shared" ca="1" si="2"/>
        <v>#DIV/0!</v>
      </c>
      <c r="AF8" s="510" t="e">
        <f t="shared" ca="1" si="2"/>
        <v>#DIV/0!</v>
      </c>
      <c r="AG8" s="508" t="e">
        <f t="shared" si="2"/>
        <v>#N/A</v>
      </c>
      <c r="AH8" s="509" t="e">
        <f t="shared" ca="1" si="2"/>
        <v>#DIV/0!</v>
      </c>
      <c r="AI8" s="510" t="e">
        <f t="shared" ca="1" si="2"/>
        <v>#DIV/0!</v>
      </c>
      <c r="AJ8" s="508" t="e">
        <f t="shared" ca="1" si="2"/>
        <v>#N/A</v>
      </c>
      <c r="AK8" s="509" t="e">
        <f t="shared" ca="1" si="2"/>
        <v>#DIV/0!</v>
      </c>
      <c r="AL8" s="510" t="e">
        <f t="shared" ca="1" si="2"/>
        <v>#DIV/0!</v>
      </c>
      <c r="AM8" s="508" t="e">
        <f t="shared" ca="1" si="2"/>
        <v>#N/A</v>
      </c>
      <c r="AN8" s="509" t="e">
        <f t="shared" ca="1" si="2"/>
        <v>#DIV/0!</v>
      </c>
      <c r="AO8" s="510" t="e">
        <f t="shared" ca="1" si="2"/>
        <v>#DIV/0!</v>
      </c>
      <c r="AP8" s="514" t="e">
        <f t="shared" ca="1" si="2"/>
        <v>#N/A</v>
      </c>
      <c r="AQ8" s="515" t="e">
        <f t="shared" ca="1" si="2"/>
        <v>#DIV/0!</v>
      </c>
      <c r="AR8" s="515" t="e">
        <f t="shared" ca="1" si="2"/>
        <v>#DIV/0!</v>
      </c>
      <c r="AS8" s="50"/>
      <c r="AT8" s="50"/>
      <c r="AU8" s="50"/>
      <c r="AV8" s="50"/>
      <c r="AW8" s="50"/>
      <c r="AX8" s="50"/>
      <c r="AY8" s="50"/>
      <c r="AZ8" s="50"/>
      <c r="BA8" s="50"/>
      <c r="BB8" s="50"/>
      <c r="BC8" s="50"/>
      <c r="BD8" s="50"/>
      <c r="BE8" s="50"/>
      <c r="BF8" s="50"/>
      <c r="BG8" s="50"/>
      <c r="BH8" s="50"/>
      <c r="BI8" s="50"/>
      <c r="BJ8" s="50"/>
      <c r="BK8" s="50"/>
      <c r="BL8" s="50"/>
      <c r="BM8" s="50"/>
      <c r="BN8" s="50"/>
      <c r="BO8" s="50"/>
    </row>
    <row r="9" spans="1:67" ht="30" customHeight="1" x14ac:dyDescent="0.25">
      <c r="A9" s="516" t="s">
        <v>1309</v>
      </c>
      <c r="B9" s="485" t="s">
        <v>837</v>
      </c>
      <c r="C9" s="517" t="e">
        <f>C12+C15</f>
        <v>#N/A</v>
      </c>
      <c r="D9" s="487">
        <f ca="1">D12+D15</f>
        <v>0</v>
      </c>
      <c r="E9" s="518">
        <f ca="1">E12+E15</f>
        <v>0</v>
      </c>
      <c r="F9" s="418"/>
      <c r="G9" s="519" t="s">
        <v>1167</v>
      </c>
      <c r="H9" s="490" t="s">
        <v>837</v>
      </c>
      <c r="I9" s="295" t="e">
        <f t="shared" ref="I9:AR9" ca="1" si="3">I12+I15</f>
        <v>#N/A</v>
      </c>
      <c r="J9" s="491">
        <f t="shared" ca="1" si="3"/>
        <v>0</v>
      </c>
      <c r="K9" s="492">
        <f t="shared" ca="1" si="3"/>
        <v>0</v>
      </c>
      <c r="L9" s="295" t="e">
        <f t="shared" ca="1" si="3"/>
        <v>#N/A</v>
      </c>
      <c r="M9" s="491">
        <f t="shared" ca="1" si="3"/>
        <v>0</v>
      </c>
      <c r="N9" s="492">
        <f t="shared" ca="1" si="3"/>
        <v>0</v>
      </c>
      <c r="O9" s="295" t="e">
        <f t="shared" ca="1" si="3"/>
        <v>#N/A</v>
      </c>
      <c r="P9" s="491">
        <f t="shared" ca="1" si="3"/>
        <v>0</v>
      </c>
      <c r="Q9" s="492">
        <f t="shared" ca="1" si="3"/>
        <v>0</v>
      </c>
      <c r="R9" s="295" t="e">
        <f t="shared" ca="1" si="3"/>
        <v>#N/A</v>
      </c>
      <c r="S9" s="491">
        <f t="shared" ca="1" si="3"/>
        <v>0</v>
      </c>
      <c r="T9" s="492">
        <f t="shared" ca="1" si="3"/>
        <v>0</v>
      </c>
      <c r="U9" s="295" t="e">
        <f t="shared" si="3"/>
        <v>#N/A</v>
      </c>
      <c r="V9" s="491">
        <f t="shared" ca="1" si="3"/>
        <v>0</v>
      </c>
      <c r="W9" s="492">
        <f t="shared" ca="1" si="3"/>
        <v>0</v>
      </c>
      <c r="X9" s="295" t="e">
        <f t="shared" si="3"/>
        <v>#N/A</v>
      </c>
      <c r="Y9" s="491">
        <f t="shared" ca="1" si="3"/>
        <v>0</v>
      </c>
      <c r="Z9" s="492">
        <f t="shared" ca="1" si="3"/>
        <v>0</v>
      </c>
      <c r="AA9" s="295" t="e">
        <f t="shared" si="3"/>
        <v>#N/A</v>
      </c>
      <c r="AB9" s="491">
        <f t="shared" ca="1" si="3"/>
        <v>0</v>
      </c>
      <c r="AC9" s="492">
        <f t="shared" ca="1" si="3"/>
        <v>0</v>
      </c>
      <c r="AD9" s="295" t="e">
        <f t="shared" si="3"/>
        <v>#N/A</v>
      </c>
      <c r="AE9" s="491">
        <f t="shared" ca="1" si="3"/>
        <v>0</v>
      </c>
      <c r="AF9" s="492">
        <f t="shared" ca="1" si="3"/>
        <v>0</v>
      </c>
      <c r="AG9" s="295" t="e">
        <f t="shared" si="3"/>
        <v>#N/A</v>
      </c>
      <c r="AH9" s="491">
        <f t="shared" ca="1" si="3"/>
        <v>0</v>
      </c>
      <c r="AI9" s="492">
        <f t="shared" ca="1" si="3"/>
        <v>0</v>
      </c>
      <c r="AJ9" s="295" t="e">
        <f t="shared" ca="1" si="3"/>
        <v>#N/A</v>
      </c>
      <c r="AK9" s="491">
        <f t="shared" ca="1" si="3"/>
        <v>0</v>
      </c>
      <c r="AL9" s="492">
        <f t="shared" ca="1" si="3"/>
        <v>0</v>
      </c>
      <c r="AM9" s="295" t="e">
        <f t="shared" ca="1" si="3"/>
        <v>#N/A</v>
      </c>
      <c r="AN9" s="491">
        <f t="shared" ca="1" si="3"/>
        <v>0</v>
      </c>
      <c r="AO9" s="492">
        <f t="shared" ca="1" si="3"/>
        <v>0</v>
      </c>
      <c r="AP9" s="496" t="e">
        <f t="shared" ca="1" si="3"/>
        <v>#N/A</v>
      </c>
      <c r="AQ9" s="497">
        <f t="shared" ca="1" si="3"/>
        <v>0</v>
      </c>
      <c r="AR9" s="497">
        <f t="shared" ca="1" si="3"/>
        <v>0</v>
      </c>
      <c r="AS9" s="50"/>
      <c r="AT9" s="50"/>
      <c r="AU9" s="50"/>
      <c r="AV9" s="50"/>
      <c r="AW9" s="50"/>
      <c r="AX9" s="50"/>
      <c r="AY9" s="50"/>
      <c r="AZ9" s="50"/>
      <c r="BA9" s="50"/>
      <c r="BB9" s="50"/>
      <c r="BC9" s="50"/>
      <c r="BD9" s="50"/>
      <c r="BE9" s="50"/>
      <c r="BF9" s="50"/>
      <c r="BG9" s="50"/>
      <c r="BH9" s="50"/>
      <c r="BI9" s="50"/>
      <c r="BJ9" s="50"/>
      <c r="BK9" s="50"/>
      <c r="BL9" s="50"/>
      <c r="BM9" s="50"/>
      <c r="BN9" s="50"/>
      <c r="BO9" s="50"/>
    </row>
    <row r="10" spans="1:67" ht="16.5" customHeight="1" x14ac:dyDescent="0.25">
      <c r="A10" s="320" t="s">
        <v>868</v>
      </c>
      <c r="B10" s="321" t="s">
        <v>1168</v>
      </c>
      <c r="C10" s="520" t="e">
        <f>C9*0.86/1000</f>
        <v>#N/A</v>
      </c>
      <c r="D10" s="521">
        <f ca="1">D9*0.86/1000</f>
        <v>0</v>
      </c>
      <c r="E10" s="522">
        <f ca="1">E9*0.86/1000</f>
        <v>0</v>
      </c>
      <c r="F10" s="50" t="e">
        <f>C10/'Ввод исходных данных'!$G$56</f>
        <v>#N/A</v>
      </c>
      <c r="G10" s="501" t="s">
        <v>868</v>
      </c>
      <c r="H10" s="502" t="s">
        <v>1168</v>
      </c>
      <c r="I10" s="523" t="e">
        <f t="shared" ref="I10:AR10" ca="1" si="4">I9*0.86/1000</f>
        <v>#N/A</v>
      </c>
      <c r="J10" s="261">
        <f t="shared" ca="1" si="4"/>
        <v>0</v>
      </c>
      <c r="K10" s="524">
        <f t="shared" ca="1" si="4"/>
        <v>0</v>
      </c>
      <c r="L10" s="523" t="e">
        <f t="shared" ca="1" si="4"/>
        <v>#N/A</v>
      </c>
      <c r="M10" s="261">
        <f t="shared" ca="1" si="4"/>
        <v>0</v>
      </c>
      <c r="N10" s="524">
        <f t="shared" ca="1" si="4"/>
        <v>0</v>
      </c>
      <c r="O10" s="523" t="e">
        <f t="shared" ca="1" si="4"/>
        <v>#N/A</v>
      </c>
      <c r="P10" s="261">
        <f t="shared" ca="1" si="4"/>
        <v>0</v>
      </c>
      <c r="Q10" s="524">
        <f t="shared" ca="1" si="4"/>
        <v>0</v>
      </c>
      <c r="R10" s="523" t="e">
        <f t="shared" ca="1" si="4"/>
        <v>#N/A</v>
      </c>
      <c r="S10" s="261">
        <f t="shared" ca="1" si="4"/>
        <v>0</v>
      </c>
      <c r="T10" s="524">
        <f t="shared" ca="1" si="4"/>
        <v>0</v>
      </c>
      <c r="U10" s="523" t="e">
        <f t="shared" si="4"/>
        <v>#N/A</v>
      </c>
      <c r="V10" s="261">
        <f t="shared" ca="1" si="4"/>
        <v>0</v>
      </c>
      <c r="W10" s="524">
        <f t="shared" ca="1" si="4"/>
        <v>0</v>
      </c>
      <c r="X10" s="523" t="e">
        <f t="shared" si="4"/>
        <v>#N/A</v>
      </c>
      <c r="Y10" s="261">
        <f t="shared" ca="1" si="4"/>
        <v>0</v>
      </c>
      <c r="Z10" s="524">
        <f t="shared" ca="1" si="4"/>
        <v>0</v>
      </c>
      <c r="AA10" s="523" t="e">
        <f t="shared" si="4"/>
        <v>#N/A</v>
      </c>
      <c r="AB10" s="261">
        <f t="shared" ca="1" si="4"/>
        <v>0</v>
      </c>
      <c r="AC10" s="524">
        <f t="shared" ca="1" si="4"/>
        <v>0</v>
      </c>
      <c r="AD10" s="523" t="e">
        <f t="shared" si="4"/>
        <v>#N/A</v>
      </c>
      <c r="AE10" s="261">
        <f t="shared" ca="1" si="4"/>
        <v>0</v>
      </c>
      <c r="AF10" s="524">
        <f t="shared" ca="1" si="4"/>
        <v>0</v>
      </c>
      <c r="AG10" s="523" t="e">
        <f t="shared" si="4"/>
        <v>#N/A</v>
      </c>
      <c r="AH10" s="261">
        <f t="shared" ca="1" si="4"/>
        <v>0</v>
      </c>
      <c r="AI10" s="524">
        <f t="shared" ca="1" si="4"/>
        <v>0</v>
      </c>
      <c r="AJ10" s="523" t="e">
        <f t="shared" ca="1" si="4"/>
        <v>#N/A</v>
      </c>
      <c r="AK10" s="261">
        <f t="shared" ca="1" si="4"/>
        <v>0</v>
      </c>
      <c r="AL10" s="524">
        <f t="shared" ca="1" si="4"/>
        <v>0</v>
      </c>
      <c r="AM10" s="523" t="e">
        <f t="shared" ca="1" si="4"/>
        <v>#N/A</v>
      </c>
      <c r="AN10" s="261">
        <f t="shared" ca="1" si="4"/>
        <v>0</v>
      </c>
      <c r="AO10" s="524">
        <f t="shared" ca="1" si="4"/>
        <v>0</v>
      </c>
      <c r="AP10" s="525" t="e">
        <f t="shared" ca="1" si="4"/>
        <v>#N/A</v>
      </c>
      <c r="AQ10" s="261">
        <f t="shared" ca="1" si="4"/>
        <v>0</v>
      </c>
      <c r="AR10" s="261">
        <f t="shared" ca="1" si="4"/>
        <v>0</v>
      </c>
      <c r="AS10" s="50"/>
      <c r="AT10" s="50"/>
      <c r="AU10" s="50"/>
      <c r="AV10" s="50"/>
      <c r="AW10" s="50"/>
      <c r="AX10" s="50"/>
      <c r="AY10" s="50"/>
      <c r="AZ10" s="50"/>
      <c r="BA10" s="50"/>
      <c r="BB10" s="50"/>
      <c r="BC10" s="50"/>
      <c r="BD10" s="50"/>
      <c r="BE10" s="50"/>
      <c r="BF10" s="50"/>
      <c r="BG10" s="50"/>
      <c r="BH10" s="50"/>
      <c r="BI10" s="50"/>
      <c r="BJ10" s="50"/>
      <c r="BK10" s="50"/>
      <c r="BL10" s="50"/>
      <c r="BM10" s="50"/>
      <c r="BN10" s="50"/>
      <c r="BO10" s="50"/>
    </row>
    <row r="11" spans="1:67" ht="15.75" customHeight="1" x14ac:dyDescent="0.25">
      <c r="A11" s="320" t="s">
        <v>868</v>
      </c>
      <c r="B11" s="321" t="s">
        <v>1165</v>
      </c>
      <c r="C11" s="526" t="e">
        <f ca="1">C9/$C$6</f>
        <v>#N/A</v>
      </c>
      <c r="D11" s="527" t="e">
        <f ca="1">D9/$D$6</f>
        <v>#DIV/0!</v>
      </c>
      <c r="E11" s="528"/>
      <c r="F11" s="50" t="e">
        <f ca="1">E10/'Ввод исходных данных'!$G$56</f>
        <v>#DIV/0!</v>
      </c>
      <c r="G11" s="501"/>
      <c r="H11" s="502"/>
      <c r="I11" s="529" t="e">
        <f t="shared" ref="I11:AR11" ca="1" si="5">I9/I$6</f>
        <v>#N/A</v>
      </c>
      <c r="J11" s="515" t="e">
        <f t="shared" ca="1" si="5"/>
        <v>#DIV/0!</v>
      </c>
      <c r="K11" s="530" t="e">
        <f t="shared" ca="1" si="5"/>
        <v>#DIV/0!</v>
      </c>
      <c r="L11" s="529" t="e">
        <f t="shared" ca="1" si="5"/>
        <v>#N/A</v>
      </c>
      <c r="M11" s="515" t="e">
        <f t="shared" ca="1" si="5"/>
        <v>#DIV/0!</v>
      </c>
      <c r="N11" s="530" t="e">
        <f t="shared" ca="1" si="5"/>
        <v>#DIV/0!</v>
      </c>
      <c r="O11" s="529" t="e">
        <f t="shared" ca="1" si="5"/>
        <v>#N/A</v>
      </c>
      <c r="P11" s="515" t="e">
        <f t="shared" ca="1" si="5"/>
        <v>#DIV/0!</v>
      </c>
      <c r="Q11" s="530" t="e">
        <f t="shared" ca="1" si="5"/>
        <v>#DIV/0!</v>
      </c>
      <c r="R11" s="529" t="e">
        <f t="shared" ca="1" si="5"/>
        <v>#N/A</v>
      </c>
      <c r="S11" s="515" t="e">
        <f t="shared" ca="1" si="5"/>
        <v>#DIV/0!</v>
      </c>
      <c r="T11" s="530" t="e">
        <f t="shared" ca="1" si="5"/>
        <v>#DIV/0!</v>
      </c>
      <c r="U11" s="529" t="e">
        <f t="shared" si="5"/>
        <v>#N/A</v>
      </c>
      <c r="V11" s="515" t="e">
        <f t="shared" ca="1" si="5"/>
        <v>#DIV/0!</v>
      </c>
      <c r="W11" s="530" t="e">
        <f t="shared" ca="1" si="5"/>
        <v>#DIV/0!</v>
      </c>
      <c r="X11" s="529" t="e">
        <f t="shared" si="5"/>
        <v>#N/A</v>
      </c>
      <c r="Y11" s="515" t="e">
        <f t="shared" ca="1" si="5"/>
        <v>#DIV/0!</v>
      </c>
      <c r="Z11" s="530" t="e">
        <f t="shared" ca="1" si="5"/>
        <v>#DIV/0!</v>
      </c>
      <c r="AA11" s="529" t="e">
        <f t="shared" si="5"/>
        <v>#N/A</v>
      </c>
      <c r="AB11" s="515" t="e">
        <f t="shared" ca="1" si="5"/>
        <v>#DIV/0!</v>
      </c>
      <c r="AC11" s="530" t="e">
        <f t="shared" ca="1" si="5"/>
        <v>#DIV/0!</v>
      </c>
      <c r="AD11" s="529" t="e">
        <f t="shared" si="5"/>
        <v>#N/A</v>
      </c>
      <c r="AE11" s="515" t="e">
        <f t="shared" ca="1" si="5"/>
        <v>#DIV/0!</v>
      </c>
      <c r="AF11" s="530" t="e">
        <f t="shared" ca="1" si="5"/>
        <v>#DIV/0!</v>
      </c>
      <c r="AG11" s="529" t="e">
        <f t="shared" si="5"/>
        <v>#N/A</v>
      </c>
      <c r="AH11" s="515" t="e">
        <f t="shared" ca="1" si="5"/>
        <v>#DIV/0!</v>
      </c>
      <c r="AI11" s="530" t="e">
        <f t="shared" ca="1" si="5"/>
        <v>#DIV/0!</v>
      </c>
      <c r="AJ11" s="529" t="e">
        <f t="shared" ca="1" si="5"/>
        <v>#N/A</v>
      </c>
      <c r="AK11" s="515" t="e">
        <f t="shared" ca="1" si="5"/>
        <v>#DIV/0!</v>
      </c>
      <c r="AL11" s="530" t="e">
        <f t="shared" ca="1" si="5"/>
        <v>#DIV/0!</v>
      </c>
      <c r="AM11" s="529" t="e">
        <f t="shared" ca="1" si="5"/>
        <v>#N/A</v>
      </c>
      <c r="AN11" s="515" t="e">
        <f t="shared" ca="1" si="5"/>
        <v>#DIV/0!</v>
      </c>
      <c r="AO11" s="530" t="e">
        <f t="shared" ca="1" si="5"/>
        <v>#DIV/0!</v>
      </c>
      <c r="AP11" s="514" t="e">
        <f t="shared" ca="1" si="5"/>
        <v>#N/A</v>
      </c>
      <c r="AQ11" s="515" t="e">
        <f t="shared" ca="1" si="5"/>
        <v>#DIV/0!</v>
      </c>
      <c r="AR11" s="515" t="e">
        <f t="shared" ca="1" si="5"/>
        <v>#DIV/0!</v>
      </c>
      <c r="AS11" s="50"/>
      <c r="AT11" s="50"/>
      <c r="AU11" s="50"/>
      <c r="AV11" s="50"/>
      <c r="AW11" s="50"/>
      <c r="AX11" s="50"/>
      <c r="AY11" s="50"/>
      <c r="AZ11" s="50"/>
      <c r="BA11" s="50"/>
      <c r="BB11" s="50"/>
      <c r="BC11" s="50"/>
      <c r="BD11" s="50"/>
      <c r="BE11" s="50"/>
      <c r="BF11" s="50"/>
      <c r="BG11" s="50"/>
      <c r="BH11" s="50"/>
      <c r="BI11" s="50"/>
      <c r="BJ11" s="50"/>
      <c r="BK11" s="50"/>
      <c r="BL11" s="50"/>
      <c r="BM11" s="50"/>
      <c r="BN11" s="50"/>
      <c r="BO11" s="50"/>
    </row>
    <row r="12" spans="1:67" ht="20.25" customHeight="1" x14ac:dyDescent="0.25">
      <c r="A12" s="531" t="s">
        <v>1169</v>
      </c>
      <c r="B12" s="532" t="s">
        <v>837</v>
      </c>
      <c r="C12" s="533" t="e">
        <f>C35</f>
        <v>#N/A</v>
      </c>
      <c r="D12" s="534">
        <f ca="1">D35</f>
        <v>0</v>
      </c>
      <c r="E12" s="535">
        <f ca="1">E35</f>
        <v>0</v>
      </c>
      <c r="F12" s="50"/>
      <c r="G12" s="536" t="s">
        <v>1169</v>
      </c>
      <c r="H12" s="537" t="s">
        <v>837</v>
      </c>
      <c r="I12" s="538" t="e">
        <f t="shared" ref="I12:AR12" ca="1" si="6">I35</f>
        <v>#N/A</v>
      </c>
      <c r="J12" s="273">
        <f t="shared" si="6"/>
        <v>0</v>
      </c>
      <c r="K12" s="539">
        <f t="shared" ca="1" si="6"/>
        <v>0</v>
      </c>
      <c r="L12" s="540" t="e">
        <f t="shared" ca="1" si="6"/>
        <v>#N/A</v>
      </c>
      <c r="M12" s="273">
        <f t="shared" si="6"/>
        <v>0</v>
      </c>
      <c r="N12" s="539">
        <f t="shared" ca="1" si="6"/>
        <v>0</v>
      </c>
      <c r="O12" s="540" t="e">
        <f t="shared" ca="1" si="6"/>
        <v>#N/A</v>
      </c>
      <c r="P12" s="273">
        <f t="shared" si="6"/>
        <v>0</v>
      </c>
      <c r="Q12" s="539">
        <f t="shared" ca="1" si="6"/>
        <v>0</v>
      </c>
      <c r="R12" s="540" t="e">
        <f t="shared" ca="1" si="6"/>
        <v>#N/A</v>
      </c>
      <c r="S12" s="273">
        <f t="shared" si="6"/>
        <v>0</v>
      </c>
      <c r="T12" s="539">
        <f t="shared" ca="1" si="6"/>
        <v>0</v>
      </c>
      <c r="U12" s="538" t="e">
        <f t="shared" si="6"/>
        <v>#N/A</v>
      </c>
      <c r="V12" s="273">
        <f t="shared" si="6"/>
        <v>0</v>
      </c>
      <c r="W12" s="539">
        <f t="shared" ca="1" si="6"/>
        <v>0</v>
      </c>
      <c r="X12" s="538" t="e">
        <f t="shared" si="6"/>
        <v>#N/A</v>
      </c>
      <c r="Y12" s="273">
        <f t="shared" si="6"/>
        <v>0</v>
      </c>
      <c r="Z12" s="539">
        <f t="shared" ca="1" si="6"/>
        <v>0</v>
      </c>
      <c r="AA12" s="540" t="e">
        <f t="shared" si="6"/>
        <v>#N/A</v>
      </c>
      <c r="AB12" s="273">
        <f t="shared" si="6"/>
        <v>0</v>
      </c>
      <c r="AC12" s="539">
        <f t="shared" ca="1" si="6"/>
        <v>0</v>
      </c>
      <c r="AD12" s="538" t="e">
        <f t="shared" si="6"/>
        <v>#N/A</v>
      </c>
      <c r="AE12" s="273">
        <f t="shared" si="6"/>
        <v>0</v>
      </c>
      <c r="AF12" s="539">
        <f t="shared" ca="1" si="6"/>
        <v>0</v>
      </c>
      <c r="AG12" s="540" t="e">
        <f t="shared" si="6"/>
        <v>#N/A</v>
      </c>
      <c r="AH12" s="273">
        <f t="shared" si="6"/>
        <v>0</v>
      </c>
      <c r="AI12" s="539">
        <f t="shared" ca="1" si="6"/>
        <v>0</v>
      </c>
      <c r="AJ12" s="538" t="e">
        <f t="shared" ca="1" si="6"/>
        <v>#N/A</v>
      </c>
      <c r="AK12" s="273">
        <f t="shared" si="6"/>
        <v>0</v>
      </c>
      <c r="AL12" s="539">
        <f t="shared" ca="1" si="6"/>
        <v>0</v>
      </c>
      <c r="AM12" s="540" t="e">
        <f t="shared" ca="1" si="6"/>
        <v>#N/A</v>
      </c>
      <c r="AN12" s="273">
        <f t="shared" si="6"/>
        <v>0</v>
      </c>
      <c r="AO12" s="539">
        <f t="shared" ca="1" si="6"/>
        <v>0</v>
      </c>
      <c r="AP12" s="541" t="e">
        <f t="shared" ca="1" si="6"/>
        <v>#N/A</v>
      </c>
      <c r="AQ12" s="273">
        <f t="shared" si="6"/>
        <v>0</v>
      </c>
      <c r="AR12" s="273">
        <f t="shared" ca="1" si="6"/>
        <v>0</v>
      </c>
      <c r="AS12" s="50"/>
      <c r="AT12" s="50"/>
      <c r="AU12" s="50"/>
      <c r="AV12" s="50"/>
      <c r="AW12" s="50"/>
      <c r="AX12" s="50"/>
      <c r="AY12" s="50"/>
      <c r="AZ12" s="50"/>
      <c r="BA12" s="50"/>
      <c r="BB12" s="50"/>
      <c r="BC12" s="50"/>
      <c r="BD12" s="50"/>
      <c r="BE12" s="50"/>
      <c r="BF12" s="50"/>
      <c r="BG12" s="50"/>
      <c r="BH12" s="50"/>
      <c r="BI12" s="50"/>
      <c r="BJ12" s="50"/>
      <c r="BK12" s="50"/>
      <c r="BL12" s="50"/>
      <c r="BM12" s="50"/>
      <c r="BN12" s="50"/>
      <c r="BO12" s="50"/>
    </row>
    <row r="13" spans="1:67" x14ac:dyDescent="0.25">
      <c r="A13" s="320" t="s">
        <v>868</v>
      </c>
      <c r="B13" s="321" t="s">
        <v>1168</v>
      </c>
      <c r="C13" s="520" t="e">
        <f>C12*0.86/1000</f>
        <v>#N/A</v>
      </c>
      <c r="D13" s="521">
        <f ca="1">D36</f>
        <v>0</v>
      </c>
      <c r="E13" s="522">
        <f ca="1">E36</f>
        <v>0</v>
      </c>
      <c r="F13" s="50" t="e">
        <f>C13/'Ввод исходных данных'!$G$56</f>
        <v>#N/A</v>
      </c>
      <c r="G13" s="501" t="s">
        <v>868</v>
      </c>
      <c r="H13" s="502" t="s">
        <v>1168</v>
      </c>
      <c r="I13" s="523" t="e">
        <f ca="1">I12*0.86/1000</f>
        <v>#N/A</v>
      </c>
      <c r="J13" s="261">
        <f>J36</f>
        <v>0</v>
      </c>
      <c r="K13" s="524">
        <f ca="1">K36</f>
        <v>0</v>
      </c>
      <c r="L13" s="523" t="e">
        <f ca="1">L12*0.86/1000</f>
        <v>#N/A</v>
      </c>
      <c r="M13" s="261">
        <f>M36</f>
        <v>0</v>
      </c>
      <c r="N13" s="524">
        <f ca="1">N36</f>
        <v>0</v>
      </c>
      <c r="O13" s="523" t="e">
        <f ca="1">O12*0.86/1000</f>
        <v>#N/A</v>
      </c>
      <c r="P13" s="261">
        <f>P36</f>
        <v>0</v>
      </c>
      <c r="Q13" s="524">
        <f ca="1">Q36</f>
        <v>0</v>
      </c>
      <c r="R13" s="523" t="e">
        <f ca="1">R12*0.86/1000</f>
        <v>#N/A</v>
      </c>
      <c r="S13" s="261">
        <f>S36</f>
        <v>0</v>
      </c>
      <c r="T13" s="524">
        <f ca="1">T36</f>
        <v>0</v>
      </c>
      <c r="U13" s="523" t="e">
        <f>U12*0.86/1000</f>
        <v>#N/A</v>
      </c>
      <c r="V13" s="261">
        <f>V36</f>
        <v>0</v>
      </c>
      <c r="W13" s="524">
        <f ca="1">W36</f>
        <v>0</v>
      </c>
      <c r="X13" s="523" t="e">
        <f>X12*0.86/1000</f>
        <v>#N/A</v>
      </c>
      <c r="Y13" s="261">
        <f>Y36</f>
        <v>0</v>
      </c>
      <c r="Z13" s="524">
        <f ca="1">Z36</f>
        <v>0</v>
      </c>
      <c r="AA13" s="523" t="e">
        <f>AA12*0.86/1000</f>
        <v>#N/A</v>
      </c>
      <c r="AB13" s="261">
        <f>AB36</f>
        <v>0</v>
      </c>
      <c r="AC13" s="524">
        <f ca="1">AC36</f>
        <v>0</v>
      </c>
      <c r="AD13" s="523" t="e">
        <f>AD12*0.86/1000</f>
        <v>#N/A</v>
      </c>
      <c r="AE13" s="261">
        <f>AE36</f>
        <v>0</v>
      </c>
      <c r="AF13" s="524">
        <f ca="1">AF36</f>
        <v>0</v>
      </c>
      <c r="AG13" s="523" t="e">
        <f>AG12*0.86/1000</f>
        <v>#N/A</v>
      </c>
      <c r="AH13" s="261">
        <f>AH36</f>
        <v>0</v>
      </c>
      <c r="AI13" s="524">
        <f ca="1">AI36</f>
        <v>0</v>
      </c>
      <c r="AJ13" s="523" t="e">
        <f ca="1">AJ12*0.86/1000</f>
        <v>#N/A</v>
      </c>
      <c r="AK13" s="261">
        <f>AK36</f>
        <v>0</v>
      </c>
      <c r="AL13" s="524">
        <f ca="1">AL36</f>
        <v>0</v>
      </c>
      <c r="AM13" s="523" t="e">
        <f ca="1">AM12*0.86/1000</f>
        <v>#N/A</v>
      </c>
      <c r="AN13" s="261">
        <f>AN36</f>
        <v>0</v>
      </c>
      <c r="AO13" s="524">
        <f ca="1">AO36</f>
        <v>0</v>
      </c>
      <c r="AP13" s="525" t="e">
        <f ca="1">AP12*0.86/1000</f>
        <v>#N/A</v>
      </c>
      <c r="AQ13" s="261">
        <f>AQ36</f>
        <v>0</v>
      </c>
      <c r="AR13" s="261">
        <f ca="1">AR36</f>
        <v>0</v>
      </c>
      <c r="AS13" s="50"/>
      <c r="AT13" s="50"/>
      <c r="AU13" s="50"/>
      <c r="AV13" s="50"/>
      <c r="AW13" s="50"/>
      <c r="AX13" s="50"/>
      <c r="AY13" s="50"/>
      <c r="AZ13" s="50"/>
      <c r="BA13" s="50"/>
      <c r="BB13" s="50"/>
      <c r="BC13" s="50"/>
      <c r="BD13" s="50"/>
      <c r="BE13" s="50"/>
      <c r="BF13" s="50"/>
      <c r="BG13" s="50"/>
      <c r="BH13" s="50"/>
      <c r="BI13" s="50"/>
      <c r="BJ13" s="50"/>
      <c r="BK13" s="50"/>
      <c r="BL13" s="50"/>
      <c r="BM13" s="50"/>
      <c r="BN13" s="50"/>
      <c r="BO13" s="50"/>
    </row>
    <row r="14" spans="1:67" x14ac:dyDescent="0.25">
      <c r="A14" s="320" t="s">
        <v>868</v>
      </c>
      <c r="B14" s="321" t="s">
        <v>1165</v>
      </c>
      <c r="C14" s="526" t="e">
        <f ca="1">C12/$C$6</f>
        <v>#N/A</v>
      </c>
      <c r="D14" s="527" t="e">
        <f ca="1">D12/$D$6</f>
        <v>#DIV/0!</v>
      </c>
      <c r="E14" s="528"/>
      <c r="F14" s="50" t="e">
        <f ca="1">E13/'Ввод исходных данных'!$G$56</f>
        <v>#DIV/0!</v>
      </c>
      <c r="G14" s="501"/>
      <c r="H14" s="502"/>
      <c r="I14" s="529" t="e">
        <f t="shared" ref="I14:AR14" ca="1" si="7">I12/I$6</f>
        <v>#N/A</v>
      </c>
      <c r="J14" s="515" t="e">
        <f t="shared" ca="1" si="7"/>
        <v>#DIV/0!</v>
      </c>
      <c r="K14" s="530" t="e">
        <f t="shared" ca="1" si="7"/>
        <v>#DIV/0!</v>
      </c>
      <c r="L14" s="529" t="e">
        <f t="shared" ca="1" si="7"/>
        <v>#N/A</v>
      </c>
      <c r="M14" s="515" t="e">
        <f t="shared" ca="1" si="7"/>
        <v>#DIV/0!</v>
      </c>
      <c r="N14" s="530" t="e">
        <f t="shared" ca="1" si="7"/>
        <v>#DIV/0!</v>
      </c>
      <c r="O14" s="529" t="e">
        <f t="shared" ca="1" si="7"/>
        <v>#N/A</v>
      </c>
      <c r="P14" s="515" t="e">
        <f t="shared" ca="1" si="7"/>
        <v>#DIV/0!</v>
      </c>
      <c r="Q14" s="530" t="e">
        <f t="shared" ca="1" si="7"/>
        <v>#DIV/0!</v>
      </c>
      <c r="R14" s="529" t="e">
        <f t="shared" ca="1" si="7"/>
        <v>#N/A</v>
      </c>
      <c r="S14" s="515" t="e">
        <f t="shared" ca="1" si="7"/>
        <v>#DIV/0!</v>
      </c>
      <c r="T14" s="530" t="e">
        <f t="shared" ca="1" si="7"/>
        <v>#DIV/0!</v>
      </c>
      <c r="U14" s="529" t="e">
        <f t="shared" si="7"/>
        <v>#N/A</v>
      </c>
      <c r="V14" s="515" t="e">
        <f t="shared" ca="1" si="7"/>
        <v>#DIV/0!</v>
      </c>
      <c r="W14" s="530" t="e">
        <f t="shared" ca="1" si="7"/>
        <v>#DIV/0!</v>
      </c>
      <c r="X14" s="529" t="e">
        <f t="shared" si="7"/>
        <v>#N/A</v>
      </c>
      <c r="Y14" s="515" t="e">
        <f t="shared" ca="1" si="7"/>
        <v>#DIV/0!</v>
      </c>
      <c r="Z14" s="530" t="e">
        <f t="shared" ca="1" si="7"/>
        <v>#DIV/0!</v>
      </c>
      <c r="AA14" s="529" t="e">
        <f t="shared" si="7"/>
        <v>#N/A</v>
      </c>
      <c r="AB14" s="515" t="e">
        <f t="shared" ca="1" si="7"/>
        <v>#DIV/0!</v>
      </c>
      <c r="AC14" s="530" t="e">
        <f t="shared" ca="1" si="7"/>
        <v>#DIV/0!</v>
      </c>
      <c r="AD14" s="529" t="e">
        <f t="shared" si="7"/>
        <v>#N/A</v>
      </c>
      <c r="AE14" s="515" t="e">
        <f t="shared" ca="1" si="7"/>
        <v>#DIV/0!</v>
      </c>
      <c r="AF14" s="530" t="e">
        <f t="shared" ca="1" si="7"/>
        <v>#DIV/0!</v>
      </c>
      <c r="AG14" s="529" t="e">
        <f t="shared" si="7"/>
        <v>#N/A</v>
      </c>
      <c r="AH14" s="515" t="e">
        <f t="shared" ca="1" si="7"/>
        <v>#DIV/0!</v>
      </c>
      <c r="AI14" s="530" t="e">
        <f t="shared" ca="1" si="7"/>
        <v>#DIV/0!</v>
      </c>
      <c r="AJ14" s="529" t="e">
        <f t="shared" ca="1" si="7"/>
        <v>#N/A</v>
      </c>
      <c r="AK14" s="515" t="e">
        <f t="shared" ca="1" si="7"/>
        <v>#DIV/0!</v>
      </c>
      <c r="AL14" s="530" t="e">
        <f t="shared" ca="1" si="7"/>
        <v>#DIV/0!</v>
      </c>
      <c r="AM14" s="529" t="e">
        <f t="shared" ca="1" si="7"/>
        <v>#N/A</v>
      </c>
      <c r="AN14" s="515" t="e">
        <f t="shared" ca="1" si="7"/>
        <v>#DIV/0!</v>
      </c>
      <c r="AO14" s="530" t="e">
        <f t="shared" ca="1" si="7"/>
        <v>#DIV/0!</v>
      </c>
      <c r="AP14" s="514" t="e">
        <f t="shared" ca="1" si="7"/>
        <v>#N/A</v>
      </c>
      <c r="AQ14" s="515" t="e">
        <f t="shared" ca="1" si="7"/>
        <v>#DIV/0!</v>
      </c>
      <c r="AR14" s="515" t="e">
        <f t="shared" ca="1" si="7"/>
        <v>#DIV/0!</v>
      </c>
      <c r="AS14" s="50"/>
      <c r="AT14" s="50"/>
      <c r="AU14" s="50"/>
      <c r="AV14" s="50"/>
      <c r="AW14" s="50"/>
      <c r="AX14" s="50"/>
      <c r="AY14" s="50"/>
      <c r="AZ14" s="50"/>
      <c r="BA14" s="50"/>
      <c r="BB14" s="50"/>
      <c r="BC14" s="50"/>
      <c r="BD14" s="50"/>
      <c r="BE14" s="50"/>
      <c r="BF14" s="50"/>
      <c r="BG14" s="50"/>
      <c r="BH14" s="50"/>
      <c r="BI14" s="50"/>
      <c r="BJ14" s="50"/>
      <c r="BK14" s="50"/>
      <c r="BL14" s="50"/>
      <c r="BM14" s="50"/>
      <c r="BN14" s="50"/>
      <c r="BO14" s="50"/>
    </row>
    <row r="15" spans="1:67" ht="16.5" customHeight="1" x14ac:dyDescent="0.25">
      <c r="A15" s="531" t="s">
        <v>983</v>
      </c>
      <c r="B15" s="532" t="s">
        <v>837</v>
      </c>
      <c r="C15" s="542" t="e">
        <f>C85</f>
        <v>#N/A</v>
      </c>
      <c r="D15" s="543">
        <f ca="1">D85</f>
        <v>0</v>
      </c>
      <c r="E15" s="544">
        <f ca="1">D85</f>
        <v>0</v>
      </c>
      <c r="F15" s="50" t="e">
        <f ca="1">E13/C13-1</f>
        <v>#N/A</v>
      </c>
      <c r="G15" s="536" t="s">
        <v>983</v>
      </c>
      <c r="H15" s="537" t="s">
        <v>837</v>
      </c>
      <c r="I15" s="538" t="e">
        <f>I85</f>
        <v>#N/A</v>
      </c>
      <c r="J15" s="273">
        <f ca="1">J85</f>
        <v>0</v>
      </c>
      <c r="K15" s="545">
        <f ca="1">J15</f>
        <v>0</v>
      </c>
      <c r="L15" s="538" t="e">
        <f>K85</f>
        <v>#N/A</v>
      </c>
      <c r="M15" s="273">
        <f ca="1">L85</f>
        <v>0</v>
      </c>
      <c r="N15" s="546">
        <f ca="1">M15</f>
        <v>0</v>
      </c>
      <c r="O15" s="540" t="e">
        <f>M85</f>
        <v>#N/A</v>
      </c>
      <c r="P15" s="274">
        <f ca="1">N85</f>
        <v>0</v>
      </c>
      <c r="Q15" s="545">
        <f ca="1">P15</f>
        <v>0</v>
      </c>
      <c r="R15" s="540" t="e">
        <f>O85</f>
        <v>#N/A</v>
      </c>
      <c r="S15" s="274">
        <f ca="1">P85</f>
        <v>0</v>
      </c>
      <c r="T15" s="539">
        <f ca="1">S15</f>
        <v>0</v>
      </c>
      <c r="U15" s="538" t="e">
        <f>Q85</f>
        <v>#N/A</v>
      </c>
      <c r="V15" s="273">
        <f ca="1">R85</f>
        <v>0</v>
      </c>
      <c r="W15" s="545">
        <f ca="1">V15</f>
        <v>0</v>
      </c>
      <c r="X15" s="538" t="e">
        <f>S85</f>
        <v>#N/A</v>
      </c>
      <c r="Y15" s="273">
        <f ca="1">T85</f>
        <v>0</v>
      </c>
      <c r="Z15" s="545">
        <f ca="1">Y15</f>
        <v>0</v>
      </c>
      <c r="AA15" s="538" t="e">
        <f>U85</f>
        <v>#N/A</v>
      </c>
      <c r="AB15" s="273">
        <f ca="1">V85</f>
        <v>0</v>
      </c>
      <c r="AC15" s="545">
        <f ca="1">AB15</f>
        <v>0</v>
      </c>
      <c r="AD15" s="538" t="e">
        <f>W85</f>
        <v>#N/A</v>
      </c>
      <c r="AE15" s="273">
        <f ca="1">X85</f>
        <v>0</v>
      </c>
      <c r="AF15" s="539">
        <f ca="1">AE15</f>
        <v>0</v>
      </c>
      <c r="AG15" s="540" t="e">
        <f>Y85</f>
        <v>#N/A</v>
      </c>
      <c r="AH15" s="274">
        <f ca="1">Z85</f>
        <v>0</v>
      </c>
      <c r="AI15" s="545">
        <f ca="1">AH15</f>
        <v>0</v>
      </c>
      <c r="AJ15" s="540" t="e">
        <f>AA85</f>
        <v>#N/A</v>
      </c>
      <c r="AK15" s="274">
        <f ca="1">AB85</f>
        <v>0</v>
      </c>
      <c r="AL15" s="545">
        <f ca="1">AK15</f>
        <v>0</v>
      </c>
      <c r="AM15" s="540" t="e">
        <f>AC85</f>
        <v>#N/A</v>
      </c>
      <c r="AN15" s="274">
        <f ca="1">AD85</f>
        <v>0</v>
      </c>
      <c r="AO15" s="545">
        <f ca="1">AN15</f>
        <v>0</v>
      </c>
      <c r="AP15" s="547" t="e">
        <f>AE85</f>
        <v>#N/A</v>
      </c>
      <c r="AQ15" s="273">
        <f ca="1">AF85</f>
        <v>0</v>
      </c>
      <c r="AR15" s="274">
        <f ca="1">AQ15</f>
        <v>0</v>
      </c>
      <c r="AS15" s="50"/>
      <c r="AT15" s="50"/>
      <c r="AU15" s="50"/>
      <c r="AV15" s="50"/>
      <c r="AW15" s="50"/>
      <c r="AX15" s="50"/>
      <c r="AY15" s="50"/>
      <c r="AZ15" s="50"/>
      <c r="BA15" s="50"/>
      <c r="BB15" s="50"/>
      <c r="BC15" s="50"/>
      <c r="BD15" s="50"/>
      <c r="BE15" s="50"/>
      <c r="BF15" s="50"/>
      <c r="BG15" s="50"/>
      <c r="BH15" s="50"/>
      <c r="BI15" s="50"/>
      <c r="BJ15" s="50"/>
      <c r="BK15" s="50"/>
      <c r="BL15" s="50"/>
      <c r="BM15" s="50"/>
      <c r="BN15" s="50"/>
      <c r="BO15" s="50"/>
    </row>
    <row r="16" spans="1:67" x14ac:dyDescent="0.25">
      <c r="A16" s="320" t="s">
        <v>868</v>
      </c>
      <c r="B16" s="321" t="s">
        <v>1168</v>
      </c>
      <c r="C16" s="520" t="e">
        <f>C15*0.86/1000</f>
        <v>#N/A</v>
      </c>
      <c r="D16" s="626">
        <f ca="1">D86</f>
        <v>0</v>
      </c>
      <c r="E16" s="1230">
        <f ca="1">D86</f>
        <v>0</v>
      </c>
      <c r="F16" s="50"/>
      <c r="G16" s="501" t="s">
        <v>868</v>
      </c>
      <c r="H16" s="502" t="s">
        <v>1168</v>
      </c>
      <c r="I16" s="523" t="e">
        <f>I15*0.86/1000</f>
        <v>#N/A</v>
      </c>
      <c r="J16" s="71">
        <f ca="1">J86</f>
        <v>0</v>
      </c>
      <c r="K16" s="548">
        <f ca="1">J16</f>
        <v>0</v>
      </c>
      <c r="L16" s="523" t="e">
        <f>L15*0.86/1000</f>
        <v>#N/A</v>
      </c>
      <c r="M16" s="71">
        <f ca="1">L86</f>
        <v>0</v>
      </c>
      <c r="N16" s="549">
        <f ca="1">M16</f>
        <v>0</v>
      </c>
      <c r="O16" s="523" t="e">
        <f>O15*0.86/1000</f>
        <v>#N/A</v>
      </c>
      <c r="P16" s="71">
        <f ca="1">N86</f>
        <v>0</v>
      </c>
      <c r="Q16" s="548">
        <f ca="1">P16</f>
        <v>0</v>
      </c>
      <c r="R16" s="523" t="e">
        <f>R15*0.86/1000</f>
        <v>#N/A</v>
      </c>
      <c r="S16" s="71">
        <f ca="1">P86</f>
        <v>0</v>
      </c>
      <c r="T16" s="548">
        <f ca="1">S16</f>
        <v>0</v>
      </c>
      <c r="U16" s="523" t="e">
        <f>U15*0.86/1000</f>
        <v>#N/A</v>
      </c>
      <c r="V16" s="71">
        <f ca="1">R86</f>
        <v>0</v>
      </c>
      <c r="W16" s="548">
        <f ca="1">V16</f>
        <v>0</v>
      </c>
      <c r="X16" s="523" t="e">
        <f>X15*0.86/1000</f>
        <v>#N/A</v>
      </c>
      <c r="Y16" s="71">
        <f ca="1">T86</f>
        <v>0</v>
      </c>
      <c r="Z16" s="548">
        <f ca="1">Y16</f>
        <v>0</v>
      </c>
      <c r="AA16" s="523" t="e">
        <f>AA15*0.86/1000</f>
        <v>#N/A</v>
      </c>
      <c r="AB16" s="71">
        <f ca="1">V86</f>
        <v>0</v>
      </c>
      <c r="AC16" s="548">
        <f ca="1">AB16</f>
        <v>0</v>
      </c>
      <c r="AD16" s="523" t="e">
        <f>AD15*0.86/1000</f>
        <v>#N/A</v>
      </c>
      <c r="AE16" s="71">
        <f ca="1">X86</f>
        <v>0</v>
      </c>
      <c r="AF16" s="548">
        <f ca="1">AE16</f>
        <v>0</v>
      </c>
      <c r="AG16" s="523" t="e">
        <f>AG15*0.86/1000</f>
        <v>#N/A</v>
      </c>
      <c r="AH16" s="71">
        <f ca="1">Z86</f>
        <v>0</v>
      </c>
      <c r="AI16" s="548">
        <f ca="1">AH16</f>
        <v>0</v>
      </c>
      <c r="AJ16" s="523" t="e">
        <f>AJ15*0.86/1000</f>
        <v>#N/A</v>
      </c>
      <c r="AK16" s="71">
        <f ca="1">AB86</f>
        <v>0</v>
      </c>
      <c r="AL16" s="548">
        <f ca="1">AK16</f>
        <v>0</v>
      </c>
      <c r="AM16" s="523" t="e">
        <f>AM15*0.86/1000</f>
        <v>#N/A</v>
      </c>
      <c r="AN16" s="71">
        <f ca="1">AD86</f>
        <v>0</v>
      </c>
      <c r="AO16" s="548">
        <f ca="1">AN16</f>
        <v>0</v>
      </c>
      <c r="AP16" s="525" t="e">
        <f>AP15*0.86/1000</f>
        <v>#N/A</v>
      </c>
      <c r="AQ16" s="71">
        <f ca="1">AF86</f>
        <v>0</v>
      </c>
      <c r="AR16" s="71">
        <f ca="1">AQ16</f>
        <v>0</v>
      </c>
      <c r="AS16" s="50"/>
      <c r="AT16" s="50"/>
      <c r="AU16" s="50"/>
      <c r="AV16" s="50"/>
      <c r="AW16" s="50"/>
      <c r="AX16" s="50"/>
      <c r="AY16" s="50"/>
      <c r="AZ16" s="50"/>
      <c r="BA16" s="50"/>
      <c r="BB16" s="50"/>
      <c r="BC16" s="50"/>
      <c r="BD16" s="50"/>
      <c r="BE16" s="50"/>
      <c r="BF16" s="50"/>
      <c r="BG16" s="50"/>
      <c r="BH16" s="50"/>
      <c r="BI16" s="50"/>
      <c r="BJ16" s="50"/>
      <c r="BK16" s="50"/>
      <c r="BL16" s="50"/>
      <c r="BM16" s="50"/>
      <c r="BN16" s="50"/>
      <c r="BO16" s="50"/>
    </row>
    <row r="17" spans="1:67" ht="14.25" customHeight="1" thickBot="1" x14ac:dyDescent="0.3">
      <c r="A17" s="347" t="s">
        <v>868</v>
      </c>
      <c r="B17" s="348" t="s">
        <v>1165</v>
      </c>
      <c r="C17" s="550" t="e">
        <f ca="1">C15/$C$6</f>
        <v>#N/A</v>
      </c>
      <c r="D17" s="551" t="e">
        <f ca="1">D15/$D$6</f>
        <v>#DIV/0!</v>
      </c>
      <c r="E17" s="552"/>
      <c r="F17" s="50"/>
      <c r="G17" s="506"/>
      <c r="H17" s="507"/>
      <c r="I17" s="508" t="e">
        <f t="shared" ref="I17:AR17" ca="1" si="8">I15/I$6</f>
        <v>#N/A</v>
      </c>
      <c r="J17" s="509" t="e">
        <f t="shared" ca="1" si="8"/>
        <v>#DIV/0!</v>
      </c>
      <c r="K17" s="510" t="e">
        <f t="shared" ca="1" si="8"/>
        <v>#DIV/0!</v>
      </c>
      <c r="L17" s="508" t="e">
        <f t="shared" ca="1" si="8"/>
        <v>#N/A</v>
      </c>
      <c r="M17" s="509" t="e">
        <f t="shared" ca="1" si="8"/>
        <v>#DIV/0!</v>
      </c>
      <c r="N17" s="553" t="e">
        <f t="shared" ca="1" si="8"/>
        <v>#DIV/0!</v>
      </c>
      <c r="O17" s="508" t="e">
        <f t="shared" ca="1" si="8"/>
        <v>#N/A</v>
      </c>
      <c r="P17" s="509" t="e">
        <f t="shared" ca="1" si="8"/>
        <v>#DIV/0!</v>
      </c>
      <c r="Q17" s="510" t="e">
        <f t="shared" ca="1" si="8"/>
        <v>#DIV/0!</v>
      </c>
      <c r="R17" s="508" t="e">
        <f t="shared" ca="1" si="8"/>
        <v>#N/A</v>
      </c>
      <c r="S17" s="509" t="e">
        <f t="shared" ca="1" si="8"/>
        <v>#DIV/0!</v>
      </c>
      <c r="T17" s="510" t="e">
        <f t="shared" ca="1" si="8"/>
        <v>#DIV/0!</v>
      </c>
      <c r="U17" s="508" t="e">
        <f t="shared" si="8"/>
        <v>#N/A</v>
      </c>
      <c r="V17" s="509" t="e">
        <f t="shared" ca="1" si="8"/>
        <v>#DIV/0!</v>
      </c>
      <c r="W17" s="510" t="e">
        <f t="shared" ca="1" si="8"/>
        <v>#DIV/0!</v>
      </c>
      <c r="X17" s="508" t="e">
        <f t="shared" si="8"/>
        <v>#N/A</v>
      </c>
      <c r="Y17" s="509" t="e">
        <f t="shared" ca="1" si="8"/>
        <v>#DIV/0!</v>
      </c>
      <c r="Z17" s="510" t="e">
        <f t="shared" ca="1" si="8"/>
        <v>#DIV/0!</v>
      </c>
      <c r="AA17" s="508" t="e">
        <f t="shared" si="8"/>
        <v>#N/A</v>
      </c>
      <c r="AB17" s="509" t="e">
        <f t="shared" ca="1" si="8"/>
        <v>#DIV/0!</v>
      </c>
      <c r="AC17" s="510" t="e">
        <f t="shared" ca="1" si="8"/>
        <v>#DIV/0!</v>
      </c>
      <c r="AD17" s="508" t="e">
        <f t="shared" si="8"/>
        <v>#N/A</v>
      </c>
      <c r="AE17" s="509" t="e">
        <f t="shared" ca="1" si="8"/>
        <v>#DIV/0!</v>
      </c>
      <c r="AF17" s="510" t="e">
        <f t="shared" ca="1" si="8"/>
        <v>#DIV/0!</v>
      </c>
      <c r="AG17" s="508" t="e">
        <f t="shared" si="8"/>
        <v>#N/A</v>
      </c>
      <c r="AH17" s="509" t="e">
        <f t="shared" ca="1" si="8"/>
        <v>#DIV/0!</v>
      </c>
      <c r="AI17" s="510" t="e">
        <f t="shared" ca="1" si="8"/>
        <v>#DIV/0!</v>
      </c>
      <c r="AJ17" s="508" t="e">
        <f t="shared" ca="1" si="8"/>
        <v>#N/A</v>
      </c>
      <c r="AK17" s="509" t="e">
        <f t="shared" ca="1" si="8"/>
        <v>#DIV/0!</v>
      </c>
      <c r="AL17" s="510" t="e">
        <f t="shared" ca="1" si="8"/>
        <v>#DIV/0!</v>
      </c>
      <c r="AM17" s="508" t="e">
        <f t="shared" ca="1" si="8"/>
        <v>#N/A</v>
      </c>
      <c r="AN17" s="509" t="e">
        <f t="shared" ca="1" si="8"/>
        <v>#DIV/0!</v>
      </c>
      <c r="AO17" s="510" t="e">
        <f t="shared" ca="1" si="8"/>
        <v>#DIV/0!</v>
      </c>
      <c r="AP17" s="511" t="e">
        <f t="shared" ca="1" si="8"/>
        <v>#N/A</v>
      </c>
      <c r="AQ17" s="512" t="e">
        <f t="shared" ca="1" si="8"/>
        <v>#DIV/0!</v>
      </c>
      <c r="AR17" s="512" t="e">
        <f t="shared" ca="1" si="8"/>
        <v>#DIV/0!</v>
      </c>
      <c r="AS17" s="50"/>
      <c r="AT17" s="50"/>
      <c r="AU17" s="50"/>
      <c r="AV17" s="50"/>
      <c r="AW17" s="50"/>
      <c r="AX17" s="50"/>
      <c r="AY17" s="50"/>
      <c r="AZ17" s="50"/>
      <c r="BA17" s="50"/>
      <c r="BB17" s="50"/>
      <c r="BC17" s="50"/>
      <c r="BD17" s="50"/>
      <c r="BE17" s="50"/>
      <c r="BF17" s="50"/>
      <c r="BG17" s="50"/>
      <c r="BH17" s="50"/>
      <c r="BI17" s="50"/>
      <c r="BJ17" s="50"/>
      <c r="BK17" s="50"/>
      <c r="BL17" s="50"/>
      <c r="BM17" s="50"/>
      <c r="BN17" s="50"/>
      <c r="BO17" s="50"/>
    </row>
    <row r="18" spans="1:67" ht="34.5" customHeight="1" x14ac:dyDescent="0.25">
      <c r="A18" s="484" t="s">
        <v>1172</v>
      </c>
      <c r="B18" s="554" t="s">
        <v>837</v>
      </c>
      <c r="C18" s="555">
        <f ca="1">C100</f>
        <v>0</v>
      </c>
      <c r="D18" s="556">
        <f>D100</f>
        <v>0</v>
      </c>
      <c r="E18" s="557">
        <f>D100</f>
        <v>0</v>
      </c>
      <c r="F18" s="50"/>
      <c r="G18" s="489" t="s">
        <v>1170</v>
      </c>
      <c r="H18" s="490" t="s">
        <v>837</v>
      </c>
      <c r="I18" s="295" t="e">
        <f>I100</f>
        <v>#N/A</v>
      </c>
      <c r="J18" s="558">
        <f>J100</f>
        <v>0</v>
      </c>
      <c r="K18" s="559">
        <f>J18</f>
        <v>0</v>
      </c>
      <c r="L18" s="295" t="e">
        <f>K100</f>
        <v>#N/A</v>
      </c>
      <c r="M18" s="558">
        <f>L100</f>
        <v>0</v>
      </c>
      <c r="N18" s="559">
        <f>M18</f>
        <v>0</v>
      </c>
      <c r="O18" s="295" t="e">
        <f>M100</f>
        <v>#N/A</v>
      </c>
      <c r="P18" s="558">
        <f>N100</f>
        <v>0</v>
      </c>
      <c r="Q18" s="559">
        <f>P18</f>
        <v>0</v>
      </c>
      <c r="R18" s="295" t="e">
        <f>O100</f>
        <v>#N/A</v>
      </c>
      <c r="S18" s="558">
        <f>P100</f>
        <v>0</v>
      </c>
      <c r="T18" s="559">
        <f>S18</f>
        <v>0</v>
      </c>
      <c r="U18" s="295" t="e">
        <f>Q100</f>
        <v>#N/A</v>
      </c>
      <c r="V18" s="558">
        <f>R100</f>
        <v>0</v>
      </c>
      <c r="W18" s="559">
        <f>V18</f>
        <v>0</v>
      </c>
      <c r="X18" s="295" t="e">
        <f>S100</f>
        <v>#N/A</v>
      </c>
      <c r="Y18" s="558">
        <f>T100</f>
        <v>0</v>
      </c>
      <c r="Z18" s="559">
        <f>Y18</f>
        <v>0</v>
      </c>
      <c r="AA18" s="295" t="e">
        <f>U100</f>
        <v>#N/A</v>
      </c>
      <c r="AB18" s="558">
        <f>V100</f>
        <v>0</v>
      </c>
      <c r="AC18" s="559">
        <f>AB18</f>
        <v>0</v>
      </c>
      <c r="AD18" s="295" t="e">
        <f>W100</f>
        <v>#N/A</v>
      </c>
      <c r="AE18" s="558">
        <f>X100</f>
        <v>0</v>
      </c>
      <c r="AF18" s="559">
        <f>AE18</f>
        <v>0</v>
      </c>
      <c r="AG18" s="295" t="e">
        <f>Y100</f>
        <v>#N/A</v>
      </c>
      <c r="AH18" s="558">
        <f>Z100</f>
        <v>0</v>
      </c>
      <c r="AI18" s="559">
        <f>AH18</f>
        <v>0</v>
      </c>
      <c r="AJ18" s="295" t="e">
        <f>AA100</f>
        <v>#N/A</v>
      </c>
      <c r="AK18" s="558">
        <f>AB100</f>
        <v>0</v>
      </c>
      <c r="AL18" s="559">
        <f>AK18</f>
        <v>0</v>
      </c>
      <c r="AM18" s="295" t="e">
        <f>AC100</f>
        <v>#N/A</v>
      </c>
      <c r="AN18" s="558">
        <f>AD100</f>
        <v>0</v>
      </c>
      <c r="AO18" s="559">
        <f>AN18</f>
        <v>0</v>
      </c>
      <c r="AP18" s="295" t="e">
        <f>AE100</f>
        <v>#N/A</v>
      </c>
      <c r="AQ18" s="558">
        <f>AF100</f>
        <v>0</v>
      </c>
      <c r="AR18" s="559">
        <f>AQ18</f>
        <v>0</v>
      </c>
      <c r="AS18" s="50"/>
      <c r="AT18" s="50"/>
      <c r="AU18" s="50"/>
      <c r="AV18" s="50"/>
      <c r="AW18" s="50"/>
      <c r="AX18" s="50"/>
      <c r="AY18" s="50"/>
      <c r="AZ18" s="50"/>
      <c r="BA18" s="50"/>
      <c r="BB18" s="50"/>
      <c r="BC18" s="50"/>
      <c r="BD18" s="50"/>
      <c r="BE18" s="50"/>
      <c r="BF18" s="50"/>
      <c r="BG18" s="50"/>
      <c r="BH18" s="50"/>
      <c r="BI18" s="50"/>
      <c r="BJ18" s="50"/>
      <c r="BK18" s="50"/>
      <c r="BL18" s="50"/>
      <c r="BM18" s="50"/>
      <c r="BN18" s="50"/>
      <c r="BO18" s="50"/>
    </row>
    <row r="19" spans="1:67" ht="15.75" customHeight="1" thickBot="1" x14ac:dyDescent="0.3">
      <c r="A19" s="347" t="s">
        <v>868</v>
      </c>
      <c r="B19" s="560" t="s">
        <v>1165</v>
      </c>
      <c r="C19" s="550" t="e">
        <f ca="1">C18/$C$6</f>
        <v>#N/A</v>
      </c>
      <c r="D19" s="551" t="e">
        <f ca="1">D18/$D$6</f>
        <v>#DIV/0!</v>
      </c>
      <c r="E19" s="561" t="e">
        <f ca="1">E18/$E$6</f>
        <v>#DIV/0!</v>
      </c>
      <c r="F19" s="50"/>
      <c r="G19" s="562"/>
      <c r="H19" s="507"/>
      <c r="I19" s="508" t="e">
        <f ca="1">I18/$C$6</f>
        <v>#N/A</v>
      </c>
      <c r="J19" s="563"/>
      <c r="K19" s="564"/>
      <c r="L19" s="508" t="e">
        <f ca="1">L18/$C$6</f>
        <v>#N/A</v>
      </c>
      <c r="M19" s="563"/>
      <c r="N19" s="564"/>
      <c r="O19" s="508" t="e">
        <f ca="1">O18/$C$6</f>
        <v>#N/A</v>
      </c>
      <c r="P19" s="563"/>
      <c r="Q19" s="564"/>
      <c r="R19" s="508" t="e">
        <f ca="1">R18/$C$6</f>
        <v>#N/A</v>
      </c>
      <c r="S19" s="563"/>
      <c r="T19" s="564"/>
      <c r="U19" s="508" t="e">
        <f ca="1">U18/$C$6</f>
        <v>#N/A</v>
      </c>
      <c r="V19" s="563"/>
      <c r="W19" s="564"/>
      <c r="X19" s="508" t="e">
        <f ca="1">X18/$C$6</f>
        <v>#N/A</v>
      </c>
      <c r="Y19" s="563"/>
      <c r="Z19" s="564"/>
      <c r="AA19" s="508" t="e">
        <f ca="1">AA18/$C$6</f>
        <v>#N/A</v>
      </c>
      <c r="AB19" s="563"/>
      <c r="AC19" s="564"/>
      <c r="AD19" s="508" t="e">
        <f ca="1">AD18/$C$6</f>
        <v>#N/A</v>
      </c>
      <c r="AE19" s="563"/>
      <c r="AF19" s="564"/>
      <c r="AG19" s="508" t="e">
        <f ca="1">AG18/$C$6</f>
        <v>#N/A</v>
      </c>
      <c r="AH19" s="563"/>
      <c r="AI19" s="564"/>
      <c r="AJ19" s="508" t="e">
        <f ca="1">AJ18/$C$6</f>
        <v>#N/A</v>
      </c>
      <c r="AK19" s="563"/>
      <c r="AL19" s="564"/>
      <c r="AM19" s="508" t="e">
        <f ca="1">AM18/$C$6</f>
        <v>#N/A</v>
      </c>
      <c r="AN19" s="563"/>
      <c r="AO19" s="564"/>
      <c r="AP19" s="508" t="e">
        <f ca="1">AP18/$C$6</f>
        <v>#N/A</v>
      </c>
      <c r="AQ19" s="563"/>
      <c r="AR19" s="564"/>
      <c r="AS19" s="50"/>
      <c r="AT19" s="50"/>
      <c r="AU19" s="50"/>
      <c r="AV19" s="50"/>
      <c r="AW19" s="50"/>
      <c r="AX19" s="50"/>
      <c r="AY19" s="50"/>
      <c r="AZ19" s="50"/>
      <c r="BA19" s="50"/>
      <c r="BB19" s="50"/>
      <c r="BC19" s="50"/>
      <c r="BD19" s="50"/>
      <c r="BE19" s="50"/>
      <c r="BF19" s="50"/>
      <c r="BG19" s="50"/>
      <c r="BH19" s="50"/>
      <c r="BI19" s="50"/>
      <c r="BJ19" s="50"/>
      <c r="BK19" s="50"/>
      <c r="BL19" s="50"/>
      <c r="BM19" s="50"/>
      <c r="BN19" s="50"/>
      <c r="BO19" s="50"/>
    </row>
    <row r="20" spans="1:67" ht="59.25" customHeight="1" x14ac:dyDescent="0.25">
      <c r="A20" s="565" t="s">
        <v>1171</v>
      </c>
      <c r="B20" s="566" t="s">
        <v>837</v>
      </c>
      <c r="C20" s="567"/>
      <c r="D20" s="534" t="e">
        <f ca="1">D6-C6</f>
        <v>#N/A</v>
      </c>
      <c r="E20" s="568" t="e">
        <f ca="1">E6-C6</f>
        <v>#N/A</v>
      </c>
      <c r="F20" s="50"/>
      <c r="G20" s="306" t="s">
        <v>1171</v>
      </c>
      <c r="H20" s="294" t="s">
        <v>837</v>
      </c>
      <c r="I20" s="335"/>
      <c r="J20" s="569" t="e">
        <f ca="1">J6-I6</f>
        <v>#N/A</v>
      </c>
      <c r="K20" s="570" t="e">
        <f ca="1">K6-I6</f>
        <v>#N/A</v>
      </c>
      <c r="L20" s="335"/>
      <c r="M20" s="569" t="e">
        <f ca="1">M6-L6</f>
        <v>#N/A</v>
      </c>
      <c r="N20" s="570" t="e">
        <f ca="1">N6-L6</f>
        <v>#N/A</v>
      </c>
      <c r="O20" s="335"/>
      <c r="P20" s="569" t="e">
        <f ca="1">P6-O6</f>
        <v>#N/A</v>
      </c>
      <c r="Q20" s="570" t="e">
        <f ca="1">Q6-O6</f>
        <v>#N/A</v>
      </c>
      <c r="R20" s="335"/>
      <c r="S20" s="569" t="e">
        <f ca="1">S6-R6</f>
        <v>#N/A</v>
      </c>
      <c r="T20" s="571" t="e">
        <f ca="1">T6-R6</f>
        <v>#N/A</v>
      </c>
      <c r="U20" s="335"/>
      <c r="V20" s="572" t="e">
        <f ca="1">V6-U6</f>
        <v>#N/A</v>
      </c>
      <c r="W20" s="570" t="e">
        <f ca="1">W6-U6</f>
        <v>#N/A</v>
      </c>
      <c r="X20" s="573"/>
      <c r="Y20" s="569" t="e">
        <f ca="1">Y6-X6</f>
        <v>#N/A</v>
      </c>
      <c r="Z20" s="570" t="e">
        <f ca="1">Z6-X6</f>
        <v>#N/A</v>
      </c>
      <c r="AA20" s="335"/>
      <c r="AB20" s="569" t="e">
        <f ca="1">AB6-AA6</f>
        <v>#N/A</v>
      </c>
      <c r="AC20" s="574" t="e">
        <f ca="1">AC6-AA6</f>
        <v>#N/A</v>
      </c>
      <c r="AD20" s="335"/>
      <c r="AE20" s="569" t="e">
        <f ca="1">AE6-AD6</f>
        <v>#N/A</v>
      </c>
      <c r="AF20" s="574" t="e">
        <f ca="1">AF6-AD6</f>
        <v>#N/A</v>
      </c>
      <c r="AG20" s="335"/>
      <c r="AH20" s="572" t="e">
        <f ca="1">AH6-AG6</f>
        <v>#N/A</v>
      </c>
      <c r="AI20" s="570" t="e">
        <f ca="1">AI6-AG6</f>
        <v>#N/A</v>
      </c>
      <c r="AJ20" s="335"/>
      <c r="AK20" s="572" t="e">
        <f ca="1">AK6-AJ6</f>
        <v>#N/A</v>
      </c>
      <c r="AL20" s="570" t="e">
        <f ca="1">AL6-AJ6</f>
        <v>#N/A</v>
      </c>
      <c r="AM20" s="336"/>
      <c r="AN20" s="569" t="e">
        <f ca="1">AN6-AM6</f>
        <v>#N/A</v>
      </c>
      <c r="AO20" s="570" t="e">
        <f ca="1">AO6-AM6</f>
        <v>#N/A</v>
      </c>
      <c r="AP20" s="335"/>
      <c r="AQ20" s="569" t="e">
        <f ca="1">AQ6-AP6</f>
        <v>#N/A</v>
      </c>
      <c r="AR20" s="570" t="e">
        <f ca="1">AR6-AP6</f>
        <v>#N/A</v>
      </c>
      <c r="AS20" s="50"/>
      <c r="AT20" s="50"/>
      <c r="AU20" s="50"/>
      <c r="AV20" s="50"/>
      <c r="AW20" s="50"/>
      <c r="AX20" s="50"/>
      <c r="AY20" s="50"/>
      <c r="AZ20" s="50"/>
      <c r="BA20" s="50"/>
      <c r="BB20" s="50"/>
      <c r="BC20" s="50"/>
      <c r="BD20" s="50"/>
      <c r="BE20" s="50"/>
      <c r="BF20" s="50"/>
      <c r="BG20" s="50"/>
      <c r="BH20" s="50"/>
      <c r="BI20" s="50"/>
      <c r="BJ20" s="50"/>
      <c r="BK20" s="50"/>
      <c r="BL20" s="50"/>
      <c r="BM20" s="50"/>
      <c r="BN20" s="50"/>
      <c r="BO20" s="50"/>
    </row>
    <row r="21" spans="1:67" x14ac:dyDescent="0.25">
      <c r="A21" s="320" t="s">
        <v>868</v>
      </c>
      <c r="B21" s="321" t="s">
        <v>1164</v>
      </c>
      <c r="C21" s="340"/>
      <c r="D21" s="575" t="e">
        <f ca="1">D20*0.123/1000</f>
        <v>#N/A</v>
      </c>
      <c r="E21" s="575" t="e">
        <f ca="1">E20*0.123/1000</f>
        <v>#N/A</v>
      </c>
      <c r="F21" s="50"/>
      <c r="G21" s="501" t="s">
        <v>868</v>
      </c>
      <c r="H21" s="502" t="s">
        <v>1164</v>
      </c>
      <c r="I21" s="576"/>
      <c r="J21" s="281" t="e">
        <f ca="1">J20*0.123/1000</f>
        <v>#N/A</v>
      </c>
      <c r="K21" s="577" t="e">
        <f ca="1">K20*0.123/1000</f>
        <v>#N/A</v>
      </c>
      <c r="L21" s="576"/>
      <c r="M21" s="281" t="e">
        <f ca="1">M20*0.123/1000</f>
        <v>#N/A</v>
      </c>
      <c r="N21" s="577" t="e">
        <f ca="1">N20*0.123/1000</f>
        <v>#N/A</v>
      </c>
      <c r="O21" s="576"/>
      <c r="P21" s="281" t="e">
        <f ca="1">P20*0.123/1000</f>
        <v>#N/A</v>
      </c>
      <c r="Q21" s="577" t="e">
        <f ca="1">Q20*0.123/1000</f>
        <v>#N/A</v>
      </c>
      <c r="R21" s="576"/>
      <c r="S21" s="281" t="e">
        <f ca="1">S20*0.123/1000</f>
        <v>#N/A</v>
      </c>
      <c r="T21" s="578" t="e">
        <f ca="1">T20*0.123/1000</f>
        <v>#N/A</v>
      </c>
      <c r="U21" s="576"/>
      <c r="V21" s="281" t="e">
        <f ca="1">V20*0.123/1000</f>
        <v>#N/A</v>
      </c>
      <c r="W21" s="577" t="e">
        <f ca="1">W20*0.123/1000</f>
        <v>#N/A</v>
      </c>
      <c r="X21" s="579"/>
      <c r="Y21" s="281" t="e">
        <f ca="1">Y20*0.123/1000</f>
        <v>#N/A</v>
      </c>
      <c r="Z21" s="577" t="e">
        <f ca="1">Z20*0.123/1000</f>
        <v>#N/A</v>
      </c>
      <c r="AA21" s="576"/>
      <c r="AB21" s="281" t="e">
        <f ca="1">AB20*0.123/1000</f>
        <v>#N/A</v>
      </c>
      <c r="AC21" s="577" t="e">
        <f ca="1">AC20*0.123/1000</f>
        <v>#N/A</v>
      </c>
      <c r="AD21" s="576"/>
      <c r="AE21" s="281" t="e">
        <f ca="1">AE20*0.123/1000</f>
        <v>#N/A</v>
      </c>
      <c r="AF21" s="577" t="e">
        <f ca="1">AF20*0.123/1000</f>
        <v>#N/A</v>
      </c>
      <c r="AG21" s="576"/>
      <c r="AH21" s="281" t="e">
        <f ca="1">AH20*0.123/1000</f>
        <v>#N/A</v>
      </c>
      <c r="AI21" s="577" t="e">
        <f ca="1">AI20*0.123/1000</f>
        <v>#N/A</v>
      </c>
      <c r="AJ21" s="576"/>
      <c r="AK21" s="281" t="e">
        <f ca="1">AK20*0.123/1000</f>
        <v>#N/A</v>
      </c>
      <c r="AL21" s="577" t="e">
        <f ca="1">AL20*0.123/1000</f>
        <v>#N/A</v>
      </c>
      <c r="AM21" s="580"/>
      <c r="AN21" s="281" t="e">
        <f ca="1">AN20*0.123/1000</f>
        <v>#N/A</v>
      </c>
      <c r="AO21" s="577" t="e">
        <f ca="1">AO20*0.123/1000</f>
        <v>#N/A</v>
      </c>
      <c r="AP21" s="576"/>
      <c r="AQ21" s="281" t="e">
        <f ca="1">AQ20*0.123/1000</f>
        <v>#N/A</v>
      </c>
      <c r="AR21" s="581" t="e">
        <f ca="1">AR20*0.123/1000</f>
        <v>#N/A</v>
      </c>
      <c r="AS21" s="50"/>
      <c r="AT21" s="50"/>
      <c r="AU21" s="50"/>
      <c r="AV21" s="50"/>
      <c r="AW21" s="50"/>
      <c r="AX21" s="50"/>
      <c r="AY21" s="50"/>
      <c r="AZ21" s="50"/>
      <c r="BA21" s="50"/>
      <c r="BB21" s="50"/>
      <c r="BC21" s="50"/>
      <c r="BD21" s="50"/>
      <c r="BE21" s="50"/>
      <c r="BF21" s="50"/>
      <c r="BG21" s="50"/>
      <c r="BH21" s="50"/>
      <c r="BI21" s="50"/>
      <c r="BJ21" s="50"/>
      <c r="BK21" s="50"/>
      <c r="BL21" s="50"/>
      <c r="BM21" s="50"/>
      <c r="BN21" s="50"/>
      <c r="BO21" s="50"/>
    </row>
    <row r="22" spans="1:67" ht="15.75" thickBot="1" x14ac:dyDescent="0.3">
      <c r="A22" s="347" t="s">
        <v>868</v>
      </c>
      <c r="B22" s="321" t="s">
        <v>1165</v>
      </c>
      <c r="C22" s="582"/>
      <c r="D22" s="583" t="e">
        <f ca="1">(D20/C6)*100</f>
        <v>#N/A</v>
      </c>
      <c r="E22" s="583" t="e">
        <f ca="1">(E20/C6)*100</f>
        <v>#N/A</v>
      </c>
      <c r="F22" s="50"/>
      <c r="G22" s="506" t="s">
        <v>868</v>
      </c>
      <c r="H22" s="507" t="s">
        <v>1165</v>
      </c>
      <c r="I22" s="584"/>
      <c r="J22" s="585" t="e">
        <f ca="1">(J20/I6)*100</f>
        <v>#N/A</v>
      </c>
      <c r="K22" s="586" t="e">
        <f ca="1">(K20/I6)*100</f>
        <v>#N/A</v>
      </c>
      <c r="L22" s="584"/>
      <c r="M22" s="585" t="e">
        <f ca="1">(M20/L6)*100</f>
        <v>#N/A</v>
      </c>
      <c r="N22" s="586" t="e">
        <f ca="1">(N20/L6)*100</f>
        <v>#N/A</v>
      </c>
      <c r="O22" s="584"/>
      <c r="P22" s="585" t="e">
        <f ca="1">(P20/O6)*100</f>
        <v>#N/A</v>
      </c>
      <c r="Q22" s="586" t="e">
        <f ca="1">(Q20/O6)*100</f>
        <v>#N/A</v>
      </c>
      <c r="R22" s="584"/>
      <c r="S22" s="585" t="e">
        <f ca="1">(S20/R6)*100</f>
        <v>#N/A</v>
      </c>
      <c r="T22" s="587" t="e">
        <f ca="1">(T20/R6)*100</f>
        <v>#N/A</v>
      </c>
      <c r="U22" s="582"/>
      <c r="V22" s="583" t="e">
        <f ca="1">(V20/U6)*100</f>
        <v>#N/A</v>
      </c>
      <c r="W22" s="588" t="e">
        <f ca="1">(W20/U6)*100</f>
        <v>#N/A</v>
      </c>
      <c r="X22" s="589"/>
      <c r="Y22" s="590" t="e">
        <f ca="1">(Y20/X6)*100</f>
        <v>#N/A</v>
      </c>
      <c r="Z22" s="591" t="e">
        <f ca="1">(Z20/X6)*100</f>
        <v>#N/A</v>
      </c>
      <c r="AA22" s="584"/>
      <c r="AB22" s="585" t="e">
        <f ca="1">(AB20/AA6)*100</f>
        <v>#N/A</v>
      </c>
      <c r="AC22" s="586" t="e">
        <f ca="1">(AC20/AA6)*100</f>
        <v>#N/A</v>
      </c>
      <c r="AD22" s="584"/>
      <c r="AE22" s="585" t="e">
        <f ca="1">(AE20/AD6)*100</f>
        <v>#N/A</v>
      </c>
      <c r="AF22" s="586" t="e">
        <f ca="1">(AF20/AD6)*100</f>
        <v>#N/A</v>
      </c>
      <c r="AG22" s="584"/>
      <c r="AH22" s="585" t="e">
        <f ca="1">(AH20/AG6)*100</f>
        <v>#N/A</v>
      </c>
      <c r="AI22" s="586" t="e">
        <f ca="1">(AI20/AG6)*100</f>
        <v>#N/A</v>
      </c>
      <c r="AJ22" s="584"/>
      <c r="AK22" s="585" t="e">
        <f ca="1">(AK20/AJ6)*100</f>
        <v>#N/A</v>
      </c>
      <c r="AL22" s="586" t="e">
        <f ca="1">(AL20/AJ6)*100</f>
        <v>#N/A</v>
      </c>
      <c r="AM22" s="592"/>
      <c r="AN22" s="590" t="e">
        <f ca="1">(AN20/AM6)*100</f>
        <v>#N/A</v>
      </c>
      <c r="AO22" s="591" t="e">
        <f ca="1">(AO20/AM6)*100</f>
        <v>#N/A</v>
      </c>
      <c r="AP22" s="584"/>
      <c r="AQ22" s="585" t="e">
        <f ca="1">(AQ20/AP6)*100</f>
        <v>#N/A</v>
      </c>
      <c r="AR22" s="586" t="e">
        <f ca="1">(AR20/AP6)*100</f>
        <v>#N/A</v>
      </c>
      <c r="AS22" s="50"/>
      <c r="AT22" s="50"/>
      <c r="AU22" s="50"/>
      <c r="AV22" s="50"/>
      <c r="AW22" s="50"/>
      <c r="AX22" s="50"/>
      <c r="AY22" s="50"/>
      <c r="AZ22" s="50"/>
      <c r="BA22" s="50"/>
      <c r="BB22" s="50"/>
      <c r="BC22" s="50"/>
      <c r="BD22" s="50"/>
      <c r="BE22" s="50"/>
      <c r="BF22" s="50"/>
      <c r="BG22" s="50"/>
      <c r="BH22" s="50"/>
      <c r="BI22" s="50"/>
      <c r="BJ22" s="50"/>
      <c r="BK22" s="50"/>
      <c r="BL22" s="50"/>
      <c r="BM22" s="50"/>
      <c r="BN22" s="50"/>
      <c r="BO22" s="50"/>
    </row>
    <row r="23" spans="1:67" ht="24" customHeight="1" x14ac:dyDescent="0.25">
      <c r="A23" s="593" t="s">
        <v>1173</v>
      </c>
      <c r="B23" s="485" t="s">
        <v>1308</v>
      </c>
      <c r="C23" s="486" t="e">
        <f ca="1">C6/('Ввод исходных данных'!$G$56+'Ввод исходных данных'!$D$23)</f>
        <v>#N/A</v>
      </c>
      <c r="D23" s="594" t="e">
        <f ca="1">D6/('Ввод исходных данных'!$G$56+'Ввод исходных данных'!$D$23)</f>
        <v>#DIV/0!</v>
      </c>
      <c r="E23" s="518" t="e">
        <f ca="1">E6/('Ввод исходных данных'!$G$56+'Ввод исходных данных'!$D$23)</f>
        <v>#DIV/0!</v>
      </c>
      <c r="F23" s="50"/>
      <c r="G23" s="306"/>
      <c r="H23" s="595"/>
      <c r="I23" s="303"/>
      <c r="J23" s="569"/>
      <c r="K23" s="596"/>
      <c r="L23" s="303"/>
      <c r="M23" s="569"/>
      <c r="N23" s="596"/>
      <c r="O23" s="303"/>
      <c r="P23" s="569"/>
      <c r="Q23" s="596"/>
      <c r="R23" s="303"/>
      <c r="S23" s="569"/>
      <c r="T23" s="596"/>
      <c r="U23" s="303"/>
      <c r="V23" s="569"/>
      <c r="W23" s="596"/>
      <c r="X23" s="303"/>
      <c r="Y23" s="569"/>
      <c r="Z23" s="596"/>
      <c r="AA23" s="303"/>
      <c r="AB23" s="569"/>
      <c r="AC23" s="596"/>
      <c r="AD23" s="303"/>
      <c r="AE23" s="569"/>
      <c r="AF23" s="596"/>
      <c r="AG23" s="303"/>
      <c r="AH23" s="569"/>
      <c r="AI23" s="596"/>
      <c r="AJ23" s="303"/>
      <c r="AK23" s="569"/>
      <c r="AL23" s="596"/>
      <c r="AM23" s="303"/>
      <c r="AN23" s="569"/>
      <c r="AO23" s="596"/>
      <c r="AP23" s="303"/>
      <c r="AQ23" s="569"/>
      <c r="AR23" s="596"/>
      <c r="AS23" s="50"/>
      <c r="AT23" s="50"/>
      <c r="AU23" s="50"/>
      <c r="AV23" s="50"/>
      <c r="AW23" s="50"/>
      <c r="AX23" s="50"/>
      <c r="AY23" s="50"/>
      <c r="AZ23" s="50"/>
      <c r="BA23" s="50"/>
      <c r="BB23" s="50"/>
      <c r="BC23" s="50"/>
      <c r="BD23" s="50"/>
      <c r="BE23" s="50"/>
      <c r="BF23" s="50"/>
      <c r="BG23" s="50"/>
      <c r="BH23" s="50"/>
      <c r="BI23" s="50"/>
      <c r="BJ23" s="50"/>
      <c r="BK23" s="50"/>
      <c r="BL23" s="50"/>
      <c r="BM23" s="50"/>
      <c r="BN23" s="50"/>
      <c r="BO23" s="50"/>
    </row>
    <row r="24" spans="1:67" ht="15.75" thickBot="1" x14ac:dyDescent="0.3">
      <c r="A24" s="597" t="s">
        <v>868</v>
      </c>
      <c r="B24" s="348" t="s">
        <v>1175</v>
      </c>
      <c r="C24" s="598" t="e">
        <f ca="1">C7*1000/('Ввод исходных данных'!$G$56+'Ввод исходных данных'!$G$23)</f>
        <v>#N/A</v>
      </c>
      <c r="D24" s="599" t="e">
        <f ca="1">0.123*D23</f>
        <v>#DIV/0!</v>
      </c>
      <c r="E24" s="600" t="e">
        <f ca="1">0.123*E23</f>
        <v>#DIV/0!</v>
      </c>
      <c r="F24" s="50"/>
      <c r="G24" s="347"/>
      <c r="H24" s="601"/>
      <c r="I24" s="602"/>
      <c r="J24" s="603"/>
      <c r="K24" s="604"/>
      <c r="L24" s="605"/>
      <c r="M24" s="603"/>
      <c r="N24" s="604"/>
      <c r="O24" s="605"/>
      <c r="P24" s="603"/>
      <c r="Q24" s="604"/>
      <c r="R24" s="602"/>
      <c r="S24" s="603"/>
      <c r="T24" s="604"/>
      <c r="U24" s="602"/>
      <c r="V24" s="603"/>
      <c r="W24" s="604"/>
      <c r="X24" s="605"/>
      <c r="Y24" s="603"/>
      <c r="Z24" s="604"/>
      <c r="AA24" s="605"/>
      <c r="AB24" s="603"/>
      <c r="AC24" s="604"/>
      <c r="AD24" s="605"/>
      <c r="AE24" s="603"/>
      <c r="AF24" s="604"/>
      <c r="AG24" s="605"/>
      <c r="AH24" s="603"/>
      <c r="AI24" s="604"/>
      <c r="AJ24" s="605"/>
      <c r="AK24" s="603"/>
      <c r="AL24" s="604"/>
      <c r="AM24" s="605"/>
      <c r="AN24" s="603"/>
      <c r="AO24" s="604"/>
      <c r="AP24" s="605"/>
      <c r="AQ24" s="603"/>
      <c r="AR24" s="604"/>
      <c r="AS24" s="50"/>
      <c r="AT24" s="50"/>
      <c r="AU24" s="50"/>
      <c r="AV24" s="50"/>
      <c r="AW24" s="50"/>
      <c r="AX24" s="50"/>
      <c r="AY24" s="50"/>
      <c r="AZ24" s="50"/>
      <c r="BA24" s="50"/>
      <c r="BB24" s="50"/>
      <c r="BC24" s="50"/>
      <c r="BD24" s="50"/>
      <c r="BE24" s="50"/>
      <c r="BF24" s="50"/>
      <c r="BG24" s="50"/>
      <c r="BH24" s="50"/>
      <c r="BI24" s="50"/>
      <c r="BJ24" s="50"/>
      <c r="BK24" s="50"/>
      <c r="BL24" s="50"/>
      <c r="BM24" s="50"/>
      <c r="BN24" s="50"/>
      <c r="BO24" s="50"/>
    </row>
    <row r="25" spans="1:67" x14ac:dyDescent="0.2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row>
    <row r="26" spans="1:67" ht="10.5" customHeight="1" x14ac:dyDescent="0.25">
      <c r="A26" s="50"/>
      <c r="B26" s="50" t="str">
        <f>A12</f>
        <v>Отопление и вентиляция</v>
      </c>
      <c r="C26" s="50" t="str">
        <f>A15</f>
        <v>Горячее водоснабжение</v>
      </c>
      <c r="D26" s="50" t="s">
        <v>1216</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row>
    <row r="27" spans="1:67" ht="10.5" customHeight="1" x14ac:dyDescent="0.25">
      <c r="A27" s="50"/>
      <c r="B27" s="285" t="e">
        <f>C12</f>
        <v>#N/A</v>
      </c>
      <c r="C27" s="285" t="e">
        <f>C15</f>
        <v>#N/A</v>
      </c>
      <c r="D27" s="285">
        <f ca="1">C18</f>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row>
    <row r="28" spans="1:67" ht="10.5" customHeight="1" x14ac:dyDescent="0.25">
      <c r="A28" s="50"/>
      <c r="B28" s="285">
        <f ca="1">D12</f>
        <v>0</v>
      </c>
      <c r="C28" s="285">
        <f ca="1">D15</f>
        <v>0</v>
      </c>
      <c r="D28" s="285">
        <f>D18</f>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row>
    <row r="29" spans="1:67" ht="10.5" customHeight="1" x14ac:dyDescent="0.25">
      <c r="A29" s="50"/>
      <c r="B29" s="285">
        <f ca="1">E12</f>
        <v>0</v>
      </c>
      <c r="C29" s="285">
        <f ca="1">E15</f>
        <v>0</v>
      </c>
      <c r="D29" s="285">
        <f>E18</f>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row>
    <row r="30" spans="1:67" ht="275.25" customHeight="1" x14ac:dyDescent="0.25">
      <c r="A30" s="50"/>
      <c r="B30" s="285"/>
      <c r="C30" s="285"/>
      <c r="D30" s="285"/>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row>
    <row r="31" spans="1:67" ht="15" customHeight="1"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row>
    <row r="32" spans="1:67" ht="15" customHeight="1" thickBot="1" x14ac:dyDescent="0.3">
      <c r="A32" s="2482" t="s">
        <v>1176</v>
      </c>
      <c r="B32" s="2482"/>
      <c r="C32" s="2482"/>
      <c r="D32" s="2482"/>
      <c r="F32" s="50"/>
      <c r="G32" s="286" t="s">
        <v>1177</v>
      </c>
      <c r="H32" s="286"/>
      <c r="I32" s="286"/>
      <c r="J32" s="286"/>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row>
    <row r="33" spans="1:67" ht="24" customHeight="1" x14ac:dyDescent="0.25">
      <c r="A33" s="2462" t="s">
        <v>829</v>
      </c>
      <c r="B33" s="2460" t="s">
        <v>1158</v>
      </c>
      <c r="C33" s="2453" t="s">
        <v>1159</v>
      </c>
      <c r="D33" s="2475" t="s">
        <v>1160</v>
      </c>
      <c r="E33" s="2455" t="s">
        <v>1161</v>
      </c>
      <c r="F33" s="50"/>
      <c r="G33" s="2473" t="s">
        <v>829</v>
      </c>
      <c r="H33" s="2471" t="s">
        <v>1158</v>
      </c>
      <c r="I33" s="2448" t="s">
        <v>488</v>
      </c>
      <c r="J33" s="2449"/>
      <c r="K33" s="2450"/>
      <c r="L33" s="2448" t="s">
        <v>489</v>
      </c>
      <c r="M33" s="2449"/>
      <c r="N33" s="2450"/>
      <c r="O33" s="2448" t="s">
        <v>490</v>
      </c>
      <c r="P33" s="2449"/>
      <c r="Q33" s="2450"/>
      <c r="R33" s="2448" t="s">
        <v>491</v>
      </c>
      <c r="S33" s="2449"/>
      <c r="T33" s="2450"/>
      <c r="U33" s="2448" t="s">
        <v>800</v>
      </c>
      <c r="V33" s="2449"/>
      <c r="W33" s="2450"/>
      <c r="X33" s="2448" t="s">
        <v>801</v>
      </c>
      <c r="Y33" s="2449"/>
      <c r="Z33" s="2450"/>
      <c r="AA33" s="2448" t="s">
        <v>802</v>
      </c>
      <c r="AB33" s="2449"/>
      <c r="AC33" s="2450"/>
      <c r="AD33" s="2448" t="s">
        <v>803</v>
      </c>
      <c r="AE33" s="2449"/>
      <c r="AF33" s="2450"/>
      <c r="AG33" s="2448" t="s">
        <v>804</v>
      </c>
      <c r="AH33" s="2449"/>
      <c r="AI33" s="2450"/>
      <c r="AJ33" s="2448" t="s">
        <v>482</v>
      </c>
      <c r="AK33" s="2449"/>
      <c r="AL33" s="2450"/>
      <c r="AM33" s="2448" t="s">
        <v>486</v>
      </c>
      <c r="AN33" s="2449"/>
      <c r="AO33" s="2450"/>
      <c r="AP33" s="2448" t="s">
        <v>487</v>
      </c>
      <c r="AQ33" s="2449"/>
      <c r="AR33" s="2450"/>
      <c r="AS33" s="50"/>
      <c r="AT33" s="50"/>
      <c r="AU33" s="50"/>
      <c r="AV33" s="50"/>
      <c r="AW33" s="50"/>
      <c r="AX33" s="50"/>
      <c r="AY33" s="50"/>
      <c r="AZ33" s="50"/>
      <c r="BA33" s="50"/>
      <c r="BB33" s="50"/>
      <c r="BC33" s="50"/>
      <c r="BD33" s="50"/>
      <c r="BE33" s="50"/>
      <c r="BF33" s="50"/>
      <c r="BG33" s="50"/>
      <c r="BH33" s="50"/>
      <c r="BI33" s="50"/>
      <c r="BJ33" s="50"/>
      <c r="BK33" s="50"/>
      <c r="BL33" s="50"/>
      <c r="BM33" s="50"/>
      <c r="BN33" s="50"/>
      <c r="BO33" s="50"/>
    </row>
    <row r="34" spans="1:67" ht="74.45" customHeight="1" thickBot="1" x14ac:dyDescent="0.3">
      <c r="A34" s="2463"/>
      <c r="B34" s="2461"/>
      <c r="C34" s="2454"/>
      <c r="D34" s="2476"/>
      <c r="E34" s="2456"/>
      <c r="F34" s="50"/>
      <c r="G34" s="2474"/>
      <c r="H34" s="2472"/>
      <c r="I34" s="606" t="s">
        <v>1159</v>
      </c>
      <c r="J34" s="607" t="s">
        <v>1160</v>
      </c>
      <c r="K34" s="608" t="s">
        <v>1163</v>
      </c>
      <c r="L34" s="606" t="s">
        <v>1159</v>
      </c>
      <c r="M34" s="607" t="s">
        <v>1160</v>
      </c>
      <c r="N34" s="608" t="s">
        <v>1163</v>
      </c>
      <c r="O34" s="609" t="s">
        <v>1159</v>
      </c>
      <c r="P34" s="607" t="s">
        <v>1160</v>
      </c>
      <c r="Q34" s="610" t="s">
        <v>1163</v>
      </c>
      <c r="R34" s="606" t="s">
        <v>1159</v>
      </c>
      <c r="S34" s="607" t="s">
        <v>1160</v>
      </c>
      <c r="T34" s="608" t="s">
        <v>1163</v>
      </c>
      <c r="U34" s="609" t="s">
        <v>1159</v>
      </c>
      <c r="V34" s="607" t="s">
        <v>1160</v>
      </c>
      <c r="W34" s="610" t="s">
        <v>1163</v>
      </c>
      <c r="X34" s="606" t="s">
        <v>1159</v>
      </c>
      <c r="Y34" s="607" t="s">
        <v>1160</v>
      </c>
      <c r="Z34" s="608" t="s">
        <v>1163</v>
      </c>
      <c r="AA34" s="609" t="s">
        <v>1159</v>
      </c>
      <c r="AB34" s="607" t="s">
        <v>1160</v>
      </c>
      <c r="AC34" s="610" t="s">
        <v>1163</v>
      </c>
      <c r="AD34" s="606" t="s">
        <v>1159</v>
      </c>
      <c r="AE34" s="607" t="s">
        <v>1160</v>
      </c>
      <c r="AF34" s="608" t="s">
        <v>1163</v>
      </c>
      <c r="AG34" s="609" t="s">
        <v>1159</v>
      </c>
      <c r="AH34" s="607" t="s">
        <v>1160</v>
      </c>
      <c r="AI34" s="610" t="s">
        <v>1163</v>
      </c>
      <c r="AJ34" s="606" t="s">
        <v>1159</v>
      </c>
      <c r="AK34" s="607" t="s">
        <v>1160</v>
      </c>
      <c r="AL34" s="608" t="s">
        <v>1163</v>
      </c>
      <c r="AM34" s="609" t="s">
        <v>1159</v>
      </c>
      <c r="AN34" s="607" t="s">
        <v>1160</v>
      </c>
      <c r="AO34" s="610" t="s">
        <v>1163</v>
      </c>
      <c r="AP34" s="606" t="s">
        <v>1159</v>
      </c>
      <c r="AQ34" s="607" t="s">
        <v>1160</v>
      </c>
      <c r="AR34" s="608" t="s">
        <v>1163</v>
      </c>
      <c r="AS34" s="50"/>
      <c r="AT34" s="50"/>
      <c r="AU34" s="50"/>
      <c r="AV34" s="50"/>
      <c r="AW34" s="50"/>
      <c r="AX34" s="50"/>
      <c r="AY34" s="50"/>
      <c r="AZ34" s="50"/>
      <c r="BA34" s="50"/>
      <c r="BB34" s="50"/>
      <c r="BC34" s="50"/>
      <c r="BD34" s="50"/>
      <c r="BE34" s="50"/>
      <c r="BF34" s="50"/>
      <c r="BG34" s="50"/>
      <c r="BH34" s="50"/>
      <c r="BI34" s="50"/>
      <c r="BJ34" s="50"/>
      <c r="BK34" s="50"/>
      <c r="BL34" s="50"/>
      <c r="BM34" s="50"/>
      <c r="BN34" s="50"/>
      <c r="BO34" s="50"/>
    </row>
    <row r="35" spans="1:67" ht="33.950000000000003" customHeight="1" thickBot="1" x14ac:dyDescent="0.3">
      <c r="A35" s="611" t="s">
        <v>1178</v>
      </c>
      <c r="B35" s="612" t="s">
        <v>837</v>
      </c>
      <c r="C35" s="292" t="e">
        <f>C38+C62+C65+C68-C71</f>
        <v>#N/A</v>
      </c>
      <c r="D35" s="291">
        <f ca="1">D36*1163</f>
        <v>0</v>
      </c>
      <c r="E35" s="613">
        <f ca="1">D35*'Ввод исходных данных'!$H$285</f>
        <v>0</v>
      </c>
      <c r="F35" s="614"/>
      <c r="G35" s="489" t="s">
        <v>1176</v>
      </c>
      <c r="H35" s="490" t="s">
        <v>837</v>
      </c>
      <c r="I35" s="295" t="e">
        <f ca="1">I38+I62+I65+I68-I71</f>
        <v>#N/A</v>
      </c>
      <c r="J35" s="491">
        <f>J36*1163</f>
        <v>0</v>
      </c>
      <c r="K35" s="615">
        <f ca="1">K36*1163</f>
        <v>0</v>
      </c>
      <c r="L35" s="296" t="e">
        <f ca="1">L38+L62+L65+L68-L71</f>
        <v>#N/A</v>
      </c>
      <c r="M35" s="491">
        <f>M36*1163</f>
        <v>0</v>
      </c>
      <c r="N35" s="615">
        <f ca="1">N36*1163</f>
        <v>0</v>
      </c>
      <c r="O35" s="295" t="e">
        <f ca="1">O38+O62+O65+O68-O71</f>
        <v>#N/A</v>
      </c>
      <c r="P35" s="491">
        <f>P36*1163</f>
        <v>0</v>
      </c>
      <c r="Q35" s="616">
        <f ca="1">Q36*1163</f>
        <v>0</v>
      </c>
      <c r="R35" s="296" t="e">
        <f ca="1">R38+R62+R65+R68-R71</f>
        <v>#N/A</v>
      </c>
      <c r="S35" s="615">
        <f>S36*1163</f>
        <v>0</v>
      </c>
      <c r="T35" s="615">
        <f ca="1">T36*1163</f>
        <v>0</v>
      </c>
      <c r="U35" s="295" t="e">
        <f>U38+U62+U65+U68-U71</f>
        <v>#N/A</v>
      </c>
      <c r="V35" s="491">
        <f>V36*1163</f>
        <v>0</v>
      </c>
      <c r="W35" s="617">
        <f ca="1">W36*1163</f>
        <v>0</v>
      </c>
      <c r="X35" s="295" t="e">
        <f>X38+X62+X65+X68-X71</f>
        <v>#N/A</v>
      </c>
      <c r="Y35" s="491">
        <f>Y36*1163</f>
        <v>0</v>
      </c>
      <c r="Z35" s="618">
        <f ca="1">Z36*1163</f>
        <v>0</v>
      </c>
      <c r="AA35" s="295" t="e">
        <f>AA38+AA62+AA65+AA68-AA71</f>
        <v>#N/A</v>
      </c>
      <c r="AB35" s="491">
        <f>AB36*1163</f>
        <v>0</v>
      </c>
      <c r="AC35" s="618">
        <f ca="1">AC36*1163</f>
        <v>0</v>
      </c>
      <c r="AD35" s="295" t="e">
        <f>AD38+AD62+AD65+AD68-AD71</f>
        <v>#N/A</v>
      </c>
      <c r="AE35" s="491">
        <f>AE36*1163</f>
        <v>0</v>
      </c>
      <c r="AF35" s="618">
        <f ca="1">AF36*1163</f>
        <v>0</v>
      </c>
      <c r="AG35" s="295" t="e">
        <f>AG38+AG62+AG65+AG68-AG71</f>
        <v>#N/A</v>
      </c>
      <c r="AH35" s="491">
        <f>AH36*1163</f>
        <v>0</v>
      </c>
      <c r="AI35" s="618">
        <f ca="1">AI36*1163</f>
        <v>0</v>
      </c>
      <c r="AJ35" s="295" t="e">
        <f ca="1">AJ38+AJ62+AJ65+AJ68-AJ71</f>
        <v>#N/A</v>
      </c>
      <c r="AK35" s="491">
        <f>AK36*1163</f>
        <v>0</v>
      </c>
      <c r="AL35" s="616">
        <f ca="1">AL36*1163</f>
        <v>0</v>
      </c>
      <c r="AM35" s="295" t="e">
        <f ca="1">AM38+AM62+AM65+AM68-AM71</f>
        <v>#N/A</v>
      </c>
      <c r="AN35" s="491">
        <f>AN36*1163</f>
        <v>0</v>
      </c>
      <c r="AO35" s="616">
        <f ca="1">AO36*1163</f>
        <v>0</v>
      </c>
      <c r="AP35" s="295" t="e">
        <f ca="1">AP38+AP62+AP65+AP68-AP71</f>
        <v>#N/A</v>
      </c>
      <c r="AQ35" s="491">
        <f>AQ36*1163</f>
        <v>0</v>
      </c>
      <c r="AR35" s="618">
        <f ca="1">AR36*1163</f>
        <v>0</v>
      </c>
      <c r="AS35" s="50"/>
      <c r="AT35" s="619"/>
      <c r="AU35" s="50"/>
      <c r="AV35" s="50"/>
      <c r="AW35" s="50"/>
      <c r="AX35" s="50"/>
      <c r="AY35" s="50"/>
      <c r="AZ35" s="50"/>
      <c r="BA35" s="50"/>
      <c r="BB35" s="50"/>
      <c r="BC35" s="50"/>
      <c r="BD35" s="50"/>
      <c r="BE35" s="50"/>
      <c r="BF35" s="50"/>
      <c r="BG35" s="50"/>
      <c r="BH35" s="50"/>
      <c r="BI35" s="50"/>
      <c r="BJ35" s="50"/>
      <c r="BK35" s="50"/>
      <c r="BL35" s="50"/>
      <c r="BM35" s="50"/>
      <c r="BN35" s="50"/>
      <c r="BO35" s="50"/>
    </row>
    <row r="36" spans="1:67" ht="15.95" customHeight="1" x14ac:dyDescent="0.25">
      <c r="A36" s="320" t="s">
        <v>868</v>
      </c>
      <c r="B36" s="321" t="s">
        <v>1168</v>
      </c>
      <c r="C36" s="620" t="e">
        <f>0.86*C35/1000</f>
        <v>#N/A</v>
      </c>
      <c r="D36" s="521">
        <f ca="1">'Ввод исходных данных'!J229</f>
        <v>0</v>
      </c>
      <c r="E36" s="621">
        <f ca="1">0.86*E35/1000</f>
        <v>0</v>
      </c>
      <c r="F36" s="622"/>
      <c r="G36" s="341" t="s">
        <v>868</v>
      </c>
      <c r="H36" s="342" t="s">
        <v>1168</v>
      </c>
      <c r="I36" s="623" t="e">
        <f ca="1">0.86*I35/1000</f>
        <v>#N/A</v>
      </c>
      <c r="J36" s="624">
        <f>'Ввод исходных данных'!$J$217</f>
        <v>0</v>
      </c>
      <c r="K36" s="613">
        <f ca="1">(J36)*'Ввод исходных данных'!$H$273</f>
        <v>0</v>
      </c>
      <c r="L36" s="623" t="e">
        <f ca="1">0.86*L35/1000</f>
        <v>#N/A</v>
      </c>
      <c r="M36" s="74">
        <f>'Ввод исходных данных'!$J$218</f>
        <v>0</v>
      </c>
      <c r="N36" s="613">
        <f ca="1">(M36)*'Ввод исходных данных'!$H$274</f>
        <v>0</v>
      </c>
      <c r="O36" s="623" t="e">
        <f ca="1">0.86*O35/1000</f>
        <v>#N/A</v>
      </c>
      <c r="P36" s="74">
        <f>'Ввод исходных данных'!$J$219</f>
        <v>0</v>
      </c>
      <c r="Q36" s="613">
        <f ca="1">(P36)*'Ввод исходных данных'!$H$275</f>
        <v>0</v>
      </c>
      <c r="R36" s="623" t="e">
        <f ca="1">0.86*R35/1000</f>
        <v>#N/A</v>
      </c>
      <c r="S36" s="74">
        <f>'Ввод исходных данных'!$J$220</f>
        <v>0</v>
      </c>
      <c r="T36" s="613">
        <f ca="1">(S36)*'Ввод исходных данных'!$H$276</f>
        <v>0</v>
      </c>
      <c r="U36" s="346"/>
      <c r="V36" s="74">
        <f>'Ввод исходных данных'!$J$221</f>
        <v>0</v>
      </c>
      <c r="W36" s="613">
        <f ca="1">(V36)*'Ввод исходных данных'!$H$277</f>
        <v>0</v>
      </c>
      <c r="X36" s="344"/>
      <c r="Y36" s="74">
        <f>'Ввод исходных данных'!$J$222</f>
        <v>0</v>
      </c>
      <c r="Z36" s="613">
        <f ca="1">(Y36)*'Ввод исходных данных'!$H$278</f>
        <v>0</v>
      </c>
      <c r="AA36" s="346"/>
      <c r="AB36" s="74">
        <f>'Ввод исходных данных'!$J$223</f>
        <v>0</v>
      </c>
      <c r="AC36" s="613">
        <f ca="1">(AB36)*'Ввод исходных данных'!$H$279</f>
        <v>0</v>
      </c>
      <c r="AD36" s="344"/>
      <c r="AE36" s="74">
        <f>'Ввод исходных данных'!$J$224</f>
        <v>0</v>
      </c>
      <c r="AF36" s="613">
        <f ca="1">(AE36)*'Ввод исходных данных'!$H$280</f>
        <v>0</v>
      </c>
      <c r="AG36" s="346"/>
      <c r="AH36" s="74">
        <f>'Ввод исходных данных'!$J$225</f>
        <v>0</v>
      </c>
      <c r="AI36" s="613">
        <f ca="1">(AH36)*'Ввод исходных данных'!$H$281</f>
        <v>0</v>
      </c>
      <c r="AJ36" s="623" t="e">
        <f ca="1">0.86*AJ35/1000</f>
        <v>#N/A</v>
      </c>
      <c r="AK36" s="625">
        <f>'Ввод исходных данных'!$J$226</f>
        <v>0</v>
      </c>
      <c r="AL36" s="613">
        <f ca="1">(AK36)*'Ввод исходных данных'!$H$282</f>
        <v>0</v>
      </c>
      <c r="AM36" s="623" t="e">
        <f ca="1">0.86*AM35/1000</f>
        <v>#N/A</v>
      </c>
      <c r="AN36" s="625">
        <f>'Ввод исходных данных'!$J$227</f>
        <v>0</v>
      </c>
      <c r="AO36" s="613">
        <f ca="1">(AN36)*'Ввод исходных данных'!$H$283</f>
        <v>0</v>
      </c>
      <c r="AP36" s="623" t="e">
        <f ca="1">0.86*AP35/1000</f>
        <v>#N/A</v>
      </c>
      <c r="AQ36" s="625">
        <f>'Ввод исходных данных'!$J$228</f>
        <v>0</v>
      </c>
      <c r="AR36" s="613">
        <f ca="1">(AQ36)*'Ввод исходных данных'!$H$284</f>
        <v>0</v>
      </c>
      <c r="AS36" s="50"/>
      <c r="AT36" s="381"/>
      <c r="AU36" s="50"/>
      <c r="AV36" s="50"/>
      <c r="AW36" s="50"/>
      <c r="AX36" s="50"/>
      <c r="AY36" s="50"/>
      <c r="AZ36" s="50"/>
      <c r="BA36" s="50"/>
      <c r="BB36" s="50"/>
      <c r="BC36" s="50"/>
      <c r="BD36" s="50"/>
      <c r="BE36" s="50"/>
      <c r="BF36" s="50"/>
      <c r="BG36" s="50"/>
      <c r="BH36" s="50"/>
      <c r="BI36" s="50"/>
      <c r="BJ36" s="50"/>
      <c r="BK36" s="50"/>
      <c r="BL36" s="50"/>
      <c r="BM36" s="50"/>
      <c r="BN36" s="50"/>
      <c r="BO36" s="50"/>
    </row>
    <row r="37" spans="1:67" ht="15.75" thickBot="1" x14ac:dyDescent="0.3">
      <c r="A37" s="320" t="s">
        <v>868</v>
      </c>
      <c r="B37" s="321" t="s">
        <v>1165</v>
      </c>
      <c r="C37" s="340"/>
      <c r="D37" s="626" t="e">
        <f ca="1">D39+D63+D66+D69-D72</f>
        <v>#N/A</v>
      </c>
      <c r="E37" s="626" t="e">
        <f ca="1">E39+E63+E66+E69-E72</f>
        <v>#N/A</v>
      </c>
      <c r="F37" s="627"/>
      <c r="G37" s="324" t="s">
        <v>868</v>
      </c>
      <c r="H37" s="350" t="s">
        <v>1165</v>
      </c>
      <c r="I37" s="353"/>
      <c r="J37" s="251"/>
      <c r="K37" s="628"/>
      <c r="L37" s="353"/>
      <c r="M37" s="251"/>
      <c r="N37" s="628"/>
      <c r="O37" s="352"/>
      <c r="P37" s="363"/>
      <c r="Q37" s="629"/>
      <c r="R37" s="353"/>
      <c r="S37" s="251"/>
      <c r="T37" s="630"/>
      <c r="U37" s="365"/>
      <c r="V37" s="363"/>
      <c r="W37" s="631"/>
      <c r="X37" s="352"/>
      <c r="Y37" s="363"/>
      <c r="Z37" s="629"/>
      <c r="AA37" s="365"/>
      <c r="AB37" s="363"/>
      <c r="AC37" s="631"/>
      <c r="AD37" s="352"/>
      <c r="AE37" s="363"/>
      <c r="AF37" s="629"/>
      <c r="AG37" s="365"/>
      <c r="AH37" s="363"/>
      <c r="AI37" s="631"/>
      <c r="AJ37" s="353"/>
      <c r="AK37" s="251"/>
      <c r="AL37" s="630"/>
      <c r="AM37" s="365"/>
      <c r="AN37" s="363"/>
      <c r="AO37" s="631"/>
      <c r="AP37" s="353"/>
      <c r="AQ37" s="251"/>
      <c r="AR37" s="630"/>
      <c r="AS37" s="50"/>
      <c r="AT37" s="632"/>
      <c r="AU37" s="50"/>
      <c r="AV37" s="50"/>
      <c r="AW37" s="50"/>
      <c r="AX37" s="50"/>
      <c r="AY37" s="50"/>
      <c r="AZ37" s="50"/>
      <c r="BA37" s="50"/>
      <c r="BB37" s="50"/>
      <c r="BC37" s="50"/>
      <c r="BD37" s="50"/>
      <c r="BE37" s="50"/>
      <c r="BF37" s="50"/>
      <c r="BG37" s="50"/>
      <c r="BH37" s="50"/>
      <c r="BI37" s="50"/>
      <c r="BJ37" s="50"/>
      <c r="BK37" s="50"/>
      <c r="BL37" s="50"/>
      <c r="BM37" s="50"/>
      <c r="BN37" s="50"/>
      <c r="BO37" s="50"/>
    </row>
    <row r="38" spans="1:67" ht="39.950000000000003" customHeight="1" x14ac:dyDescent="0.25">
      <c r="A38" s="633" t="s">
        <v>1179</v>
      </c>
      <c r="B38" s="612" t="s">
        <v>837</v>
      </c>
      <c r="C38" s="298" t="e">
        <f>C41+C44+C47+C50+C53+C56+C59</f>
        <v>#N/A</v>
      </c>
      <c r="D38" s="634" t="e">
        <f ca="1">$C38*(($D$35+$D$71)/($C$35+$C$71))</f>
        <v>#N/A</v>
      </c>
      <c r="E38" s="634" t="e">
        <f ca="1">$C38*(($E$35+$E$71)/($C$35+$C$71))</f>
        <v>#N/A</v>
      </c>
      <c r="F38" s="635" t="e">
        <f ca="1">E38-E44+F44</f>
        <v>#N/A</v>
      </c>
      <c r="G38" s="489" t="s">
        <v>1180</v>
      </c>
      <c r="H38" s="636" t="s">
        <v>837</v>
      </c>
      <c r="I38" s="298" t="e">
        <f>I41+I44+I47+I50+I53+I56+I59</f>
        <v>#N/A</v>
      </c>
      <c r="J38" s="634" t="e">
        <f ca="1">I38*((J$35+J$71)/(I$35+I$71))</f>
        <v>#N/A</v>
      </c>
      <c r="K38" s="634">
        <f ca="1">IFERROR(I38*((K$35+K$71)/(I$35+I$71)),0)</f>
        <v>0</v>
      </c>
      <c r="L38" s="298" t="e">
        <f>L41+L44+L47+L50+L53+L56+L59</f>
        <v>#N/A</v>
      </c>
      <c r="M38" s="634" t="e">
        <f ca="1">L38*((M$35+M$71)/(L$35+L$71))</f>
        <v>#N/A</v>
      </c>
      <c r="N38" s="634">
        <f ca="1">IFERROR(L38*((N$35+N$71)/(L$35+L$71)),0)</f>
        <v>0</v>
      </c>
      <c r="O38" s="298" t="e">
        <f>O41+O44+O47+O50+O53+O56+O59</f>
        <v>#N/A</v>
      </c>
      <c r="P38" s="634" t="e">
        <f ca="1">O38*((P$35+P$71)/(O$35+O$71))</f>
        <v>#N/A</v>
      </c>
      <c r="Q38" s="634">
        <f ca="1">IFERROR(O38*((Q$35+Q$71)/(O$35+O$71)),0)</f>
        <v>0</v>
      </c>
      <c r="R38" s="298" t="e">
        <f>R41+R44+R47+R50+R53+R56+R59</f>
        <v>#N/A</v>
      </c>
      <c r="S38" s="634" t="e">
        <f ca="1">R38*((S$35+S$71)/(R$35+R$71))</f>
        <v>#N/A</v>
      </c>
      <c r="T38" s="634">
        <f ca="1">IFERROR(R38*((T$35+T$71)/(R$35+R$71)),0)</f>
        <v>0</v>
      </c>
      <c r="U38" s="298" t="e">
        <f>U41+U44+U47+U50+U53+U56+U59</f>
        <v>#N/A</v>
      </c>
      <c r="V38" s="634">
        <f>IFERROR(U38*((V$35+V$71)/(U$35+U$71)),0)</f>
        <v>0</v>
      </c>
      <c r="W38" s="634">
        <f ca="1">IFERROR(U38*((W$35+W$71)/(U$35+U$71)),0)</f>
        <v>0</v>
      </c>
      <c r="X38" s="298" t="e">
        <f>X41+X44+X47+X50+X53+X56+X59</f>
        <v>#N/A</v>
      </c>
      <c r="Y38" s="634">
        <f>IFERROR(X38*((Y$35+Y$71)/(X$35+X$71)),0)</f>
        <v>0</v>
      </c>
      <c r="Z38" s="634">
        <f ca="1">IFERROR(X38*((Z$35+Z$71)/(X$35+X$71)),0)</f>
        <v>0</v>
      </c>
      <c r="AA38" s="298" t="e">
        <f>AA41+AA44+AA47+AA50+AA53+AA56+AA59</f>
        <v>#N/A</v>
      </c>
      <c r="AB38" s="634">
        <f>IFERROR(AA38*((AB$35+AB$71)/(AA$35+AA$71)),0)</f>
        <v>0</v>
      </c>
      <c r="AC38" s="634">
        <f ca="1">IFERROR(AA38*((AC$35+AC$71)/(AA$35+AA$71)),0)</f>
        <v>0</v>
      </c>
      <c r="AD38" s="298" t="e">
        <f>AD41+AD44+AD47+AD50+AD53+AD56+AD59</f>
        <v>#N/A</v>
      </c>
      <c r="AE38" s="634">
        <f>IFERROR(AD38*((AE$35+AE$71)/(AD$35+AD$71)),0)</f>
        <v>0</v>
      </c>
      <c r="AF38" s="634">
        <f ca="1">IFERROR(AD38*((AF$35+AF$71)/(AD$35+AD$71)),0)</f>
        <v>0</v>
      </c>
      <c r="AG38" s="298" t="e">
        <f>AG41+AG44+AG47+AG50+AG53+AG56+AG59</f>
        <v>#N/A</v>
      </c>
      <c r="AH38" s="634">
        <f>IFERROR(AG38*((AH$35+AH$71)/(AG$35+AG$71)),0)</f>
        <v>0</v>
      </c>
      <c r="AI38" s="634">
        <f ca="1">IFERROR(AG38*((AI$35+AI$71)/(AG$35+AG$71)),0)</f>
        <v>0</v>
      </c>
      <c r="AJ38" s="298" t="e">
        <f>AJ41+AJ44+AJ47+AJ50+AJ53+AJ56+AJ59</f>
        <v>#N/A</v>
      </c>
      <c r="AK38" s="634">
        <f ca="1">IFERROR(AJ38*((AK$35+AK$71)/(AJ$35+AJ$71)),0)</f>
        <v>0</v>
      </c>
      <c r="AL38" s="634">
        <f ca="1">IFERROR(AJ38*((AL$35+AL$71)/(AJ$35+AJ$71)),0)</f>
        <v>0</v>
      </c>
      <c r="AM38" s="298" t="e">
        <f>AM41+AM44+AM47+AM50+AM53+AM56+AM59</f>
        <v>#N/A</v>
      </c>
      <c r="AN38" s="634">
        <f ca="1">IFERROR(AM38*((AN$35+AN$71)/(AM$35+AM$71)),0)</f>
        <v>0</v>
      </c>
      <c r="AO38" s="634">
        <f ca="1">IFERROR(AM38*((AO$35+AO$71)/(AM$35+AM$71)),0)</f>
        <v>0</v>
      </c>
      <c r="AP38" s="298" t="e">
        <f>AP41+AP44+AP47+AP50+AP53+AP56+AP59</f>
        <v>#N/A</v>
      </c>
      <c r="AQ38" s="634">
        <f ca="1">IFERROR(AP38*((AQ$35+AQ$71)/(AP$35+AP$71)),0)</f>
        <v>0</v>
      </c>
      <c r="AR38" s="634">
        <f ca="1">IFERROR(AP38*((AR$35+AR$71)/(AP$35+AP$71)),0)</f>
        <v>0</v>
      </c>
      <c r="AS38" s="50"/>
      <c r="AT38" s="619"/>
      <c r="AU38" s="637"/>
      <c r="AV38" s="50"/>
      <c r="AW38" s="50"/>
      <c r="AX38" s="50"/>
      <c r="AY38" s="50"/>
      <c r="AZ38" s="50"/>
      <c r="BA38" s="50"/>
      <c r="BB38" s="50"/>
      <c r="BC38" s="50"/>
      <c r="BD38" s="50"/>
      <c r="BE38" s="50"/>
      <c r="BF38" s="50"/>
      <c r="BG38" s="50"/>
      <c r="BH38" s="50"/>
      <c r="BI38" s="50"/>
      <c r="BJ38" s="50"/>
      <c r="BK38" s="50"/>
      <c r="BL38" s="50"/>
      <c r="BM38" s="50"/>
      <c r="BN38" s="50"/>
      <c r="BO38" s="50"/>
    </row>
    <row r="39" spans="1:67" x14ac:dyDescent="0.25">
      <c r="A39" s="320" t="s">
        <v>868</v>
      </c>
      <c r="B39" s="321" t="s">
        <v>1168</v>
      </c>
      <c r="C39" s="520" t="e">
        <f>0.86*C38/1000</f>
        <v>#N/A</v>
      </c>
      <c r="D39" s="339" t="e">
        <f ca="1">0.86*D38/1000</f>
        <v>#N/A</v>
      </c>
      <c r="E39" s="638" t="e">
        <f ca="1">0.86*E38/1000</f>
        <v>#N/A</v>
      </c>
      <c r="F39" s="639"/>
      <c r="G39" s="341" t="s">
        <v>868</v>
      </c>
      <c r="H39" s="640" t="s">
        <v>1168</v>
      </c>
      <c r="I39" s="641" t="e">
        <f t="shared" ref="I39:W39" si="9">0.86*I38/1000</f>
        <v>#N/A</v>
      </c>
      <c r="J39" s="642" t="e">
        <f t="shared" ca="1" si="9"/>
        <v>#N/A</v>
      </c>
      <c r="K39" s="643">
        <f t="shared" ca="1" si="9"/>
        <v>0</v>
      </c>
      <c r="L39" s="644" t="e">
        <f t="shared" si="9"/>
        <v>#N/A</v>
      </c>
      <c r="M39" s="645" t="e">
        <f t="shared" ca="1" si="9"/>
        <v>#N/A</v>
      </c>
      <c r="N39" s="643">
        <f t="shared" ca="1" si="9"/>
        <v>0</v>
      </c>
      <c r="O39" s="646" t="e">
        <f t="shared" si="9"/>
        <v>#N/A</v>
      </c>
      <c r="P39" s="643" t="e">
        <f t="shared" ca="1" si="9"/>
        <v>#N/A</v>
      </c>
      <c r="Q39" s="643">
        <f t="shared" ca="1" si="9"/>
        <v>0</v>
      </c>
      <c r="R39" s="647" t="e">
        <f t="shared" si="9"/>
        <v>#N/A</v>
      </c>
      <c r="S39" s="642" t="e">
        <f t="shared" ca="1" si="9"/>
        <v>#N/A</v>
      </c>
      <c r="T39" s="648">
        <f t="shared" ca="1" si="9"/>
        <v>0</v>
      </c>
      <c r="U39" s="649" t="e">
        <f t="shared" si="9"/>
        <v>#N/A</v>
      </c>
      <c r="V39" s="642">
        <f t="shared" si="9"/>
        <v>0</v>
      </c>
      <c r="W39" s="648">
        <f t="shared" ca="1" si="9"/>
        <v>0</v>
      </c>
      <c r="X39" s="649" t="e">
        <f t="shared" ref="X39:AR39" si="10">0.86*X38/1000</f>
        <v>#N/A</v>
      </c>
      <c r="Y39" s="642">
        <f t="shared" si="10"/>
        <v>0</v>
      </c>
      <c r="Z39" s="648">
        <f t="shared" ca="1" si="10"/>
        <v>0</v>
      </c>
      <c r="AA39" s="332" t="e">
        <f t="shared" si="10"/>
        <v>#N/A</v>
      </c>
      <c r="AB39" s="642">
        <f t="shared" si="10"/>
        <v>0</v>
      </c>
      <c r="AC39" s="648">
        <f t="shared" ca="1" si="10"/>
        <v>0</v>
      </c>
      <c r="AD39" s="332" t="e">
        <f t="shared" si="10"/>
        <v>#N/A</v>
      </c>
      <c r="AE39" s="642">
        <f t="shared" si="10"/>
        <v>0</v>
      </c>
      <c r="AF39" s="648">
        <f t="shared" ca="1" si="10"/>
        <v>0</v>
      </c>
      <c r="AG39" s="332" t="e">
        <f t="shared" si="10"/>
        <v>#N/A</v>
      </c>
      <c r="AH39" s="642">
        <f t="shared" si="10"/>
        <v>0</v>
      </c>
      <c r="AI39" s="648">
        <f t="shared" ca="1" si="10"/>
        <v>0</v>
      </c>
      <c r="AJ39" s="644" t="e">
        <f t="shared" si="10"/>
        <v>#N/A</v>
      </c>
      <c r="AK39" s="642">
        <f t="shared" ca="1" si="10"/>
        <v>0</v>
      </c>
      <c r="AL39" s="648">
        <f t="shared" ca="1" si="10"/>
        <v>0</v>
      </c>
      <c r="AM39" s="650" t="e">
        <f t="shared" si="10"/>
        <v>#N/A</v>
      </c>
      <c r="AN39" s="642">
        <f t="shared" ca="1" si="10"/>
        <v>0</v>
      </c>
      <c r="AO39" s="648">
        <f t="shared" ca="1" si="10"/>
        <v>0</v>
      </c>
      <c r="AP39" s="644" t="e">
        <f t="shared" si="10"/>
        <v>#N/A</v>
      </c>
      <c r="AQ39" s="642">
        <f t="shared" ca="1" si="10"/>
        <v>0</v>
      </c>
      <c r="AR39" s="648">
        <f t="shared" ca="1" si="10"/>
        <v>0</v>
      </c>
      <c r="AS39" s="50"/>
      <c r="AT39" s="381"/>
      <c r="AU39" s="50"/>
      <c r="AV39" s="50"/>
      <c r="AW39" s="50"/>
      <c r="AX39" s="50"/>
      <c r="AY39" s="50"/>
      <c r="AZ39" s="50"/>
      <c r="BA39" s="50"/>
      <c r="BB39" s="50"/>
      <c r="BC39" s="50"/>
      <c r="BD39" s="50"/>
      <c r="BE39" s="50"/>
      <c r="BF39" s="50"/>
      <c r="BG39" s="50"/>
      <c r="BH39" s="50"/>
      <c r="BI39" s="50"/>
      <c r="BJ39" s="50"/>
      <c r="BK39" s="50"/>
      <c r="BL39" s="50"/>
      <c r="BM39" s="50"/>
      <c r="BN39" s="50"/>
      <c r="BO39" s="50"/>
    </row>
    <row r="40" spans="1:67" ht="15.75" thickBot="1" x14ac:dyDescent="0.3">
      <c r="A40" s="347" t="s">
        <v>868</v>
      </c>
      <c r="B40" s="348" t="s">
        <v>1165</v>
      </c>
      <c r="C40" s="651"/>
      <c r="D40" s="652"/>
      <c r="E40" s="552"/>
      <c r="F40" s="627"/>
      <c r="G40" s="324" t="s">
        <v>868</v>
      </c>
      <c r="H40" s="653" t="s">
        <v>1165</v>
      </c>
      <c r="I40" s="366"/>
      <c r="J40" s="654"/>
      <c r="K40" s="655"/>
      <c r="L40" s="352"/>
      <c r="M40" s="363"/>
      <c r="N40" s="656"/>
      <c r="O40" s="657"/>
      <c r="P40" s="251"/>
      <c r="Q40" s="658"/>
      <c r="R40" s="354"/>
      <c r="S40" s="363"/>
      <c r="T40" s="659"/>
      <c r="U40" s="365"/>
      <c r="V40" s="363"/>
      <c r="W40" s="631"/>
      <c r="X40" s="354"/>
      <c r="Y40" s="660"/>
      <c r="Z40" s="661"/>
      <c r="AA40" s="365"/>
      <c r="AB40" s="363"/>
      <c r="AC40" s="631"/>
      <c r="AD40" s="352"/>
      <c r="AE40" s="363"/>
      <c r="AF40" s="629"/>
      <c r="AG40" s="365"/>
      <c r="AH40" s="363"/>
      <c r="AI40" s="631"/>
      <c r="AJ40" s="662"/>
      <c r="AK40" s="663"/>
      <c r="AL40" s="664"/>
      <c r="AM40" s="665"/>
      <c r="AN40" s="660"/>
      <c r="AO40" s="666"/>
      <c r="AP40" s="354"/>
      <c r="AQ40" s="660"/>
      <c r="AR40" s="629"/>
      <c r="AS40" s="50"/>
      <c r="AT40" s="667"/>
      <c r="AU40" s="637"/>
      <c r="AV40" s="50"/>
      <c r="AW40" s="50"/>
      <c r="AX40" s="50"/>
      <c r="AY40" s="50"/>
      <c r="AZ40" s="50"/>
      <c r="BA40" s="50"/>
      <c r="BB40" s="50"/>
      <c r="BC40" s="50"/>
      <c r="BD40" s="50"/>
      <c r="BE40" s="50"/>
      <c r="BF40" s="50"/>
      <c r="BG40" s="50"/>
      <c r="BH40" s="50"/>
      <c r="BI40" s="50"/>
      <c r="BJ40" s="50"/>
      <c r="BK40" s="50"/>
      <c r="BL40" s="50"/>
      <c r="BM40" s="50"/>
      <c r="BN40" s="50"/>
      <c r="BO40" s="50"/>
    </row>
    <row r="41" spans="1:67" ht="23.25" customHeight="1" x14ac:dyDescent="0.25">
      <c r="A41" s="300" t="s">
        <v>1181</v>
      </c>
      <c r="B41" s="290" t="s">
        <v>837</v>
      </c>
      <c r="C41" s="301" t="e">
        <f>IF(C136=0,0,B136/C136*D136)*0.024*$D$149</f>
        <v>#N/A</v>
      </c>
      <c r="D41" s="668" t="e">
        <f ca="1">C41*($D$38/$C$38)</f>
        <v>#N/A</v>
      </c>
      <c r="E41" s="669" t="e">
        <f ca="1">C41*($E$38/$C$38)</f>
        <v>#N/A</v>
      </c>
      <c r="F41" s="50"/>
      <c r="G41" s="302" t="s">
        <v>1181</v>
      </c>
      <c r="H41" s="294" t="s">
        <v>837</v>
      </c>
      <c r="I41" s="303" t="e">
        <f>IF($C136=0,0,$B136/$C136*$D136)*0.024*G$149</f>
        <v>#N/A</v>
      </c>
      <c r="J41" s="572" t="e">
        <f ca="1">I41*($J$38/$I$38)</f>
        <v>#N/A</v>
      </c>
      <c r="K41" s="670" t="e">
        <f ca="1">I41*($K$38/$I$38)</f>
        <v>#N/A</v>
      </c>
      <c r="L41" s="303" t="e">
        <f>IF($C136=0,0,$B136/$C136*$D136)*0.024*H$149</f>
        <v>#N/A</v>
      </c>
      <c r="M41" s="671" t="e">
        <f ca="1">L41*($M$38/$L$38)</f>
        <v>#N/A</v>
      </c>
      <c r="N41" s="672" t="e">
        <f ca="1">L41*($N$38/$L$38)</f>
        <v>#N/A</v>
      </c>
      <c r="O41" s="303" t="e">
        <f>IF($C136=0,0,$B136/$C136*$D136)*0.024*I$149</f>
        <v>#N/A</v>
      </c>
      <c r="P41" s="673" t="e">
        <f ca="1">O41*($P$38/$O$38)</f>
        <v>#N/A</v>
      </c>
      <c r="Q41" s="674" t="e">
        <f ca="1">O41*($Q$38/$O$38)</f>
        <v>#N/A</v>
      </c>
      <c r="R41" s="303" t="e">
        <f>IF($C136=0,0,$B136/$C136*$D136)*0.024*J$149</f>
        <v>#N/A</v>
      </c>
      <c r="S41" s="673" t="e">
        <f ca="1">R41*($S$38/$R$38)</f>
        <v>#N/A</v>
      </c>
      <c r="T41" s="674" t="e">
        <f ca="1">R41*($T$38/$R$38)</f>
        <v>#N/A</v>
      </c>
      <c r="U41" s="303" t="e">
        <f>IF($C136=0,0,$B136/$C136*$D136)*0.024*K$149</f>
        <v>#N/A</v>
      </c>
      <c r="V41" s="673">
        <f>IFERROR(U41*($V$38/$U$38),0)</f>
        <v>0</v>
      </c>
      <c r="W41" s="674">
        <f ca="1">IFERROR(U41*($W$38/$U$38),0)</f>
        <v>0</v>
      </c>
      <c r="X41" s="303" t="e">
        <f>IF($C136=0,0,$B136/$C136*$D136)*0.024*L$149</f>
        <v>#N/A</v>
      </c>
      <c r="Y41" s="673">
        <f>IFERROR(X41*($Y$38/$X$38),0)</f>
        <v>0</v>
      </c>
      <c r="Z41" s="674">
        <f ca="1">IFERROR(X41*($Z$38/$X$38),0)</f>
        <v>0</v>
      </c>
      <c r="AA41" s="303" t="e">
        <f>IF($C136=0,0,$B136/$C136*$D136)*0.024*M$149</f>
        <v>#N/A</v>
      </c>
      <c r="AB41" s="673">
        <f>IFERROR(AA41*($AB$38/$AA$38),0)</f>
        <v>0</v>
      </c>
      <c r="AC41" s="674">
        <f ca="1">IFERROR(AA41*($AC$38/$AA$38),0)</f>
        <v>0</v>
      </c>
      <c r="AD41" s="303" t="e">
        <f>IF($C136=0,0,$B136/$C136*$D136)*0.024*N$149</f>
        <v>#N/A</v>
      </c>
      <c r="AE41" s="673">
        <f>IFERROR(AD41*($AE$38/$AD$38),0)</f>
        <v>0</v>
      </c>
      <c r="AF41" s="674">
        <f ca="1">IFERROR(AD41*($AF$35/$AD$35),0)</f>
        <v>0</v>
      </c>
      <c r="AG41" s="303" t="e">
        <f>IF($C136=0,0,$B136/$C136*$D136)*0.024*O$149</f>
        <v>#N/A</v>
      </c>
      <c r="AH41" s="673">
        <f>IFERROR(AG41*($AH$38/$AG$38),0)</f>
        <v>0</v>
      </c>
      <c r="AI41" s="674">
        <f ca="1">IFERROR(AG41*($AI$35/$AG$35),0)</f>
        <v>0</v>
      </c>
      <c r="AJ41" s="303" t="e">
        <f>IF($C136=0,0,$B136/$C136*$D136)*0.024*P$149</f>
        <v>#N/A</v>
      </c>
      <c r="AK41" s="673" t="e">
        <f ca="1">AJ41*($AK$38/$AJ$38)</f>
        <v>#N/A</v>
      </c>
      <c r="AL41" s="674">
        <f ca="1">IFERROR(AJ41*($AL$38/$AJ$38),0)</f>
        <v>0</v>
      </c>
      <c r="AM41" s="303" t="e">
        <f>IF($C136=0,0,$B136/$C136*$D136)*0.024*Q$149</f>
        <v>#N/A</v>
      </c>
      <c r="AN41" s="673" t="e">
        <f ca="1">AM41*($AN$38/$AM$38)</f>
        <v>#N/A</v>
      </c>
      <c r="AO41" s="674" t="e">
        <f ca="1">AM41*($AO$38/$AM$38)</f>
        <v>#N/A</v>
      </c>
      <c r="AP41" s="303" t="e">
        <f>IF($C136=0,0,$B136/$C136*$D136)*0.024*R$149</f>
        <v>#N/A</v>
      </c>
      <c r="AQ41" s="673" t="e">
        <f ca="1">AP41*($AQ$38/$AP$38)</f>
        <v>#N/A</v>
      </c>
      <c r="AR41" s="674" t="e">
        <f ca="1">AP41*($AR$38/$AP$38)</f>
        <v>#N/A</v>
      </c>
      <c r="AS41" s="50"/>
      <c r="AT41" s="619"/>
      <c r="AU41" s="619"/>
      <c r="AV41" s="50"/>
      <c r="AW41" s="50"/>
      <c r="AX41" s="50"/>
      <c r="AY41" s="50"/>
      <c r="AZ41" s="50"/>
      <c r="BA41" s="50"/>
      <c r="BB41" s="50"/>
      <c r="BC41" s="50"/>
      <c r="BD41" s="50"/>
      <c r="BE41" s="50"/>
      <c r="BF41" s="50"/>
      <c r="BG41" s="50"/>
      <c r="BH41" s="50"/>
      <c r="BI41" s="50"/>
      <c r="BJ41" s="50"/>
      <c r="BK41" s="50"/>
      <c r="BL41" s="50"/>
      <c r="BM41" s="50"/>
      <c r="BN41" s="50"/>
      <c r="BO41" s="50"/>
    </row>
    <row r="42" spans="1:67" ht="14.25" customHeight="1" x14ac:dyDescent="0.25">
      <c r="A42" s="320" t="s">
        <v>868</v>
      </c>
      <c r="B42" s="321" t="s">
        <v>1168</v>
      </c>
      <c r="C42" s="520" t="e">
        <f>0.86*C41/1000</f>
        <v>#N/A</v>
      </c>
      <c r="D42" s="339" t="e">
        <f ca="1">0.86*D41/1000</f>
        <v>#N/A</v>
      </c>
      <c r="E42" s="638" t="e">
        <f ca="1">0.86*E41/1000</f>
        <v>#N/A</v>
      </c>
      <c r="F42" s="50"/>
      <c r="G42" s="341" t="s">
        <v>868</v>
      </c>
      <c r="H42" s="342" t="s">
        <v>1168</v>
      </c>
      <c r="I42" s="650" t="e">
        <f t="shared" ref="I42:W42" si="11">0.86*I41/1000</f>
        <v>#N/A</v>
      </c>
      <c r="J42" s="642" t="e">
        <f t="shared" ca="1" si="11"/>
        <v>#N/A</v>
      </c>
      <c r="K42" s="675" t="e">
        <f t="shared" ca="1" si="11"/>
        <v>#N/A</v>
      </c>
      <c r="L42" s="650" t="e">
        <f>0.86*L41/1000</f>
        <v>#N/A</v>
      </c>
      <c r="M42" s="645" t="e">
        <f t="shared" ca="1" si="11"/>
        <v>#N/A</v>
      </c>
      <c r="N42" s="645" t="e">
        <f t="shared" ca="1" si="11"/>
        <v>#N/A</v>
      </c>
      <c r="O42" s="644" t="e">
        <f t="shared" si="11"/>
        <v>#N/A</v>
      </c>
      <c r="P42" s="676" t="e">
        <f t="shared" ca="1" si="11"/>
        <v>#N/A</v>
      </c>
      <c r="Q42" s="676" t="e">
        <f t="shared" ca="1" si="11"/>
        <v>#N/A</v>
      </c>
      <c r="R42" s="650" t="e">
        <f t="shared" si="11"/>
        <v>#N/A</v>
      </c>
      <c r="S42" s="642" t="e">
        <f t="shared" ca="1" si="11"/>
        <v>#N/A</v>
      </c>
      <c r="T42" s="648" t="e">
        <f t="shared" ca="1" si="11"/>
        <v>#N/A</v>
      </c>
      <c r="U42" s="650" t="e">
        <f t="shared" si="11"/>
        <v>#N/A</v>
      </c>
      <c r="V42" s="642">
        <f t="shared" si="11"/>
        <v>0</v>
      </c>
      <c r="W42" s="648">
        <f t="shared" ca="1" si="11"/>
        <v>0</v>
      </c>
      <c r="X42" s="650" t="e">
        <f t="shared" ref="X42:AR42" si="12">0.86*X41/1000</f>
        <v>#N/A</v>
      </c>
      <c r="Y42" s="642">
        <f t="shared" si="12"/>
        <v>0</v>
      </c>
      <c r="Z42" s="648">
        <f t="shared" ca="1" si="12"/>
        <v>0</v>
      </c>
      <c r="AA42" s="650" t="e">
        <f t="shared" si="12"/>
        <v>#N/A</v>
      </c>
      <c r="AB42" s="642">
        <f t="shared" si="12"/>
        <v>0</v>
      </c>
      <c r="AC42" s="648">
        <f t="shared" ca="1" si="12"/>
        <v>0</v>
      </c>
      <c r="AD42" s="650" t="e">
        <f t="shared" si="12"/>
        <v>#N/A</v>
      </c>
      <c r="AE42" s="642">
        <f t="shared" si="12"/>
        <v>0</v>
      </c>
      <c r="AF42" s="648">
        <f t="shared" ca="1" si="12"/>
        <v>0</v>
      </c>
      <c r="AG42" s="650" t="e">
        <f t="shared" si="12"/>
        <v>#N/A</v>
      </c>
      <c r="AH42" s="642">
        <f t="shared" si="12"/>
        <v>0</v>
      </c>
      <c r="AI42" s="648">
        <f t="shared" ca="1" si="12"/>
        <v>0</v>
      </c>
      <c r="AJ42" s="650" t="e">
        <f t="shared" si="12"/>
        <v>#N/A</v>
      </c>
      <c r="AK42" s="642" t="e">
        <f t="shared" ca="1" si="12"/>
        <v>#N/A</v>
      </c>
      <c r="AL42" s="648">
        <f t="shared" ca="1" si="12"/>
        <v>0</v>
      </c>
      <c r="AM42" s="650" t="e">
        <f t="shared" si="12"/>
        <v>#N/A</v>
      </c>
      <c r="AN42" s="642" t="e">
        <f t="shared" ca="1" si="12"/>
        <v>#N/A</v>
      </c>
      <c r="AO42" s="648" t="e">
        <f t="shared" ca="1" si="12"/>
        <v>#N/A</v>
      </c>
      <c r="AP42" s="650" t="e">
        <f t="shared" si="12"/>
        <v>#N/A</v>
      </c>
      <c r="AQ42" s="642" t="e">
        <f t="shared" ca="1" si="12"/>
        <v>#N/A</v>
      </c>
      <c r="AR42" s="648" t="e">
        <f t="shared" ca="1" si="12"/>
        <v>#N/A</v>
      </c>
      <c r="AS42" s="50"/>
      <c r="AT42" s="285"/>
      <c r="AU42" s="285"/>
      <c r="AV42" s="50"/>
      <c r="AW42" s="50"/>
      <c r="AX42" s="50"/>
      <c r="AY42" s="50"/>
      <c r="AZ42" s="50"/>
      <c r="BA42" s="50"/>
      <c r="BB42" s="50"/>
      <c r="BC42" s="50"/>
      <c r="BD42" s="50"/>
      <c r="BE42" s="50"/>
      <c r="BF42" s="50"/>
      <c r="BG42" s="50"/>
      <c r="BH42" s="50"/>
      <c r="BI42" s="50"/>
      <c r="BJ42" s="50"/>
      <c r="BK42" s="50"/>
      <c r="BL42" s="50"/>
      <c r="BM42" s="50"/>
      <c r="BN42" s="50"/>
      <c r="BO42" s="50"/>
    </row>
    <row r="43" spans="1:67" ht="15.75" thickBot="1" x14ac:dyDescent="0.3">
      <c r="A43" s="347" t="s">
        <v>868</v>
      </c>
      <c r="B43" s="348" t="s">
        <v>1165</v>
      </c>
      <c r="C43" s="651"/>
      <c r="D43" s="652"/>
      <c r="E43" s="552"/>
      <c r="F43" s="50"/>
      <c r="G43" s="324" t="s">
        <v>868</v>
      </c>
      <c r="H43" s="350" t="s">
        <v>1165</v>
      </c>
      <c r="I43" s="352"/>
      <c r="J43" s="654"/>
      <c r="K43" s="656"/>
      <c r="L43" s="352"/>
      <c r="M43" s="363"/>
      <c r="N43" s="677"/>
      <c r="O43" s="352"/>
      <c r="P43" s="363"/>
      <c r="Q43" s="629"/>
      <c r="R43" s="352"/>
      <c r="S43" s="363"/>
      <c r="T43" s="629"/>
      <c r="U43" s="352"/>
      <c r="V43" s="363"/>
      <c r="W43" s="631"/>
      <c r="X43" s="352"/>
      <c r="Y43" s="363"/>
      <c r="Z43" s="629"/>
      <c r="AA43" s="352"/>
      <c r="AB43" s="363"/>
      <c r="AC43" s="631"/>
      <c r="AD43" s="352"/>
      <c r="AE43" s="363"/>
      <c r="AF43" s="629"/>
      <c r="AG43" s="352"/>
      <c r="AH43" s="363"/>
      <c r="AI43" s="631"/>
      <c r="AJ43" s="352"/>
      <c r="AK43" s="663"/>
      <c r="AL43" s="664"/>
      <c r="AM43" s="352"/>
      <c r="AN43" s="660"/>
      <c r="AO43" s="661"/>
      <c r="AP43" s="352"/>
      <c r="AQ43" s="660"/>
      <c r="AR43" s="629"/>
      <c r="AS43" s="50"/>
      <c r="AT43" s="678"/>
      <c r="AU43" s="678"/>
      <c r="AV43" s="50"/>
      <c r="AW43" s="50"/>
      <c r="AX43" s="50"/>
      <c r="AY43" s="50"/>
      <c r="AZ43" s="50"/>
      <c r="BA43" s="50"/>
      <c r="BB43" s="50"/>
      <c r="BC43" s="50"/>
      <c r="BD43" s="50"/>
      <c r="BE43" s="50"/>
      <c r="BF43" s="50"/>
      <c r="BG43" s="50"/>
      <c r="BH43" s="50"/>
      <c r="BI43" s="50"/>
      <c r="BJ43" s="50"/>
      <c r="BK43" s="50"/>
      <c r="BL43" s="50"/>
      <c r="BM43" s="50"/>
      <c r="BN43" s="50"/>
      <c r="BO43" s="50"/>
    </row>
    <row r="44" spans="1:67" ht="33" customHeight="1" x14ac:dyDescent="0.25">
      <c r="A44" s="300" t="s">
        <v>1183</v>
      </c>
      <c r="B44" s="290" t="s">
        <v>837</v>
      </c>
      <c r="C44" s="301" t="e">
        <f>IF(C137=0,0,B137/C137*D137)*0.024*$D$149</f>
        <v>#N/A</v>
      </c>
      <c r="D44" s="668" t="e">
        <f ca="1">C44*($D$38/$C$38)</f>
        <v>#N/A</v>
      </c>
      <c r="E44" s="669" t="e">
        <f ca="1">C44*($E$38/$C$38)</f>
        <v>#N/A</v>
      </c>
      <c r="F44" s="285" t="e">
        <f>C44</f>
        <v>#N/A</v>
      </c>
      <c r="G44" s="302" t="s">
        <v>1183</v>
      </c>
      <c r="H44" s="294" t="s">
        <v>837</v>
      </c>
      <c r="I44" s="303" t="e">
        <f>IF($C137=0,0,$B137/$C137*$D137)*0.024*G$149</f>
        <v>#N/A</v>
      </c>
      <c r="J44" s="572" t="e">
        <f ca="1">I44*($J$38/$I$38)</f>
        <v>#N/A</v>
      </c>
      <c r="K44" s="670" t="e">
        <f ca="1">I44*($K$38/$I$38)</f>
        <v>#N/A</v>
      </c>
      <c r="L44" s="303" t="e">
        <f>IF($C137=0,0,$B137/$C137*$D137)*0.024*H$149</f>
        <v>#N/A</v>
      </c>
      <c r="M44" s="671" t="e">
        <f ca="1">L44*($M$38/$L$38)</f>
        <v>#N/A</v>
      </c>
      <c r="N44" s="672" t="e">
        <f ca="1">L44*($N$38/$L$38)</f>
        <v>#N/A</v>
      </c>
      <c r="O44" s="303" t="e">
        <f>IF($C137=0,0,$B137/$C137*$D137)*0.024*I$149</f>
        <v>#N/A</v>
      </c>
      <c r="P44" s="673" t="e">
        <f ca="1">O44*($P$38/$O$38)</f>
        <v>#N/A</v>
      </c>
      <c r="Q44" s="674" t="e">
        <f ca="1">O44*($Q$38/$O$38)</f>
        <v>#N/A</v>
      </c>
      <c r="R44" s="303" t="e">
        <f>IF($C137=0,0,$B137/$C137*$D137)*0.024*J$149</f>
        <v>#N/A</v>
      </c>
      <c r="S44" s="673" t="e">
        <f ca="1">R44*($S$38/$R$38)</f>
        <v>#N/A</v>
      </c>
      <c r="T44" s="674" t="e">
        <f ca="1">R44*($T$38/$R$38)</f>
        <v>#N/A</v>
      </c>
      <c r="U44" s="303" t="e">
        <f>IF($C137=0,0,$B137/$C137*$D137)*0.024*K$149</f>
        <v>#N/A</v>
      </c>
      <c r="V44" s="673">
        <f>IFERROR(U44*($V$38/$U$38),0)</f>
        <v>0</v>
      </c>
      <c r="W44" s="674">
        <f ca="1">IFERROR(U44*($W$38/$U$38),0)</f>
        <v>0</v>
      </c>
      <c r="X44" s="303" t="e">
        <f>IF($C137=0,0,$B137/$C137*$D137)*0.024*L$149</f>
        <v>#N/A</v>
      </c>
      <c r="Y44" s="673">
        <f>IFERROR(X44*($Y$38/$X$38),0)</f>
        <v>0</v>
      </c>
      <c r="Z44" s="674">
        <f ca="1">IFERROR(X44*($Z$38/$X$38),0)</f>
        <v>0</v>
      </c>
      <c r="AA44" s="303" t="e">
        <f>IF($C137=0,0,$B137/$C137*$D137)*0.024*M$149</f>
        <v>#N/A</v>
      </c>
      <c r="AB44" s="673">
        <f>IFERROR(AA44*($AB$38/$AA$38),0)</f>
        <v>0</v>
      </c>
      <c r="AC44" s="674">
        <f ca="1">IFERROR(AA44*($AC$38/$AA$38),0)</f>
        <v>0</v>
      </c>
      <c r="AD44" s="303" t="e">
        <f>IF($C137=0,0,$B137/$C137*$D137)*0.024*N$149</f>
        <v>#N/A</v>
      </c>
      <c r="AE44" s="673">
        <f>IFERROR(AD44*($AE$38/$AD$38),0)</f>
        <v>0</v>
      </c>
      <c r="AF44" s="674">
        <f ca="1">IFERROR(AD44*($AF$35/$AD$35),)</f>
        <v>0</v>
      </c>
      <c r="AG44" s="303" t="e">
        <f>IF($C137=0,0,$B137/$C137*$D137)*0.024*O$149</f>
        <v>#N/A</v>
      </c>
      <c r="AH44" s="673">
        <f>IFERROR(AG44*($AH$38/$AG$38),0)</f>
        <v>0</v>
      </c>
      <c r="AI44" s="674">
        <f ca="1">IFERROR(AG44*($AI$35/$AG$35),0)</f>
        <v>0</v>
      </c>
      <c r="AJ44" s="303" t="e">
        <f>IF($C137=0,0,$B137/$C137*$D137)*0.024*P$149</f>
        <v>#N/A</v>
      </c>
      <c r="AK44" s="673" t="e">
        <f ca="1">AJ44*($AK$38/$AJ$38)</f>
        <v>#N/A</v>
      </c>
      <c r="AL44" s="674">
        <f ca="1">IFERROR(AJ44*($AL$38/$AJ$38),0)</f>
        <v>0</v>
      </c>
      <c r="AM44" s="303" t="e">
        <f>IF($C137=0,0,$B137/$C137*$D137)*0.024*Q$149</f>
        <v>#N/A</v>
      </c>
      <c r="AN44" s="673" t="e">
        <f ca="1">AM44*($AN$38/$AM$38)</f>
        <v>#N/A</v>
      </c>
      <c r="AO44" s="674" t="e">
        <f ca="1">AM44*($AO$38/$AM$38)</f>
        <v>#N/A</v>
      </c>
      <c r="AP44" s="303" t="e">
        <f>IF($C137=0,0,$B137/$C137*$D137)*0.024*R$149</f>
        <v>#N/A</v>
      </c>
      <c r="AQ44" s="673" t="e">
        <f ca="1">AP44*($AQ$38/$AP$38)</f>
        <v>#N/A</v>
      </c>
      <c r="AR44" s="674" t="e">
        <f ca="1">AP44*($AR$38/$AP$38)</f>
        <v>#N/A</v>
      </c>
      <c r="AS44" s="50"/>
      <c r="AT44" s="50"/>
      <c r="AU44" s="50"/>
      <c r="AV44" s="50"/>
      <c r="AW44" s="50"/>
      <c r="AX44" s="50"/>
      <c r="AY44" s="50"/>
      <c r="AZ44" s="50"/>
      <c r="BA44" s="50"/>
      <c r="BB44" s="50"/>
      <c r="BC44" s="50"/>
      <c r="BD44" s="50"/>
      <c r="BE44" s="50"/>
      <c r="BF44" s="50"/>
      <c r="BG44" s="50"/>
      <c r="BH44" s="50"/>
      <c r="BI44" s="50"/>
      <c r="BJ44" s="50"/>
      <c r="BK44" s="50"/>
      <c r="BL44" s="50"/>
      <c r="BM44" s="50"/>
      <c r="BN44" s="50"/>
      <c r="BO44" s="50"/>
    </row>
    <row r="45" spans="1:67" x14ac:dyDescent="0.25">
      <c r="A45" s="320" t="s">
        <v>868</v>
      </c>
      <c r="B45" s="321" t="s">
        <v>1168</v>
      </c>
      <c r="C45" s="520" t="e">
        <f>0.86*C44/1000</f>
        <v>#N/A</v>
      </c>
      <c r="D45" s="339" t="e">
        <f ca="1">0.86*D44/1000</f>
        <v>#N/A</v>
      </c>
      <c r="E45" s="638" t="e">
        <f ca="1">0.86*E44/1000</f>
        <v>#N/A</v>
      </c>
      <c r="F45" s="50"/>
      <c r="G45" s="341" t="s">
        <v>868</v>
      </c>
      <c r="H45" s="342" t="s">
        <v>1168</v>
      </c>
      <c r="I45" s="650" t="e">
        <f t="shared" ref="I45:O45" si="13">0.86*I44/1000</f>
        <v>#N/A</v>
      </c>
      <c r="J45" s="642" t="e">
        <f t="shared" ca="1" si="13"/>
        <v>#N/A</v>
      </c>
      <c r="K45" s="675" t="e">
        <f t="shared" ca="1" si="13"/>
        <v>#N/A</v>
      </c>
      <c r="L45" s="650" t="e">
        <f>0.86*L44/1000</f>
        <v>#N/A</v>
      </c>
      <c r="M45" s="645" t="e">
        <f t="shared" ca="1" si="13"/>
        <v>#N/A</v>
      </c>
      <c r="N45" s="645" t="e">
        <f t="shared" ca="1" si="13"/>
        <v>#N/A</v>
      </c>
      <c r="O45" s="650" t="e">
        <f t="shared" si="13"/>
        <v>#N/A</v>
      </c>
      <c r="P45" s="679" t="e">
        <f ca="1">O45*($P$35/$O$35)</f>
        <v>#N/A</v>
      </c>
      <c r="Q45" s="680" t="e">
        <f ca="1">O45*($Q$35/$O$35)</f>
        <v>#N/A</v>
      </c>
      <c r="R45" s="650" t="e">
        <f t="shared" ref="R45:AR45" si="14">0.86*R44/1000</f>
        <v>#N/A</v>
      </c>
      <c r="S45" s="642" t="e">
        <f t="shared" ca="1" si="14"/>
        <v>#N/A</v>
      </c>
      <c r="T45" s="648" t="e">
        <f t="shared" ca="1" si="14"/>
        <v>#N/A</v>
      </c>
      <c r="U45" s="650" t="e">
        <f t="shared" si="14"/>
        <v>#N/A</v>
      </c>
      <c r="V45" s="642">
        <f t="shared" si="14"/>
        <v>0</v>
      </c>
      <c r="W45" s="648">
        <f t="shared" ca="1" si="14"/>
        <v>0</v>
      </c>
      <c r="X45" s="650" t="e">
        <f t="shared" si="14"/>
        <v>#N/A</v>
      </c>
      <c r="Y45" s="642">
        <f t="shared" si="14"/>
        <v>0</v>
      </c>
      <c r="Z45" s="648">
        <f t="shared" ca="1" si="14"/>
        <v>0</v>
      </c>
      <c r="AA45" s="650" t="e">
        <f t="shared" si="14"/>
        <v>#N/A</v>
      </c>
      <c r="AB45" s="642">
        <f t="shared" si="14"/>
        <v>0</v>
      </c>
      <c r="AC45" s="648">
        <f t="shared" ca="1" si="14"/>
        <v>0</v>
      </c>
      <c r="AD45" s="650" t="e">
        <f t="shared" si="14"/>
        <v>#N/A</v>
      </c>
      <c r="AE45" s="642">
        <f t="shared" si="14"/>
        <v>0</v>
      </c>
      <c r="AF45" s="648">
        <f t="shared" ca="1" si="14"/>
        <v>0</v>
      </c>
      <c r="AG45" s="650" t="e">
        <f t="shared" si="14"/>
        <v>#N/A</v>
      </c>
      <c r="AH45" s="642">
        <f t="shared" si="14"/>
        <v>0</v>
      </c>
      <c r="AI45" s="648">
        <f t="shared" ca="1" si="14"/>
        <v>0</v>
      </c>
      <c r="AJ45" s="650" t="e">
        <f t="shared" si="14"/>
        <v>#N/A</v>
      </c>
      <c r="AK45" s="642" t="e">
        <f t="shared" ca="1" si="14"/>
        <v>#N/A</v>
      </c>
      <c r="AL45" s="648">
        <f t="shared" ca="1" si="14"/>
        <v>0</v>
      </c>
      <c r="AM45" s="650" t="e">
        <f t="shared" si="14"/>
        <v>#N/A</v>
      </c>
      <c r="AN45" s="642" t="e">
        <f t="shared" ca="1" si="14"/>
        <v>#N/A</v>
      </c>
      <c r="AO45" s="648" t="e">
        <f t="shared" ca="1" si="14"/>
        <v>#N/A</v>
      </c>
      <c r="AP45" s="650" t="e">
        <f t="shared" si="14"/>
        <v>#N/A</v>
      </c>
      <c r="AQ45" s="642" t="e">
        <f t="shared" ca="1" si="14"/>
        <v>#N/A</v>
      </c>
      <c r="AR45" s="648" t="e">
        <f t="shared" ca="1" si="14"/>
        <v>#N/A</v>
      </c>
      <c r="AS45" s="50"/>
      <c r="AT45" s="381"/>
      <c r="AU45" s="50"/>
      <c r="AV45" s="50"/>
      <c r="AW45" s="50"/>
      <c r="AX45" s="50"/>
      <c r="AY45" s="50"/>
      <c r="AZ45" s="50"/>
      <c r="BA45" s="50"/>
      <c r="BB45" s="50"/>
      <c r="BC45" s="50"/>
      <c r="BD45" s="50"/>
      <c r="BE45" s="50"/>
      <c r="BF45" s="50"/>
      <c r="BG45" s="50"/>
      <c r="BH45" s="50"/>
      <c r="BI45" s="50"/>
      <c r="BJ45" s="50"/>
      <c r="BK45" s="50"/>
      <c r="BL45" s="50"/>
      <c r="BM45" s="50"/>
      <c r="BN45" s="50"/>
      <c r="BO45" s="50"/>
    </row>
    <row r="46" spans="1:67" ht="16.5" customHeight="1" thickBot="1" x14ac:dyDescent="0.3">
      <c r="A46" s="347" t="s">
        <v>868</v>
      </c>
      <c r="B46" s="348" t="s">
        <v>1165</v>
      </c>
      <c r="C46" s="691" t="e">
        <f>(C44/C38)*100</f>
        <v>#N/A</v>
      </c>
      <c r="D46" s="691" t="e">
        <f ca="1">(D44/D38)*100</f>
        <v>#N/A</v>
      </c>
      <c r="E46" s="691" t="e">
        <f ca="1">(E44/E38)*100</f>
        <v>#N/A</v>
      </c>
      <c r="F46" s="50"/>
      <c r="G46" s="324" t="s">
        <v>868</v>
      </c>
      <c r="H46" s="350" t="s">
        <v>1165</v>
      </c>
      <c r="I46" s="352"/>
      <c r="J46" s="363"/>
      <c r="K46" s="656"/>
      <c r="L46" s="352"/>
      <c r="M46" s="363"/>
      <c r="N46" s="677"/>
      <c r="O46" s="352"/>
      <c r="P46" s="654"/>
      <c r="Q46" s="681"/>
      <c r="R46" s="352"/>
      <c r="S46" s="363"/>
      <c r="T46" s="629"/>
      <c r="U46" s="352"/>
      <c r="V46" s="363"/>
      <c r="W46" s="631"/>
      <c r="X46" s="352"/>
      <c r="Y46" s="363"/>
      <c r="Z46" s="629"/>
      <c r="AA46" s="352"/>
      <c r="AB46" s="363"/>
      <c r="AC46" s="631"/>
      <c r="AD46" s="352"/>
      <c r="AE46" s="363"/>
      <c r="AF46" s="629"/>
      <c r="AG46" s="352"/>
      <c r="AH46" s="363"/>
      <c r="AI46" s="631"/>
      <c r="AJ46" s="352"/>
      <c r="AK46" s="663"/>
      <c r="AL46" s="664"/>
      <c r="AM46" s="352"/>
      <c r="AN46" s="660"/>
      <c r="AO46" s="666"/>
      <c r="AP46" s="352"/>
      <c r="AQ46" s="660"/>
      <c r="AR46" s="629"/>
      <c r="AS46" s="50"/>
      <c r="AT46" s="381"/>
      <c r="AU46" s="50"/>
      <c r="AV46" s="50"/>
      <c r="AW46" s="50"/>
      <c r="AX46" s="50"/>
      <c r="AY46" s="50"/>
      <c r="AZ46" s="50"/>
      <c r="BA46" s="50"/>
      <c r="BB46" s="50"/>
      <c r="BC46" s="50"/>
      <c r="BD46" s="50"/>
      <c r="BE46" s="50"/>
      <c r="BF46" s="50"/>
      <c r="BG46" s="50"/>
      <c r="BH46" s="50"/>
      <c r="BI46" s="50"/>
      <c r="BJ46" s="50"/>
      <c r="BK46" s="50"/>
      <c r="BL46" s="50"/>
      <c r="BM46" s="50"/>
      <c r="BN46" s="50"/>
      <c r="BO46" s="50"/>
    </row>
    <row r="47" spans="1:67" ht="37.5" customHeight="1" x14ac:dyDescent="0.25">
      <c r="A47" s="300" t="s">
        <v>1185</v>
      </c>
      <c r="B47" s="290" t="s">
        <v>837</v>
      </c>
      <c r="C47" s="301" t="e">
        <f>IF(C138=0,0,B138/C138*D138)*0.024*$D$149</f>
        <v>#DIV/0!</v>
      </c>
      <c r="D47" s="668" t="e">
        <f ca="1">C47*($D$35/$C$35)</f>
        <v>#DIV/0!</v>
      </c>
      <c r="E47" s="669" t="e">
        <f ca="1">C47*($E$38/$C$38)</f>
        <v>#DIV/0!</v>
      </c>
      <c r="F47" s="50"/>
      <c r="G47" s="302" t="s">
        <v>1185</v>
      </c>
      <c r="H47" s="294" t="s">
        <v>837</v>
      </c>
      <c r="I47" s="303" t="e">
        <f>IF($C138=0,0,$B138/$C138*$D138)*0.024*G$149</f>
        <v>#DIV/0!</v>
      </c>
      <c r="J47" s="572" t="e">
        <f ca="1">I47*($J$38/$I$38)</f>
        <v>#DIV/0!</v>
      </c>
      <c r="K47" s="670" t="e">
        <f ca="1">I47*($K$38/$I$38)</f>
        <v>#DIV/0!</v>
      </c>
      <c r="L47" s="303" t="e">
        <f>IF($C138=0,0,$B138/$C138*$D138)*0.024*H$149</f>
        <v>#DIV/0!</v>
      </c>
      <c r="M47" s="671" t="e">
        <f ca="1">L47*($M$38/$L$38)</f>
        <v>#DIV/0!</v>
      </c>
      <c r="N47" s="670" t="e">
        <f ca="1">L47*($N$38/$L$38)</f>
        <v>#DIV/0!</v>
      </c>
      <c r="O47" s="303" t="e">
        <f>IF($C138=0,0,$B138/$C138*$D138)*0.024*I$149</f>
        <v>#DIV/0!</v>
      </c>
      <c r="P47" s="673" t="e">
        <f ca="1">O47*($P$38/$O$38)</f>
        <v>#DIV/0!</v>
      </c>
      <c r="Q47" s="674" t="e">
        <f ca="1">O47*($Q$38/$O$38)</f>
        <v>#DIV/0!</v>
      </c>
      <c r="R47" s="303" t="e">
        <f>IF($C138=0,0,$B138/$C138*$D138)*0.024*J$149</f>
        <v>#DIV/0!</v>
      </c>
      <c r="S47" s="673" t="e">
        <f ca="1">R47*($S$38/$R$38)</f>
        <v>#DIV/0!</v>
      </c>
      <c r="T47" s="674" t="e">
        <f ca="1">R47*($T$38/$R$38)</f>
        <v>#DIV/0!</v>
      </c>
      <c r="U47" s="303" t="e">
        <f>IF($C138=0,0,$B138/$C138*$D138)*0.024*K$149</f>
        <v>#DIV/0!</v>
      </c>
      <c r="V47" s="673">
        <f>IFERROR(U47*($V$38/$U$38),0)</f>
        <v>0</v>
      </c>
      <c r="W47" s="674">
        <f ca="1">IFERROR(U47*($W$38/$U$38),0)</f>
        <v>0</v>
      </c>
      <c r="X47" s="303" t="e">
        <f>IF($C138=0,0,$B138/$C138*$D138)*0.024*L$149</f>
        <v>#DIV/0!</v>
      </c>
      <c r="Y47" s="673">
        <f>IFERROR(X47*($Y$38/$X$38),0)</f>
        <v>0</v>
      </c>
      <c r="Z47" s="674">
        <f ca="1">IFERROR(X47*($Z$38/$X$38),0)</f>
        <v>0</v>
      </c>
      <c r="AA47" s="303" t="e">
        <f>IF($C138=0,0,$B138/$C138*$D138)*0.024*M$149</f>
        <v>#DIV/0!</v>
      </c>
      <c r="AB47" s="673">
        <f>IFERROR(AA47*($AB$38/$AA$38),0)</f>
        <v>0</v>
      </c>
      <c r="AC47" s="674">
        <f ca="1">IFERROR(AA47*($AC$38/$AA$38),0)</f>
        <v>0</v>
      </c>
      <c r="AD47" s="303" t="e">
        <f>IF($C138=0,0,$B138/$C138*$D138)*0.024*N$149</f>
        <v>#DIV/0!</v>
      </c>
      <c r="AE47" s="673">
        <f>IFERROR(AD47*($AE$38/$AD$38),0)</f>
        <v>0</v>
      </c>
      <c r="AF47" s="674">
        <f ca="1">IFERROR(AD47*($AF$35/$AD$35),)</f>
        <v>0</v>
      </c>
      <c r="AG47" s="303" t="e">
        <f>IF($C138=0,0,$B138/$C138*$D138)*0.024*O$149</f>
        <v>#DIV/0!</v>
      </c>
      <c r="AH47" s="682">
        <f>IFERROR(AG47*($AH$35/$AG$35),0)</f>
        <v>0</v>
      </c>
      <c r="AI47" s="683">
        <f ca="1">IFERROR(AG47*($AI$35/$AG$35),0)</f>
        <v>0</v>
      </c>
      <c r="AJ47" s="303" t="e">
        <f>IF($C138=0,0,$B138/$C138*$D138)*0.024*P$149</f>
        <v>#DIV/0!</v>
      </c>
      <c r="AK47" s="673" t="e">
        <f ca="1">AJ47*($AK$38/$AJ$38)</f>
        <v>#DIV/0!</v>
      </c>
      <c r="AL47" s="674">
        <f ca="1">IFERROR(AJ47*($AL$38/$AJ$38),)</f>
        <v>0</v>
      </c>
      <c r="AM47" s="303" t="e">
        <f>IF($C138=0,0,$B138/$C138*$D138)*0.024*Q$149</f>
        <v>#DIV/0!</v>
      </c>
      <c r="AN47" s="673" t="e">
        <f ca="1">AM47*($AN$38/$AM$38)</f>
        <v>#DIV/0!</v>
      </c>
      <c r="AO47" s="674" t="e">
        <f ca="1">AM47*($AO$38/$AM$38)</f>
        <v>#DIV/0!</v>
      </c>
      <c r="AP47" s="303" t="e">
        <f>IF($C138=0,0,$B138/$C138*$D138)*0.024*R$149</f>
        <v>#DIV/0!</v>
      </c>
      <c r="AQ47" s="673" t="e">
        <f ca="1">AP47*($AQ$38/$AP$38)</f>
        <v>#DIV/0!</v>
      </c>
      <c r="AR47" s="674" t="e">
        <f ca="1">AP47*($AR$38/$AP$38)</f>
        <v>#DIV/0!</v>
      </c>
      <c r="AS47" s="50"/>
      <c r="AT47" s="684"/>
      <c r="AU47" s="637"/>
      <c r="AV47" s="50"/>
      <c r="AW47" s="50"/>
      <c r="AX47" s="50"/>
      <c r="AY47" s="50"/>
      <c r="AZ47" s="50"/>
      <c r="BA47" s="50"/>
      <c r="BB47" s="50"/>
      <c r="BC47" s="50"/>
      <c r="BD47" s="50"/>
      <c r="BE47" s="50"/>
      <c r="BF47" s="50"/>
      <c r="BG47" s="50"/>
      <c r="BH47" s="50"/>
      <c r="BI47" s="50"/>
      <c r="BJ47" s="50"/>
      <c r="BK47" s="50"/>
      <c r="BL47" s="50"/>
      <c r="BM47" s="50"/>
      <c r="BN47" s="50"/>
      <c r="BO47" s="50"/>
    </row>
    <row r="48" spans="1:67" ht="13.5" customHeight="1" x14ac:dyDescent="0.25">
      <c r="A48" s="320" t="s">
        <v>868</v>
      </c>
      <c r="B48" s="321" t="s">
        <v>1168</v>
      </c>
      <c r="C48" s="520" t="e">
        <f>0.86*C47/1000</f>
        <v>#DIV/0!</v>
      </c>
      <c r="D48" s="339" t="e">
        <f ca="1">0.86*D47/1000</f>
        <v>#DIV/0!</v>
      </c>
      <c r="E48" s="638" t="e">
        <f ca="1">0.86*E47/1000</f>
        <v>#DIV/0!</v>
      </c>
      <c r="F48" s="50"/>
      <c r="G48" s="341" t="s">
        <v>868</v>
      </c>
      <c r="H48" s="342" t="s">
        <v>1168</v>
      </c>
      <c r="I48" s="685" t="e">
        <f t="shared" ref="I48:O48" si="15">0.86*I47/1000</f>
        <v>#DIV/0!</v>
      </c>
      <c r="J48" s="642" t="e">
        <f t="shared" ca="1" si="15"/>
        <v>#DIV/0!</v>
      </c>
      <c r="K48" s="686" t="e">
        <f t="shared" ca="1" si="15"/>
        <v>#DIV/0!</v>
      </c>
      <c r="L48" s="685" t="e">
        <f>0.86*L47/1000</f>
        <v>#DIV/0!</v>
      </c>
      <c r="M48" s="645" t="e">
        <f t="shared" ca="1" si="15"/>
        <v>#DIV/0!</v>
      </c>
      <c r="N48" s="643" t="e">
        <f t="shared" ca="1" si="15"/>
        <v>#DIV/0!</v>
      </c>
      <c r="O48" s="685" t="e">
        <f t="shared" si="15"/>
        <v>#DIV/0!</v>
      </c>
      <c r="P48" s="679" t="e">
        <f ca="1">O48*($P$35/$O$35)</f>
        <v>#DIV/0!</v>
      </c>
      <c r="Q48" s="680" t="e">
        <f ca="1">O48*($Q$35/$O$35)</f>
        <v>#DIV/0!</v>
      </c>
      <c r="R48" s="685" t="e">
        <f t="shared" ref="R48:AR48" si="16">0.86*R47/1000</f>
        <v>#DIV/0!</v>
      </c>
      <c r="S48" s="687" t="e">
        <f t="shared" ca="1" si="16"/>
        <v>#DIV/0!</v>
      </c>
      <c r="T48" s="688" t="e">
        <f t="shared" ca="1" si="16"/>
        <v>#DIV/0!</v>
      </c>
      <c r="U48" s="685" t="e">
        <f t="shared" si="16"/>
        <v>#DIV/0!</v>
      </c>
      <c r="V48" s="642">
        <f t="shared" si="16"/>
        <v>0</v>
      </c>
      <c r="W48" s="648">
        <f t="shared" ca="1" si="16"/>
        <v>0</v>
      </c>
      <c r="X48" s="685" t="e">
        <f t="shared" si="16"/>
        <v>#DIV/0!</v>
      </c>
      <c r="Y48" s="642">
        <f t="shared" si="16"/>
        <v>0</v>
      </c>
      <c r="Z48" s="648">
        <f t="shared" ca="1" si="16"/>
        <v>0</v>
      </c>
      <c r="AA48" s="685" t="e">
        <f t="shared" si="16"/>
        <v>#DIV/0!</v>
      </c>
      <c r="AB48" s="642">
        <f t="shared" si="16"/>
        <v>0</v>
      </c>
      <c r="AC48" s="648">
        <f t="shared" ca="1" si="16"/>
        <v>0</v>
      </c>
      <c r="AD48" s="685" t="e">
        <f t="shared" si="16"/>
        <v>#DIV/0!</v>
      </c>
      <c r="AE48" s="642">
        <f t="shared" si="16"/>
        <v>0</v>
      </c>
      <c r="AF48" s="648">
        <f t="shared" ca="1" si="16"/>
        <v>0</v>
      </c>
      <c r="AG48" s="685" t="e">
        <f t="shared" si="16"/>
        <v>#DIV/0!</v>
      </c>
      <c r="AH48" s="642">
        <f t="shared" si="16"/>
        <v>0</v>
      </c>
      <c r="AI48" s="648">
        <f t="shared" ca="1" si="16"/>
        <v>0</v>
      </c>
      <c r="AJ48" s="685" t="e">
        <f t="shared" si="16"/>
        <v>#DIV/0!</v>
      </c>
      <c r="AK48" s="642" t="e">
        <f t="shared" ca="1" si="16"/>
        <v>#DIV/0!</v>
      </c>
      <c r="AL48" s="648">
        <f t="shared" ca="1" si="16"/>
        <v>0</v>
      </c>
      <c r="AM48" s="685" t="e">
        <f t="shared" si="16"/>
        <v>#DIV/0!</v>
      </c>
      <c r="AN48" s="642" t="e">
        <f t="shared" ca="1" si="16"/>
        <v>#DIV/0!</v>
      </c>
      <c r="AO48" s="648" t="e">
        <f t="shared" ca="1" si="16"/>
        <v>#DIV/0!</v>
      </c>
      <c r="AP48" s="685" t="e">
        <f t="shared" si="16"/>
        <v>#DIV/0!</v>
      </c>
      <c r="AQ48" s="642" t="e">
        <f t="shared" ca="1" si="16"/>
        <v>#DIV/0!</v>
      </c>
      <c r="AR48" s="648" t="e">
        <f t="shared" ca="1" si="16"/>
        <v>#DIV/0!</v>
      </c>
      <c r="AS48" s="50"/>
      <c r="AT48" s="381"/>
      <c r="AU48" s="50"/>
      <c r="AV48" s="50"/>
      <c r="AW48" s="50"/>
      <c r="AX48" s="50"/>
      <c r="AY48" s="50"/>
      <c r="AZ48" s="50"/>
      <c r="BA48" s="50"/>
      <c r="BB48" s="50"/>
      <c r="BC48" s="50"/>
      <c r="BD48" s="50"/>
      <c r="BE48" s="50"/>
      <c r="BF48" s="50"/>
      <c r="BG48" s="50"/>
      <c r="BH48" s="50"/>
      <c r="BI48" s="50"/>
      <c r="BJ48" s="50"/>
      <c r="BK48" s="50"/>
      <c r="BL48" s="50"/>
      <c r="BM48" s="50"/>
      <c r="BN48" s="50"/>
      <c r="BO48" s="50"/>
    </row>
    <row r="49" spans="1:67" ht="13.5" customHeight="1" thickBot="1" x14ac:dyDescent="0.3">
      <c r="A49" s="347" t="s">
        <v>868</v>
      </c>
      <c r="B49" s="348" t="s">
        <v>1165</v>
      </c>
      <c r="C49" s="651"/>
      <c r="D49" s="652"/>
      <c r="E49" s="552"/>
      <c r="F49" s="50"/>
      <c r="G49" s="324" t="s">
        <v>868</v>
      </c>
      <c r="H49" s="350" t="s">
        <v>1165</v>
      </c>
      <c r="I49" s="352"/>
      <c r="J49" s="363"/>
      <c r="K49" s="656"/>
      <c r="L49" s="352"/>
      <c r="M49" s="363"/>
      <c r="N49" s="656"/>
      <c r="O49" s="352"/>
      <c r="P49" s="363"/>
      <c r="Q49" s="629"/>
      <c r="R49" s="352"/>
      <c r="S49" s="363"/>
      <c r="T49" s="629"/>
      <c r="U49" s="352"/>
      <c r="V49" s="363"/>
      <c r="W49" s="631"/>
      <c r="X49" s="352"/>
      <c r="Y49" s="363"/>
      <c r="Z49" s="629"/>
      <c r="AA49" s="352"/>
      <c r="AB49" s="363"/>
      <c r="AC49" s="631"/>
      <c r="AD49" s="352"/>
      <c r="AE49" s="363"/>
      <c r="AF49" s="629"/>
      <c r="AG49" s="352"/>
      <c r="AH49" s="363"/>
      <c r="AI49" s="631"/>
      <c r="AJ49" s="352"/>
      <c r="AK49" s="663"/>
      <c r="AL49" s="689"/>
      <c r="AM49" s="352"/>
      <c r="AN49" s="660"/>
      <c r="AO49" s="666"/>
      <c r="AP49" s="352"/>
      <c r="AQ49" s="660"/>
      <c r="AR49" s="629"/>
      <c r="AS49" s="50"/>
      <c r="AT49" s="285"/>
      <c r="AU49" s="50"/>
      <c r="AV49" s="50"/>
      <c r="AW49" s="50"/>
      <c r="AX49" s="50"/>
      <c r="AY49" s="50"/>
      <c r="AZ49" s="50"/>
      <c r="BA49" s="50"/>
      <c r="BB49" s="50"/>
      <c r="BC49" s="50"/>
      <c r="BD49" s="50"/>
      <c r="BE49" s="50"/>
      <c r="BF49" s="50"/>
      <c r="BG49" s="50"/>
      <c r="BH49" s="50"/>
      <c r="BI49" s="50"/>
      <c r="BJ49" s="50"/>
      <c r="BK49" s="50"/>
      <c r="BL49" s="50"/>
      <c r="BM49" s="50"/>
      <c r="BN49" s="50"/>
      <c r="BO49" s="50"/>
    </row>
    <row r="50" spans="1:67" ht="37.5" customHeight="1" x14ac:dyDescent="0.25">
      <c r="A50" s="300" t="s">
        <v>1513</v>
      </c>
      <c r="B50" s="290" t="s">
        <v>837</v>
      </c>
      <c r="C50" s="301" t="e">
        <f>IF(C139=0,0,B139/C139*D139)*0.024*$D$149</f>
        <v>#N/A</v>
      </c>
      <c r="D50" s="668" t="e">
        <f ca="1">C50*($D$35/$C$35)</f>
        <v>#N/A</v>
      </c>
      <c r="E50" s="669" t="e">
        <f ca="1">C50*($E$38/$C$38)</f>
        <v>#N/A</v>
      </c>
      <c r="F50" s="50"/>
      <c r="G50" s="300" t="s">
        <v>1513</v>
      </c>
      <c r="H50" s="294" t="s">
        <v>837</v>
      </c>
      <c r="I50" s="303" t="e">
        <f>IF($C139=0,0,$B139/$C139*$D139)*0.024*G$149</f>
        <v>#N/A</v>
      </c>
      <c r="J50" s="572" t="e">
        <f ca="1">I50*($J$38/$I$38)</f>
        <v>#N/A</v>
      </c>
      <c r="K50" s="670" t="e">
        <f ca="1">I50*($K$38/$I$38)</f>
        <v>#N/A</v>
      </c>
      <c r="L50" s="303" t="e">
        <f>IF($C139=0,0,$B139/$C139*$D139)*0.024*H$149</f>
        <v>#N/A</v>
      </c>
      <c r="M50" s="671" t="e">
        <f ca="1">L50*($M$38/$L$38)</f>
        <v>#N/A</v>
      </c>
      <c r="N50" s="670" t="e">
        <f ca="1">L50*($N$38/$L$38)</f>
        <v>#N/A</v>
      </c>
      <c r="O50" s="303" t="e">
        <f>IF($C139=0,0,$B139/$C139*$D139)*0.024*I$149</f>
        <v>#N/A</v>
      </c>
      <c r="P50" s="673" t="e">
        <f ca="1">O50*($P$38/$O$38)</f>
        <v>#N/A</v>
      </c>
      <c r="Q50" s="674" t="e">
        <f ca="1">O50*($Q$38/$O$38)</f>
        <v>#N/A</v>
      </c>
      <c r="R50" s="303" t="e">
        <f>IF($C139=0,0,$B139/$C139*$D139)*0.024*J$149</f>
        <v>#N/A</v>
      </c>
      <c r="S50" s="673" t="e">
        <f ca="1">R50*($S$38/$R$38)</f>
        <v>#N/A</v>
      </c>
      <c r="T50" s="674" t="e">
        <f ca="1">R50*($T$38/$R$38)</f>
        <v>#N/A</v>
      </c>
      <c r="U50" s="303" t="e">
        <f>IF($C139=0,0,$B139/$C139*$D139)*0.024*K$149</f>
        <v>#N/A</v>
      </c>
      <c r="V50" s="673">
        <f>IFERROR(U50*($V$38/$U$38),0)</f>
        <v>0</v>
      </c>
      <c r="W50" s="674">
        <f ca="1">IFERROR(U50*($W$38/$U$38),0)</f>
        <v>0</v>
      </c>
      <c r="X50" s="303" t="e">
        <f>IF($C139=0,0,$B139/$C139*$D139)*0.024*L$149</f>
        <v>#N/A</v>
      </c>
      <c r="Y50" s="673">
        <f>IFERROR(X50*($Y$38/$X$38),0)</f>
        <v>0</v>
      </c>
      <c r="Z50" s="674">
        <f ca="1">IFERROR(X50*($Z$38/$X$38),0)</f>
        <v>0</v>
      </c>
      <c r="AA50" s="303" t="e">
        <f>IF($C139=0,0,$B139/$C139*$D139)*0.024*M$149</f>
        <v>#N/A</v>
      </c>
      <c r="AB50" s="673">
        <f>IFERROR(AA50*($AB$38/$AA$38),0)</f>
        <v>0</v>
      </c>
      <c r="AC50" s="674">
        <f ca="1">IFERROR(AA50*($AC$38/$AA$38),0)</f>
        <v>0</v>
      </c>
      <c r="AD50" s="303" t="e">
        <f>IF($C139=0,0,$B139/$C139*$D139)*0.024*N$149</f>
        <v>#N/A</v>
      </c>
      <c r="AE50" s="673">
        <f>IFERROR(AD50*($AE$38/$AD$38),0)</f>
        <v>0</v>
      </c>
      <c r="AF50" s="674">
        <f ca="1">IFERROR(AD50*($AF$35/$AD$35),)</f>
        <v>0</v>
      </c>
      <c r="AG50" s="303" t="e">
        <f>IF($C139=0,0,$B139/$C139*$D139)*0.024*O$149</f>
        <v>#N/A</v>
      </c>
      <c r="AH50" s="682">
        <f>IFERROR(AG50*($AH$35/$AG$35),0)</f>
        <v>0</v>
      </c>
      <c r="AI50" s="683">
        <f ca="1">IFERROR(AG50*($AI$35/$AG$35),0)</f>
        <v>0</v>
      </c>
      <c r="AJ50" s="303" t="e">
        <f>IF($C139=0,0,$B139/$C139*$D139)*0.024*P$149</f>
        <v>#N/A</v>
      </c>
      <c r="AK50" s="673" t="e">
        <f ca="1">AJ50*($AK$38/$AJ$38)</f>
        <v>#N/A</v>
      </c>
      <c r="AL50" s="674">
        <f ca="1">IFERROR(AJ50*($AL$38/$AJ$38),)</f>
        <v>0</v>
      </c>
      <c r="AM50" s="303" t="e">
        <f>IF($C139=0,0,$B139/$C139*$D139)*0.024*Q$149</f>
        <v>#N/A</v>
      </c>
      <c r="AN50" s="673" t="e">
        <f ca="1">AM50*($AN$38/$AM$38)</f>
        <v>#N/A</v>
      </c>
      <c r="AO50" s="674" t="e">
        <f ca="1">AM50*($AO$38/$AM$38)</f>
        <v>#N/A</v>
      </c>
      <c r="AP50" s="303" t="e">
        <f>IF($C139=0,0,$B139/$C139*$D139)*0.024*R$149</f>
        <v>#N/A</v>
      </c>
      <c r="AQ50" s="673" t="e">
        <f ca="1">AP50*($AQ$38/$AP$38)</f>
        <v>#N/A</v>
      </c>
      <c r="AR50" s="674" t="e">
        <f ca="1">AP50*($AR$38/$AP$38)</f>
        <v>#N/A</v>
      </c>
      <c r="AS50" s="50"/>
      <c r="AT50" s="684"/>
      <c r="AU50" s="637"/>
      <c r="AV50" s="50"/>
      <c r="AW50" s="50"/>
      <c r="AX50" s="50"/>
      <c r="AY50" s="50"/>
      <c r="AZ50" s="50"/>
      <c r="BA50" s="50"/>
      <c r="BB50" s="50"/>
      <c r="BC50" s="50"/>
      <c r="BD50" s="50"/>
      <c r="BE50" s="50"/>
      <c r="BF50" s="50"/>
      <c r="BG50" s="50"/>
      <c r="BH50" s="50"/>
      <c r="BI50" s="50"/>
      <c r="BJ50" s="50"/>
      <c r="BK50" s="50"/>
      <c r="BL50" s="50"/>
      <c r="BM50" s="50"/>
      <c r="BN50" s="50"/>
      <c r="BO50" s="50"/>
    </row>
    <row r="51" spans="1:67" ht="13.5" customHeight="1" x14ac:dyDescent="0.25">
      <c r="A51" s="320" t="s">
        <v>868</v>
      </c>
      <c r="B51" s="321" t="s">
        <v>1168</v>
      </c>
      <c r="C51" s="520" t="e">
        <f>0.86*C50/1000</f>
        <v>#N/A</v>
      </c>
      <c r="D51" s="339" t="e">
        <f ca="1">0.86*D50/1000</f>
        <v>#N/A</v>
      </c>
      <c r="E51" s="638" t="e">
        <f ca="1">0.86*E50/1000</f>
        <v>#N/A</v>
      </c>
      <c r="F51" s="50"/>
      <c r="G51" s="341" t="s">
        <v>868</v>
      </c>
      <c r="H51" s="342" t="s">
        <v>1168</v>
      </c>
      <c r="I51" s="685" t="e">
        <f t="shared" ref="I51:O51" si="17">0.86*I50/1000</f>
        <v>#N/A</v>
      </c>
      <c r="J51" s="642" t="e">
        <f t="shared" ca="1" si="17"/>
        <v>#N/A</v>
      </c>
      <c r="K51" s="686" t="e">
        <f t="shared" ca="1" si="17"/>
        <v>#N/A</v>
      </c>
      <c r="L51" s="685" t="e">
        <f t="shared" si="17"/>
        <v>#N/A</v>
      </c>
      <c r="M51" s="645" t="e">
        <f t="shared" ca="1" si="17"/>
        <v>#N/A</v>
      </c>
      <c r="N51" s="643" t="e">
        <f t="shared" ca="1" si="17"/>
        <v>#N/A</v>
      </c>
      <c r="O51" s="685" t="e">
        <f t="shared" si="17"/>
        <v>#N/A</v>
      </c>
      <c r="P51" s="679" t="e">
        <f ca="1">O51*($P$35/$O$35)</f>
        <v>#N/A</v>
      </c>
      <c r="Q51" s="680" t="e">
        <f ca="1">O51*($Q$35/$O$35)</f>
        <v>#N/A</v>
      </c>
      <c r="R51" s="685" t="e">
        <f>0.86*R50/1000</f>
        <v>#N/A</v>
      </c>
      <c r="S51" s="687" t="e">
        <f ca="1">0.86*S50/1000</f>
        <v>#N/A</v>
      </c>
      <c r="T51" s="688" t="e">
        <f ca="1">0.86*T50/1000</f>
        <v>#N/A</v>
      </c>
      <c r="U51" s="685" t="e">
        <f t="shared" ref="U51:AH51" si="18">0.86*U50/1000</f>
        <v>#N/A</v>
      </c>
      <c r="V51" s="642">
        <f t="shared" si="18"/>
        <v>0</v>
      </c>
      <c r="W51" s="648">
        <f t="shared" ca="1" si="18"/>
        <v>0</v>
      </c>
      <c r="X51" s="685" t="e">
        <f t="shared" si="18"/>
        <v>#N/A</v>
      </c>
      <c r="Y51" s="642">
        <f t="shared" si="18"/>
        <v>0</v>
      </c>
      <c r="Z51" s="648">
        <f t="shared" ca="1" si="18"/>
        <v>0</v>
      </c>
      <c r="AA51" s="685" t="e">
        <f t="shared" si="18"/>
        <v>#N/A</v>
      </c>
      <c r="AB51" s="642">
        <f t="shared" si="18"/>
        <v>0</v>
      </c>
      <c r="AC51" s="648">
        <f t="shared" ca="1" si="18"/>
        <v>0</v>
      </c>
      <c r="AD51" s="685" t="e">
        <f t="shared" si="18"/>
        <v>#N/A</v>
      </c>
      <c r="AE51" s="642">
        <f t="shared" si="18"/>
        <v>0</v>
      </c>
      <c r="AF51" s="648">
        <f t="shared" ca="1" si="18"/>
        <v>0</v>
      </c>
      <c r="AG51" s="685" t="e">
        <f t="shared" si="18"/>
        <v>#N/A</v>
      </c>
      <c r="AH51" s="642">
        <f t="shared" si="18"/>
        <v>0</v>
      </c>
      <c r="AI51" s="648">
        <f ca="1">0.86*AI50/1000</f>
        <v>0</v>
      </c>
      <c r="AJ51" s="685" t="e">
        <f t="shared" ref="AJ51:AR51" si="19">0.86*AJ50/1000</f>
        <v>#N/A</v>
      </c>
      <c r="AK51" s="642" t="e">
        <f t="shared" ca="1" si="19"/>
        <v>#N/A</v>
      </c>
      <c r="AL51" s="648">
        <f t="shared" ca="1" si="19"/>
        <v>0</v>
      </c>
      <c r="AM51" s="685" t="e">
        <f t="shared" si="19"/>
        <v>#N/A</v>
      </c>
      <c r="AN51" s="642" t="e">
        <f t="shared" ca="1" si="19"/>
        <v>#N/A</v>
      </c>
      <c r="AO51" s="648" t="e">
        <f t="shared" ca="1" si="19"/>
        <v>#N/A</v>
      </c>
      <c r="AP51" s="685" t="e">
        <f t="shared" si="19"/>
        <v>#N/A</v>
      </c>
      <c r="AQ51" s="642" t="e">
        <f t="shared" ca="1" si="19"/>
        <v>#N/A</v>
      </c>
      <c r="AR51" s="648" t="e">
        <f t="shared" ca="1" si="19"/>
        <v>#N/A</v>
      </c>
      <c r="AS51" s="50"/>
      <c r="AT51" s="381"/>
      <c r="AU51" s="50"/>
      <c r="AV51" s="50"/>
      <c r="AW51" s="50"/>
      <c r="AX51" s="50"/>
      <c r="AY51" s="50"/>
      <c r="AZ51" s="50"/>
      <c r="BA51" s="50"/>
      <c r="BB51" s="50"/>
      <c r="BC51" s="50"/>
      <c r="BD51" s="50"/>
      <c r="BE51" s="50"/>
      <c r="BF51" s="50"/>
      <c r="BG51" s="50"/>
      <c r="BH51" s="50"/>
      <c r="BI51" s="50"/>
      <c r="BJ51" s="50"/>
      <c r="BK51" s="50"/>
      <c r="BL51" s="50"/>
      <c r="BM51" s="50"/>
      <c r="BN51" s="50"/>
      <c r="BO51" s="50"/>
    </row>
    <row r="52" spans="1:67" ht="13.5" customHeight="1" thickBot="1" x14ac:dyDescent="0.3">
      <c r="A52" s="347" t="s">
        <v>868</v>
      </c>
      <c r="B52" s="348" t="s">
        <v>1165</v>
      </c>
      <c r="C52" s="651"/>
      <c r="D52" s="652"/>
      <c r="E52" s="552"/>
      <c r="F52" s="50"/>
      <c r="G52" s="324" t="s">
        <v>868</v>
      </c>
      <c r="H52" s="350" t="s">
        <v>1165</v>
      </c>
      <c r="I52" s="352"/>
      <c r="J52" s="363"/>
      <c r="K52" s="656"/>
      <c r="L52" s="352"/>
      <c r="M52" s="363"/>
      <c r="N52" s="656"/>
      <c r="O52" s="352"/>
      <c r="P52" s="363"/>
      <c r="Q52" s="629"/>
      <c r="R52" s="352"/>
      <c r="S52" s="363"/>
      <c r="T52" s="629"/>
      <c r="U52" s="352"/>
      <c r="V52" s="363"/>
      <c r="W52" s="631"/>
      <c r="X52" s="352"/>
      <c r="Y52" s="363"/>
      <c r="Z52" s="629"/>
      <c r="AA52" s="352"/>
      <c r="AB52" s="363"/>
      <c r="AC52" s="631"/>
      <c r="AD52" s="352"/>
      <c r="AE52" s="363"/>
      <c r="AF52" s="629"/>
      <c r="AG52" s="352"/>
      <c r="AH52" s="363"/>
      <c r="AI52" s="631"/>
      <c r="AJ52" s="352"/>
      <c r="AK52" s="663"/>
      <c r="AL52" s="689"/>
      <c r="AM52" s="352"/>
      <c r="AN52" s="660"/>
      <c r="AO52" s="666"/>
      <c r="AP52" s="352"/>
      <c r="AQ52" s="660"/>
      <c r="AR52" s="629"/>
      <c r="AS52" s="50"/>
      <c r="AT52" s="285"/>
      <c r="AU52" s="50"/>
      <c r="AV52" s="50"/>
      <c r="AW52" s="50"/>
      <c r="AX52" s="50"/>
      <c r="AY52" s="50"/>
      <c r="AZ52" s="50"/>
      <c r="BA52" s="50"/>
      <c r="BB52" s="50"/>
      <c r="BC52" s="50"/>
      <c r="BD52" s="50"/>
      <c r="BE52" s="50"/>
      <c r="BF52" s="50"/>
      <c r="BG52" s="50"/>
      <c r="BH52" s="50"/>
      <c r="BI52" s="50"/>
      <c r="BJ52" s="50"/>
      <c r="BK52" s="50"/>
      <c r="BL52" s="50"/>
      <c r="BM52" s="50"/>
      <c r="BN52" s="50"/>
      <c r="BO52" s="50"/>
    </row>
    <row r="53" spans="1:67" ht="27.75" customHeight="1" x14ac:dyDescent="0.25">
      <c r="A53" s="300" t="s">
        <v>1187</v>
      </c>
      <c r="B53" s="290" t="s">
        <v>837</v>
      </c>
      <c r="C53" s="301" t="e">
        <f>(IF(C140=0,0,B140/C140*D140)+IF(C141=0,0,B141/C141*D141)+IF(C142=0,0,B142/C142*D142))*0.024*$D$149</f>
        <v>#N/A</v>
      </c>
      <c r="D53" s="668" t="e">
        <f ca="1">C53*($D$38/$C$38)</f>
        <v>#N/A</v>
      </c>
      <c r="E53" s="669" t="e">
        <f ca="1">C53*($E$38/$C$38)</f>
        <v>#N/A</v>
      </c>
      <c r="F53" s="50"/>
      <c r="G53" s="302" t="s">
        <v>1187</v>
      </c>
      <c r="H53" s="294" t="s">
        <v>837</v>
      </c>
      <c r="I53" s="303" t="e">
        <f>(IF(C140=0,0,B140/C140*D140)+IF(C141=0,0,B141/C141*D141)+IF(C142=0,0,B142/C142*D142))*0.024*G$149</f>
        <v>#N/A</v>
      </c>
      <c r="J53" s="572" t="e">
        <f ca="1">I53*($J$38/$I$38)</f>
        <v>#N/A</v>
      </c>
      <c r="K53" s="670" t="e">
        <f ca="1">I53*($K$38/$I$38)</f>
        <v>#N/A</v>
      </c>
      <c r="L53" s="303" t="e">
        <f>(IF(C140=0,0,B140/C140*D140)+IF(C141=0,0,B141/C141*D141)+IF(C142=0,0,B142/C142*D142))*0.024*H$149</f>
        <v>#N/A</v>
      </c>
      <c r="M53" s="671" t="e">
        <f ca="1">L53*($M$38/$L$38)</f>
        <v>#N/A</v>
      </c>
      <c r="N53" s="670" t="e">
        <f ca="1">L53*($N$38/$L$38)</f>
        <v>#N/A</v>
      </c>
      <c r="O53" s="303" t="e">
        <f>(IF(C140=0,0,B140/C140*D140)+IF(C141=0,0,B141/C141*D141)+IF(C142=0,0,B142/C142*D142))*0.024*I$149</f>
        <v>#N/A</v>
      </c>
      <c r="P53" s="673" t="e">
        <f ca="1">O53*($P$38/$O$38)</f>
        <v>#N/A</v>
      </c>
      <c r="Q53" s="674" t="e">
        <f ca="1">O53*($Q$38/$O$38)</f>
        <v>#N/A</v>
      </c>
      <c r="R53" s="303" t="e">
        <f>(IF(C140=0,0,B140/C140*D140)+IF(C141=0,0,B141/C141*D141)+IF(C142=0,0,B142/C142*D142))*0.024*J$149</f>
        <v>#N/A</v>
      </c>
      <c r="S53" s="673" t="e">
        <f ca="1">R53*($S$38/$R$38)</f>
        <v>#N/A</v>
      </c>
      <c r="T53" s="674" t="e">
        <f ca="1">R53*($T$38/$R$38)</f>
        <v>#N/A</v>
      </c>
      <c r="U53" s="303" t="e">
        <f>(IF(C140=0,0,B140/C140*D140)+IF(C141=0,0,B141/C141*D141)+IF(C142=0,0,B142/C142*D142))*0.024*K$149</f>
        <v>#N/A</v>
      </c>
      <c r="V53" s="673">
        <f>IFERROR(U53*($V$38/$U$38),0)</f>
        <v>0</v>
      </c>
      <c r="W53" s="674">
        <f ca="1">IFERROR(U53*($W$38/$U$38),0)</f>
        <v>0</v>
      </c>
      <c r="X53" s="303" t="e">
        <f>(IF(C140=0,0,B140/C140*D140)+IF(C141=0,0,B141/C141*D141)+IF(C142=0,0,B142/C142*D142))*0.024*L$149</f>
        <v>#N/A</v>
      </c>
      <c r="Y53" s="673">
        <f>IFERROR(X53*($Y$38/$X$38),0)</f>
        <v>0</v>
      </c>
      <c r="Z53" s="674">
        <f ca="1">IFERROR(X53*($Z$38/$X$38),0)</f>
        <v>0</v>
      </c>
      <c r="AA53" s="303" t="e">
        <f>(IF(C140=0,0,B140/C140*D140)+IF(C141=0,0,B141/C141*D141)+IF(C142=0,0,B142/C142*D142))*0.024*M$149</f>
        <v>#N/A</v>
      </c>
      <c r="AB53" s="673">
        <f>IFERROR(AA53*($AB$38/$AA$38),0)</f>
        <v>0</v>
      </c>
      <c r="AC53" s="674">
        <f ca="1">IFERROR(AA53*($AC$38/$AA$38),0)</f>
        <v>0</v>
      </c>
      <c r="AD53" s="303" t="e">
        <f>(IF(C140=0,0,B140/C140*D140)+IF(C141=0,0,B141/C141*D141)+IF(C142=0,0,B142/C142*D142))*0.024*N$149</f>
        <v>#N/A</v>
      </c>
      <c r="AE53" s="673">
        <f>IFERROR(AD53*($AE$38/$AD$38),0)</f>
        <v>0</v>
      </c>
      <c r="AF53" s="674">
        <f ca="1">IFERROR(AD53*($AF$35/$AD$35),)</f>
        <v>0</v>
      </c>
      <c r="AG53" s="303" t="e">
        <f>(IF(C140=0,0,B140/C140*D140)+IF(C141=0,0,B141/C141*D141)+IF(C142=0,0,B142/C142*D142))*0.024*O$149</f>
        <v>#N/A</v>
      </c>
      <c r="AH53" s="673">
        <f>IFERROR(AG53*($AH$38/$AG$38),)</f>
        <v>0</v>
      </c>
      <c r="AI53" s="674">
        <f ca="1">IFERROR(AG53*($AI$35/$AG$35),0)</f>
        <v>0</v>
      </c>
      <c r="AJ53" s="303" t="e">
        <f>(IF(C140=0,0,B140/C140*D140)+IF(C141=0,0,B141/C141*D141)+IF(C142=0,0,B142/C142*D142))*0.024*P$149</f>
        <v>#N/A</v>
      </c>
      <c r="AK53" s="673" t="e">
        <f ca="1">AJ53*($AK$38/$AJ$38)</f>
        <v>#N/A</v>
      </c>
      <c r="AL53" s="674">
        <f ca="1">IFERROR(AJ53*($AL$38/$AJ$38),0)</f>
        <v>0</v>
      </c>
      <c r="AM53" s="303" t="e">
        <f>(IF(C140=0,0,B140/C140*D140)+IF(C141=0,0,B141/C141*D141)+IF(C142=0,0,B142/C142*D142))*0.024*Q$149</f>
        <v>#N/A</v>
      </c>
      <c r="AN53" s="673" t="e">
        <f ca="1">AM53*($AN$38/$AM$38)</f>
        <v>#N/A</v>
      </c>
      <c r="AO53" s="674" t="e">
        <f ca="1">AM53*($AO$38/$AM$38)</f>
        <v>#N/A</v>
      </c>
      <c r="AP53" s="303" t="e">
        <f>(IF(C140=0,0,B140/C140*D140)+IF(C141=0,0,B141/C141*D141)+IF(C142=0,0,B142/C142*D142))*0.024*R$149</f>
        <v>#N/A</v>
      </c>
      <c r="AQ53" s="673" t="e">
        <f ca="1">AP53*($AQ$38/$AP$38)</f>
        <v>#N/A</v>
      </c>
      <c r="AR53" s="674" t="e">
        <f ca="1">AP53*($AR$38/$AP$38)</f>
        <v>#N/A</v>
      </c>
      <c r="AS53" s="50"/>
      <c r="AT53" s="684"/>
      <c r="AU53" s="637"/>
      <c r="AV53" s="50"/>
      <c r="AW53" s="50"/>
      <c r="AX53" s="50"/>
      <c r="AY53" s="50"/>
      <c r="AZ53" s="50"/>
      <c r="BA53" s="50"/>
      <c r="BB53" s="50"/>
      <c r="BC53" s="50"/>
      <c r="BD53" s="50"/>
      <c r="BE53" s="50"/>
      <c r="BF53" s="50"/>
      <c r="BG53" s="50"/>
      <c r="BH53" s="50"/>
      <c r="BI53" s="50"/>
      <c r="BJ53" s="50"/>
      <c r="BK53" s="50"/>
      <c r="BL53" s="50"/>
      <c r="BM53" s="50"/>
      <c r="BN53" s="50"/>
      <c r="BO53" s="50"/>
    </row>
    <row r="54" spans="1:67" x14ac:dyDescent="0.25">
      <c r="A54" s="320" t="s">
        <v>868</v>
      </c>
      <c r="B54" s="321" t="s">
        <v>1168</v>
      </c>
      <c r="C54" s="520" t="e">
        <f>0.86*C53/1000</f>
        <v>#N/A</v>
      </c>
      <c r="D54" s="339" t="e">
        <f ca="1">0.86*D53/1000</f>
        <v>#N/A</v>
      </c>
      <c r="E54" s="638" t="e">
        <f ca="1">0.86*E53/1000</f>
        <v>#N/A</v>
      </c>
      <c r="F54" s="50"/>
      <c r="G54" s="341" t="s">
        <v>868</v>
      </c>
      <c r="H54" s="342" t="s">
        <v>1168</v>
      </c>
      <c r="I54" s="690" t="e">
        <f t="shared" ref="I54:O54" si="20">0.86*I53/1000</f>
        <v>#N/A</v>
      </c>
      <c r="J54" s="642" t="e">
        <f t="shared" ca="1" si="20"/>
        <v>#N/A</v>
      </c>
      <c r="K54" s="675" t="e">
        <f t="shared" ca="1" si="20"/>
        <v>#N/A</v>
      </c>
      <c r="L54" s="690" t="e">
        <f>0.86*L53/1000</f>
        <v>#N/A</v>
      </c>
      <c r="M54" s="645" t="e">
        <f t="shared" ca="1" si="20"/>
        <v>#N/A</v>
      </c>
      <c r="N54" s="643" t="e">
        <f t="shared" ca="1" si="20"/>
        <v>#N/A</v>
      </c>
      <c r="O54" s="690" t="e">
        <f t="shared" si="20"/>
        <v>#N/A</v>
      </c>
      <c r="P54" s="679" t="e">
        <f ca="1">O54*($P$35/$O$35)</f>
        <v>#N/A</v>
      </c>
      <c r="Q54" s="680" t="e">
        <f ca="1">O54*($Q$35/$O$35)</f>
        <v>#N/A</v>
      </c>
      <c r="R54" s="690" t="e">
        <f t="shared" ref="R54:AR54" si="21">0.86*R53/1000</f>
        <v>#N/A</v>
      </c>
      <c r="S54" s="687" t="e">
        <f t="shared" ca="1" si="21"/>
        <v>#N/A</v>
      </c>
      <c r="T54" s="688" t="e">
        <f t="shared" ca="1" si="21"/>
        <v>#N/A</v>
      </c>
      <c r="U54" s="690" t="e">
        <f t="shared" si="21"/>
        <v>#N/A</v>
      </c>
      <c r="V54" s="642">
        <f t="shared" si="21"/>
        <v>0</v>
      </c>
      <c r="W54" s="648">
        <f t="shared" ca="1" si="21"/>
        <v>0</v>
      </c>
      <c r="X54" s="690" t="e">
        <f t="shared" si="21"/>
        <v>#N/A</v>
      </c>
      <c r="Y54" s="642">
        <f t="shared" si="21"/>
        <v>0</v>
      </c>
      <c r="Z54" s="648">
        <f t="shared" ca="1" si="21"/>
        <v>0</v>
      </c>
      <c r="AA54" s="690" t="e">
        <f t="shared" si="21"/>
        <v>#N/A</v>
      </c>
      <c r="AB54" s="642">
        <f t="shared" si="21"/>
        <v>0</v>
      </c>
      <c r="AC54" s="648">
        <f t="shared" ca="1" si="21"/>
        <v>0</v>
      </c>
      <c r="AD54" s="690" t="e">
        <f t="shared" si="21"/>
        <v>#N/A</v>
      </c>
      <c r="AE54" s="642">
        <f t="shared" si="21"/>
        <v>0</v>
      </c>
      <c r="AF54" s="648">
        <f t="shared" ca="1" si="21"/>
        <v>0</v>
      </c>
      <c r="AG54" s="690" t="e">
        <f t="shared" si="21"/>
        <v>#N/A</v>
      </c>
      <c r="AH54" s="642">
        <f t="shared" si="21"/>
        <v>0</v>
      </c>
      <c r="AI54" s="648">
        <f t="shared" ca="1" si="21"/>
        <v>0</v>
      </c>
      <c r="AJ54" s="690" t="e">
        <f t="shared" si="21"/>
        <v>#N/A</v>
      </c>
      <c r="AK54" s="642" t="e">
        <f t="shared" ca="1" si="21"/>
        <v>#N/A</v>
      </c>
      <c r="AL54" s="648">
        <f t="shared" ca="1" si="21"/>
        <v>0</v>
      </c>
      <c r="AM54" s="690" t="e">
        <f t="shared" si="21"/>
        <v>#N/A</v>
      </c>
      <c r="AN54" s="642" t="e">
        <f t="shared" ca="1" si="21"/>
        <v>#N/A</v>
      </c>
      <c r="AO54" s="648" t="e">
        <f t="shared" ca="1" si="21"/>
        <v>#N/A</v>
      </c>
      <c r="AP54" s="690" t="e">
        <f t="shared" si="21"/>
        <v>#N/A</v>
      </c>
      <c r="AQ54" s="642" t="e">
        <f t="shared" ca="1" si="21"/>
        <v>#N/A</v>
      </c>
      <c r="AR54" s="648" t="e">
        <f t="shared" ca="1" si="21"/>
        <v>#N/A</v>
      </c>
      <c r="AS54" s="50"/>
      <c r="AT54" s="50"/>
      <c r="AU54" s="50"/>
      <c r="AV54" s="50"/>
      <c r="AW54" s="50"/>
      <c r="AX54" s="50"/>
      <c r="AY54" s="50"/>
      <c r="AZ54" s="50"/>
      <c r="BA54" s="50"/>
      <c r="BB54" s="50"/>
      <c r="BC54" s="50"/>
      <c r="BD54" s="50"/>
      <c r="BE54" s="50"/>
      <c r="BF54" s="50"/>
      <c r="BG54" s="50"/>
      <c r="BH54" s="50"/>
      <c r="BI54" s="50"/>
      <c r="BJ54" s="50"/>
      <c r="BK54" s="50"/>
      <c r="BL54" s="50"/>
      <c r="BM54" s="50"/>
      <c r="BN54" s="50"/>
      <c r="BO54" s="50"/>
    </row>
    <row r="55" spans="1:67" ht="15.75" thickBot="1" x14ac:dyDescent="0.3">
      <c r="A55" s="347" t="s">
        <v>868</v>
      </c>
      <c r="B55" s="348" t="s">
        <v>1165</v>
      </c>
      <c r="C55" s="691"/>
      <c r="D55" s="652"/>
      <c r="E55" s="552"/>
      <c r="F55" s="50"/>
      <c r="G55" s="324" t="s">
        <v>868</v>
      </c>
      <c r="H55" s="350" t="s">
        <v>1165</v>
      </c>
      <c r="I55" s="352"/>
      <c r="J55" s="363"/>
      <c r="K55" s="656"/>
      <c r="L55" s="352"/>
      <c r="M55" s="363"/>
      <c r="N55" s="656"/>
      <c r="O55" s="352"/>
      <c r="P55" s="363"/>
      <c r="Q55" s="631"/>
      <c r="R55" s="352"/>
      <c r="S55" s="363"/>
      <c r="T55" s="629"/>
      <c r="U55" s="352"/>
      <c r="V55" s="363"/>
      <c r="W55" s="631"/>
      <c r="X55" s="352"/>
      <c r="Y55" s="363"/>
      <c r="Z55" s="629"/>
      <c r="AA55" s="352"/>
      <c r="AB55" s="363"/>
      <c r="AC55" s="631"/>
      <c r="AD55" s="352"/>
      <c r="AE55" s="363"/>
      <c r="AF55" s="629"/>
      <c r="AG55" s="352"/>
      <c r="AH55" s="363"/>
      <c r="AI55" s="631"/>
      <c r="AJ55" s="352"/>
      <c r="AK55" s="660"/>
      <c r="AL55" s="661"/>
      <c r="AM55" s="352"/>
      <c r="AN55" s="660"/>
      <c r="AO55" s="661"/>
      <c r="AP55" s="352"/>
      <c r="AQ55" s="660"/>
      <c r="AR55" s="629"/>
      <c r="AS55" s="50"/>
      <c r="AT55" s="50"/>
      <c r="AU55" s="50"/>
      <c r="AV55" s="50"/>
      <c r="AW55" s="50"/>
      <c r="AX55" s="50"/>
      <c r="AY55" s="50"/>
      <c r="AZ55" s="50"/>
      <c r="BA55" s="50"/>
      <c r="BB55" s="50"/>
      <c r="BC55" s="50"/>
      <c r="BD55" s="50"/>
      <c r="BE55" s="50"/>
      <c r="BF55" s="50"/>
      <c r="BG55" s="50"/>
      <c r="BH55" s="50"/>
      <c r="BI55" s="50"/>
      <c r="BJ55" s="50"/>
      <c r="BK55" s="50"/>
      <c r="BL55" s="50"/>
      <c r="BM55" s="50"/>
      <c r="BN55" s="50"/>
      <c r="BO55" s="50"/>
    </row>
    <row r="56" spans="1:67" ht="32.25" customHeight="1" x14ac:dyDescent="0.25">
      <c r="A56" s="300" t="s">
        <v>1188</v>
      </c>
      <c r="B56" s="290" t="s">
        <v>837</v>
      </c>
      <c r="C56" s="301" t="e">
        <f>(IF(C144=0,0,B144/C144*D144)+IF(C143=0,0,B143/C143*D143))*0.024*$D$149</f>
        <v>#N/A</v>
      </c>
      <c r="D56" s="668" t="e">
        <f ca="1">C56*($D$38/$C$38)</f>
        <v>#N/A</v>
      </c>
      <c r="E56" s="669" t="e">
        <f ca="1">C56*($E$38/$C$38)</f>
        <v>#N/A</v>
      </c>
      <c r="F56" s="50"/>
      <c r="G56" s="302" t="s">
        <v>1188</v>
      </c>
      <c r="H56" s="294" t="s">
        <v>837</v>
      </c>
      <c r="I56" s="303" t="e">
        <f>(IF(C144=0,0,B144/C144*D144)+IF(C143=0,0,B143/C143*D143))*0.024*G$149</f>
        <v>#N/A</v>
      </c>
      <c r="J56" s="572" t="e">
        <f ca="1">I56*($J$38/$I$38)</f>
        <v>#N/A</v>
      </c>
      <c r="K56" s="670" t="e">
        <f ca="1">I56*($K$35/$I$35)</f>
        <v>#N/A</v>
      </c>
      <c r="L56" s="303" t="e">
        <f>(IF(C144=0,0,B144/C144*D144)+IF(C143=0,0,B143/C143*D143))*0.024*H$149</f>
        <v>#N/A</v>
      </c>
      <c r="M56" s="671" t="e">
        <f ca="1">L56*($M$38/$L$38)</f>
        <v>#N/A</v>
      </c>
      <c r="N56" s="670" t="e">
        <f ca="1">L56*($N$38/$L$38)</f>
        <v>#N/A</v>
      </c>
      <c r="O56" s="303" t="e">
        <f>(IF(C144=0,0,B144/C144*D144)+IF(C143=0,0,B143/C143*D143))*0.024*I$149</f>
        <v>#N/A</v>
      </c>
      <c r="P56" s="673" t="e">
        <f ca="1">O56*($P$38/$O$38)</f>
        <v>#N/A</v>
      </c>
      <c r="Q56" s="674" t="e">
        <f ca="1">O56*($Q$38/$O$38)</f>
        <v>#N/A</v>
      </c>
      <c r="R56" s="303" t="e">
        <f>(IF(C144=0,0,B144/C144*D144)+IF(C143=0,0,B143/C143*D143))*0.024*J$149</f>
        <v>#N/A</v>
      </c>
      <c r="S56" s="673" t="e">
        <f ca="1">R56*($S$38/$R$38)</f>
        <v>#N/A</v>
      </c>
      <c r="T56" s="674" t="e">
        <f ca="1">R56*($T$38/$R$38)</f>
        <v>#N/A</v>
      </c>
      <c r="U56" s="303" t="e">
        <f>(IF(C144=0,0,B144/C144*D144)+IF(C143=0,0,B143/C143*D143))*0.024*K$149</f>
        <v>#N/A</v>
      </c>
      <c r="V56" s="673">
        <f>IFERROR(U56*($V$38/$U$38),0)</f>
        <v>0</v>
      </c>
      <c r="W56" s="674">
        <f ca="1">IFERROR(U56*($W$38/$U$38),0)</f>
        <v>0</v>
      </c>
      <c r="X56" s="303" t="e">
        <f>(IF(C144=0,0,B144/C144*D144)+IF(C143=0,0,B143/C143*D143))*0.024*L$149</f>
        <v>#N/A</v>
      </c>
      <c r="Y56" s="673">
        <f>IFERROR(X56*($Y$38/$X$38),0)</f>
        <v>0</v>
      </c>
      <c r="Z56" s="674">
        <f ca="1">IFERROR(X56*($Z$38/$X$38),0)</f>
        <v>0</v>
      </c>
      <c r="AA56" s="303" t="e">
        <f>(IF(C144=0,0,B144/C144*D144)+IF(C143=0,0,B143/C143*D143))*0.024*M$149</f>
        <v>#N/A</v>
      </c>
      <c r="AB56" s="673">
        <f>IFERROR(AA56*($AB$38/$AA$38),0)</f>
        <v>0</v>
      </c>
      <c r="AC56" s="674">
        <f ca="1">IFERROR(AA56*($AC$38/$AA$38),0)</f>
        <v>0</v>
      </c>
      <c r="AD56" s="303" t="e">
        <f>(IF(C144=0,0,B144/C144*D144)+IF(C143=0,0,B143/C143*D143))*0.024*N$149</f>
        <v>#N/A</v>
      </c>
      <c r="AE56" s="673">
        <f>IFERROR(AD56*($AE$38/$AD$38),0)</f>
        <v>0</v>
      </c>
      <c r="AF56" s="674">
        <f ca="1">IFERROR(AD56*($AF$35/$AD$35),)</f>
        <v>0</v>
      </c>
      <c r="AG56" s="303" t="e">
        <f>(IF(C144=0,0,B144/C144*D144)+IF(C143=0,0,B143/C143*D143))*0.024*O$149</f>
        <v>#N/A</v>
      </c>
      <c r="AH56" s="673">
        <f>IFERROR(AG56*($AH$38/$AG$38),0)</f>
        <v>0</v>
      </c>
      <c r="AI56" s="674">
        <f ca="1">IFERROR(AG56*($AI$35/$AG$35),0)</f>
        <v>0</v>
      </c>
      <c r="AJ56" s="303" t="e">
        <f>(IF(C144=0,0,B144/C144*D144)+IF(C143=0,0,B143/C143*D143))*0.024*P$149</f>
        <v>#N/A</v>
      </c>
      <c r="AK56" s="673" t="e">
        <f ca="1">AJ56*($AK$38/$AJ$38)</f>
        <v>#N/A</v>
      </c>
      <c r="AL56" s="674" t="e">
        <f ca="1">AJ56*($AL$38/$AJ$38)</f>
        <v>#N/A</v>
      </c>
      <c r="AM56" s="303" t="e">
        <f>(IF(C144=0,0,B144/C144*D144)+IF(C143=0,0,B143/C143*D143))*0.024*Q$149</f>
        <v>#N/A</v>
      </c>
      <c r="AN56" s="673" t="e">
        <f ca="1">AM56*($AN$38/$AM$38)</f>
        <v>#N/A</v>
      </c>
      <c r="AO56" s="674" t="e">
        <f ca="1">AM56*($AO$38/$AM$38)</f>
        <v>#N/A</v>
      </c>
      <c r="AP56" s="303" t="e">
        <f>(IF(C144=0,0,B144/C144*D144)+IF(C143=0,0,B143/C143*D143))*0.024*R$149</f>
        <v>#N/A</v>
      </c>
      <c r="AQ56" s="673" t="e">
        <f ca="1">AP56*($AQ$38/$AP$38)</f>
        <v>#N/A</v>
      </c>
      <c r="AR56" s="674" t="e">
        <f ca="1">AP56*($AR$38/$AP$38)</f>
        <v>#N/A</v>
      </c>
      <c r="AS56" s="50"/>
      <c r="AT56" s="50"/>
      <c r="AU56" s="50"/>
      <c r="AV56" s="50"/>
      <c r="AW56" s="50"/>
      <c r="AX56" s="50"/>
      <c r="AY56" s="50"/>
      <c r="AZ56" s="50"/>
      <c r="BA56" s="50"/>
      <c r="BB56" s="50"/>
      <c r="BC56" s="50"/>
      <c r="BD56" s="50"/>
      <c r="BE56" s="50"/>
      <c r="BF56" s="50"/>
      <c r="BG56" s="50"/>
      <c r="BH56" s="50"/>
      <c r="BI56" s="50"/>
      <c r="BJ56" s="50"/>
      <c r="BK56" s="50"/>
      <c r="BL56" s="50"/>
      <c r="BM56" s="50"/>
      <c r="BN56" s="50"/>
      <c r="BO56" s="50"/>
    </row>
    <row r="57" spans="1:67" x14ac:dyDescent="0.25">
      <c r="A57" s="320" t="s">
        <v>868</v>
      </c>
      <c r="B57" s="321" t="s">
        <v>1168</v>
      </c>
      <c r="C57" s="520" t="e">
        <f>0.86*C56/1000</f>
        <v>#N/A</v>
      </c>
      <c r="D57" s="339" t="e">
        <f ca="1">0.86*D56/1000</f>
        <v>#N/A</v>
      </c>
      <c r="E57" s="638" t="e">
        <f ca="1">0.86*E56/1000</f>
        <v>#N/A</v>
      </c>
      <c r="F57" s="50"/>
      <c r="G57" s="341" t="s">
        <v>868</v>
      </c>
      <c r="H57" s="342" t="s">
        <v>1168</v>
      </c>
      <c r="I57" s="690" t="e">
        <f t="shared" ref="I57:O57" si="22">0.86*I56/1000</f>
        <v>#N/A</v>
      </c>
      <c r="J57" s="642" t="e">
        <f t="shared" ca="1" si="22"/>
        <v>#N/A</v>
      </c>
      <c r="K57" s="675" t="e">
        <f t="shared" ca="1" si="22"/>
        <v>#N/A</v>
      </c>
      <c r="L57" s="690" t="e">
        <f>0.86*L56/1000</f>
        <v>#N/A</v>
      </c>
      <c r="M57" s="645" t="e">
        <f t="shared" ca="1" si="22"/>
        <v>#N/A</v>
      </c>
      <c r="N57" s="643" t="e">
        <f t="shared" ca="1" si="22"/>
        <v>#N/A</v>
      </c>
      <c r="O57" s="690" t="e">
        <f t="shared" si="22"/>
        <v>#N/A</v>
      </c>
      <c r="P57" s="679" t="e">
        <f ca="1">O57*($P$35/$O$35)</f>
        <v>#N/A</v>
      </c>
      <c r="Q57" s="680" t="e">
        <f ca="1">O57*($Q$35/$O$35)</f>
        <v>#N/A</v>
      </c>
      <c r="R57" s="690" t="e">
        <f t="shared" ref="R57:AR57" si="23">0.86*R56/1000</f>
        <v>#N/A</v>
      </c>
      <c r="S57" s="687" t="e">
        <f t="shared" ca="1" si="23"/>
        <v>#N/A</v>
      </c>
      <c r="T57" s="688" t="e">
        <f t="shared" ca="1" si="23"/>
        <v>#N/A</v>
      </c>
      <c r="U57" s="690" t="e">
        <f t="shared" si="23"/>
        <v>#N/A</v>
      </c>
      <c r="V57" s="642">
        <f t="shared" si="23"/>
        <v>0</v>
      </c>
      <c r="W57" s="648">
        <f t="shared" ca="1" si="23"/>
        <v>0</v>
      </c>
      <c r="X57" s="690" t="e">
        <f t="shared" si="23"/>
        <v>#N/A</v>
      </c>
      <c r="Y57" s="642">
        <f t="shared" si="23"/>
        <v>0</v>
      </c>
      <c r="Z57" s="648">
        <f t="shared" ca="1" si="23"/>
        <v>0</v>
      </c>
      <c r="AA57" s="690" t="e">
        <f t="shared" si="23"/>
        <v>#N/A</v>
      </c>
      <c r="AB57" s="642">
        <f t="shared" si="23"/>
        <v>0</v>
      </c>
      <c r="AC57" s="648">
        <f t="shared" ca="1" si="23"/>
        <v>0</v>
      </c>
      <c r="AD57" s="690" t="e">
        <f t="shared" si="23"/>
        <v>#N/A</v>
      </c>
      <c r="AE57" s="642">
        <f t="shared" si="23"/>
        <v>0</v>
      </c>
      <c r="AF57" s="648">
        <f t="shared" ca="1" si="23"/>
        <v>0</v>
      </c>
      <c r="AG57" s="690" t="e">
        <f t="shared" si="23"/>
        <v>#N/A</v>
      </c>
      <c r="AH57" s="642">
        <f t="shared" si="23"/>
        <v>0</v>
      </c>
      <c r="AI57" s="648">
        <f t="shared" ca="1" si="23"/>
        <v>0</v>
      </c>
      <c r="AJ57" s="690" t="e">
        <f t="shared" si="23"/>
        <v>#N/A</v>
      </c>
      <c r="AK57" s="642" t="e">
        <f t="shared" ca="1" si="23"/>
        <v>#N/A</v>
      </c>
      <c r="AL57" s="648" t="e">
        <f t="shared" ca="1" si="23"/>
        <v>#N/A</v>
      </c>
      <c r="AM57" s="690" t="e">
        <f t="shared" si="23"/>
        <v>#N/A</v>
      </c>
      <c r="AN57" s="642" t="e">
        <f t="shared" ca="1" si="23"/>
        <v>#N/A</v>
      </c>
      <c r="AO57" s="648" t="e">
        <f t="shared" ca="1" si="23"/>
        <v>#N/A</v>
      </c>
      <c r="AP57" s="690" t="e">
        <f t="shared" si="23"/>
        <v>#N/A</v>
      </c>
      <c r="AQ57" s="642" t="e">
        <f t="shared" ca="1" si="23"/>
        <v>#N/A</v>
      </c>
      <c r="AR57" s="648" t="e">
        <f t="shared" ca="1" si="23"/>
        <v>#N/A</v>
      </c>
      <c r="AS57" s="50"/>
      <c r="AT57" s="50"/>
      <c r="AU57" s="50"/>
      <c r="AV57" s="50"/>
      <c r="AW57" s="50"/>
      <c r="AX57" s="50"/>
      <c r="AY57" s="50"/>
      <c r="AZ57" s="50"/>
      <c r="BA57" s="50"/>
      <c r="BB57" s="50"/>
      <c r="BC57" s="50"/>
      <c r="BD57" s="50"/>
      <c r="BE57" s="50"/>
      <c r="BF57" s="50"/>
      <c r="BG57" s="50"/>
      <c r="BH57" s="50"/>
      <c r="BI57" s="50"/>
      <c r="BJ57" s="50"/>
      <c r="BK57" s="50"/>
      <c r="BL57" s="50"/>
      <c r="BM57" s="50"/>
      <c r="BN57" s="50"/>
      <c r="BO57" s="50"/>
    </row>
    <row r="58" spans="1:67" ht="15.75" thickBot="1" x14ac:dyDescent="0.3">
      <c r="A58" s="347" t="s">
        <v>868</v>
      </c>
      <c r="B58" s="348" t="s">
        <v>1165</v>
      </c>
      <c r="C58" s="651"/>
      <c r="D58" s="652"/>
      <c r="E58" s="552"/>
      <c r="F58" s="50"/>
      <c r="G58" s="692" t="s">
        <v>868</v>
      </c>
      <c r="H58" s="325" t="s">
        <v>1165</v>
      </c>
      <c r="I58" s="353"/>
      <c r="J58" s="251"/>
      <c r="K58" s="628"/>
      <c r="L58" s="353"/>
      <c r="M58" s="251"/>
      <c r="N58" s="630"/>
      <c r="O58" s="353"/>
      <c r="P58" s="363"/>
      <c r="Q58" s="629"/>
      <c r="R58" s="353"/>
      <c r="S58" s="251"/>
      <c r="T58" s="630"/>
      <c r="U58" s="353"/>
      <c r="V58" s="251"/>
      <c r="W58" s="658"/>
      <c r="X58" s="353"/>
      <c r="Y58" s="251"/>
      <c r="Z58" s="630"/>
      <c r="AA58" s="353"/>
      <c r="AB58" s="251"/>
      <c r="AC58" s="658"/>
      <c r="AD58" s="353"/>
      <c r="AE58" s="251"/>
      <c r="AF58" s="630"/>
      <c r="AG58" s="353"/>
      <c r="AH58" s="251"/>
      <c r="AI58" s="658"/>
      <c r="AJ58" s="353"/>
      <c r="AK58" s="660"/>
      <c r="AL58" s="661"/>
      <c r="AM58" s="353"/>
      <c r="AN58" s="660"/>
      <c r="AO58" s="661"/>
      <c r="AP58" s="353"/>
      <c r="AQ58" s="660"/>
      <c r="AR58" s="629"/>
      <c r="AS58" s="50"/>
      <c r="AT58" s="50"/>
      <c r="AU58" s="50"/>
      <c r="AV58" s="50"/>
      <c r="AW58" s="50"/>
      <c r="AX58" s="50"/>
      <c r="AY58" s="50"/>
      <c r="AZ58" s="50"/>
      <c r="BA58" s="50"/>
      <c r="BB58" s="50"/>
      <c r="BC58" s="50"/>
      <c r="BD58" s="50"/>
      <c r="BE58" s="50"/>
      <c r="BF58" s="50"/>
      <c r="BG58" s="50"/>
      <c r="BH58" s="50"/>
      <c r="BI58" s="50"/>
      <c r="BJ58" s="50"/>
      <c r="BK58" s="50"/>
      <c r="BL58" s="50"/>
      <c r="BM58" s="50"/>
      <c r="BN58" s="50"/>
      <c r="BO58" s="50"/>
    </row>
    <row r="59" spans="1:67" ht="27" customHeight="1" x14ac:dyDescent="0.25">
      <c r="A59" s="300" t="s">
        <v>1189</v>
      </c>
      <c r="B59" s="290" t="s">
        <v>837</v>
      </c>
      <c r="C59" s="301" t="e">
        <f>IF(C145=0,0,B145/C145*D145)*0.024*$D$149</f>
        <v>#N/A</v>
      </c>
      <c r="D59" s="668" t="e">
        <f ca="1">C59*($D$38/$C$38)</f>
        <v>#N/A</v>
      </c>
      <c r="E59" s="669" t="e">
        <f ca="1">C59*($E$38/$C$38)</f>
        <v>#N/A</v>
      </c>
      <c r="F59" s="50"/>
      <c r="G59" s="302" t="s">
        <v>1189</v>
      </c>
      <c r="H59" s="294" t="s">
        <v>837</v>
      </c>
      <c r="I59" s="305" t="e">
        <f>IF($C145=0,0,$B145/$C145*$D145)*0.024*G$149</f>
        <v>#N/A</v>
      </c>
      <c r="J59" s="572" t="e">
        <f ca="1">I59*($J$38/$I$38)</f>
        <v>#N/A</v>
      </c>
      <c r="K59" s="670" t="e">
        <f ca="1">I59*($K$38/$I$38)</f>
        <v>#N/A</v>
      </c>
      <c r="L59" s="303" t="e">
        <f>IF($C145=0,0,$B145/$C145*$D145)*0.024*H$149</f>
        <v>#N/A</v>
      </c>
      <c r="M59" s="671" t="e">
        <f ca="1">L59*($M$38/$L$38)</f>
        <v>#N/A</v>
      </c>
      <c r="N59" s="670" t="e">
        <f ca="1">L59*($N$35/$L$35)</f>
        <v>#N/A</v>
      </c>
      <c r="O59" s="303" t="e">
        <f>IF($C145=0,0,$B145/$C145*$D145)*0.024*I$149</f>
        <v>#N/A</v>
      </c>
      <c r="P59" s="673" t="e">
        <f ca="1">O59*($P$38/$O$38)</f>
        <v>#N/A</v>
      </c>
      <c r="Q59" s="674" t="e">
        <f ca="1">O59*($Q$38/$O$38)</f>
        <v>#N/A</v>
      </c>
      <c r="R59" s="303" t="e">
        <f>IF($C145=0,0,$B145/$C145*$D145)*0.024*J$149</f>
        <v>#N/A</v>
      </c>
      <c r="S59" s="673" t="e">
        <f ca="1">R59*($S$38/$R$38)</f>
        <v>#N/A</v>
      </c>
      <c r="T59" s="674" t="e">
        <f ca="1">R59*($T$38/$R$38)</f>
        <v>#N/A</v>
      </c>
      <c r="U59" s="305" t="e">
        <f>IF($C145=0,0,$B145/$C145*$D145)*0.024*K$149</f>
        <v>#N/A</v>
      </c>
      <c r="V59" s="673">
        <f>IFERROR(U59*($V$38/$U$38),0)</f>
        <v>0</v>
      </c>
      <c r="W59" s="674">
        <f ca="1">IFERROR(U59*($W$38/$U$38),0)</f>
        <v>0</v>
      </c>
      <c r="X59" s="305" t="e">
        <f>IF($C145=0,0,$B145/$C145*$D145)*0.024*L$149</f>
        <v>#N/A</v>
      </c>
      <c r="Y59" s="673">
        <f>IFERROR(X59*($Y$38/$X$38),0)</f>
        <v>0</v>
      </c>
      <c r="Z59" s="674">
        <f ca="1">IFERROR(X59*($Z$38/$X$38),0)</f>
        <v>0</v>
      </c>
      <c r="AA59" s="305" t="e">
        <f>IF($C145=0,0,$B145/$C145*$D145)*0.024*M$149</f>
        <v>#N/A</v>
      </c>
      <c r="AB59" s="673">
        <f>IFERROR(AA59*($AB$38/$AA$38),0)</f>
        <v>0</v>
      </c>
      <c r="AC59" s="674">
        <f ca="1">IFERROR(AA59*($AC$38/$AA$38),0)</f>
        <v>0</v>
      </c>
      <c r="AD59" s="305" t="e">
        <f>IF($C145=0,0,$B145/$C145*$D145)*0.024*N$149</f>
        <v>#N/A</v>
      </c>
      <c r="AE59" s="673">
        <f>IFERROR(AD59*($AE$38/$AD$38),)</f>
        <v>0</v>
      </c>
      <c r="AF59" s="674">
        <f ca="1">IFERROR(AD59*($AF$35/$AD$35),)</f>
        <v>0</v>
      </c>
      <c r="AG59" s="305" t="e">
        <f>IF($C145=0,0,$B145/$C145*$D145)*0.024*O$149</f>
        <v>#N/A</v>
      </c>
      <c r="AH59" s="673">
        <f>IFERROR(AG59*($AH$38/$AG$38),)</f>
        <v>0</v>
      </c>
      <c r="AI59" s="674">
        <f ca="1">IFERROR(AG59*($AI$35/$AG$35),0)</f>
        <v>0</v>
      </c>
      <c r="AJ59" s="303" t="e">
        <f>IF($C145=0,0,$B145/$C145*$D145)*0.024*P$149</f>
        <v>#N/A</v>
      </c>
      <c r="AK59" s="673" t="e">
        <f ca="1">AJ59*($AK$38/$AJ$38)</f>
        <v>#N/A</v>
      </c>
      <c r="AL59" s="674" t="e">
        <f ca="1">AJ59*($AL$38/$AJ$38)</f>
        <v>#N/A</v>
      </c>
      <c r="AM59" s="303" t="e">
        <f>IF($C145=0,0,$B145/$C145*$D145)*0.024*Q$149</f>
        <v>#N/A</v>
      </c>
      <c r="AN59" s="673" t="e">
        <f ca="1">AM59*($AN$38/$AM$38)</f>
        <v>#N/A</v>
      </c>
      <c r="AO59" s="674" t="e">
        <f ca="1">AM59*($AO$38/$AM$38)</f>
        <v>#N/A</v>
      </c>
      <c r="AP59" s="303" t="e">
        <f>IF($C145=0,0,$B145/$C145*$D145)*0.024*R$149</f>
        <v>#N/A</v>
      </c>
      <c r="AQ59" s="673" t="e">
        <f ca="1">AP59*($AQ$38/$AP$38)</f>
        <v>#N/A</v>
      </c>
      <c r="AR59" s="674" t="e">
        <f ca="1">AP59*($AR$38/$AP$38)</f>
        <v>#N/A</v>
      </c>
      <c r="AS59" s="50"/>
      <c r="AT59" s="50"/>
      <c r="AU59" s="50"/>
      <c r="AV59" s="50"/>
      <c r="AW59" s="50"/>
      <c r="AX59" s="50"/>
      <c r="AY59" s="50"/>
      <c r="AZ59" s="50"/>
      <c r="BA59" s="50"/>
      <c r="BB59" s="50"/>
      <c r="BC59" s="50"/>
      <c r="BD59" s="50"/>
      <c r="BE59" s="50"/>
      <c r="BF59" s="50"/>
      <c r="BG59" s="50"/>
      <c r="BH59" s="50"/>
      <c r="BI59" s="50"/>
      <c r="BJ59" s="50"/>
      <c r="BK59" s="50"/>
      <c r="BL59" s="50"/>
      <c r="BM59" s="50"/>
      <c r="BN59" s="50"/>
      <c r="BO59" s="50"/>
    </row>
    <row r="60" spans="1:67" x14ac:dyDescent="0.25">
      <c r="A60" s="320" t="s">
        <v>868</v>
      </c>
      <c r="B60" s="321" t="s">
        <v>1168</v>
      </c>
      <c r="C60" s="693"/>
      <c r="D60" s="339" t="e">
        <f ca="1">0.86*D59/1000</f>
        <v>#N/A</v>
      </c>
      <c r="E60" s="638" t="e">
        <f ca="1">0.86*E59/1000</f>
        <v>#N/A</v>
      </c>
      <c r="F60" s="50"/>
      <c r="G60" s="341" t="s">
        <v>868</v>
      </c>
      <c r="H60" s="342" t="s">
        <v>1168</v>
      </c>
      <c r="I60" s="690" t="e">
        <f t="shared" ref="I60:W60" si="24">0.86*I59/1000</f>
        <v>#N/A</v>
      </c>
      <c r="J60" s="642" t="e">
        <f t="shared" ca="1" si="24"/>
        <v>#N/A</v>
      </c>
      <c r="K60" s="675" t="e">
        <f t="shared" ca="1" si="24"/>
        <v>#N/A</v>
      </c>
      <c r="L60" s="690" t="e">
        <f>0.86*L59/1000</f>
        <v>#N/A</v>
      </c>
      <c r="M60" s="645" t="e">
        <f t="shared" ca="1" si="24"/>
        <v>#N/A</v>
      </c>
      <c r="N60" s="643" t="e">
        <f t="shared" ca="1" si="24"/>
        <v>#N/A</v>
      </c>
      <c r="O60" s="690" t="e">
        <f t="shared" si="24"/>
        <v>#N/A</v>
      </c>
      <c r="P60" s="645" t="e">
        <f t="shared" ca="1" si="24"/>
        <v>#N/A</v>
      </c>
      <c r="Q60" s="643" t="e">
        <f t="shared" ca="1" si="24"/>
        <v>#N/A</v>
      </c>
      <c r="R60" s="690" t="e">
        <f t="shared" si="24"/>
        <v>#N/A</v>
      </c>
      <c r="S60" s="687" t="e">
        <f t="shared" ca="1" si="24"/>
        <v>#N/A</v>
      </c>
      <c r="T60" s="688" t="e">
        <f t="shared" ca="1" si="24"/>
        <v>#N/A</v>
      </c>
      <c r="U60" s="690" t="e">
        <f t="shared" si="24"/>
        <v>#N/A</v>
      </c>
      <c r="V60" s="642">
        <f t="shared" si="24"/>
        <v>0</v>
      </c>
      <c r="W60" s="648">
        <f t="shared" ca="1" si="24"/>
        <v>0</v>
      </c>
      <c r="X60" s="690" t="e">
        <f t="shared" ref="X60:AR60" si="25">0.86*X59/1000</f>
        <v>#N/A</v>
      </c>
      <c r="Y60" s="642">
        <f t="shared" si="25"/>
        <v>0</v>
      </c>
      <c r="Z60" s="648">
        <f t="shared" ca="1" si="25"/>
        <v>0</v>
      </c>
      <c r="AA60" s="690" t="e">
        <f t="shared" si="25"/>
        <v>#N/A</v>
      </c>
      <c r="AB60" s="642">
        <f t="shared" si="25"/>
        <v>0</v>
      </c>
      <c r="AC60" s="648">
        <f t="shared" ca="1" si="25"/>
        <v>0</v>
      </c>
      <c r="AD60" s="690" t="e">
        <f t="shared" si="25"/>
        <v>#N/A</v>
      </c>
      <c r="AE60" s="642">
        <f t="shared" si="25"/>
        <v>0</v>
      </c>
      <c r="AF60" s="648">
        <f t="shared" ca="1" si="25"/>
        <v>0</v>
      </c>
      <c r="AG60" s="690" t="e">
        <f t="shared" si="25"/>
        <v>#N/A</v>
      </c>
      <c r="AH60" s="642">
        <f t="shared" si="25"/>
        <v>0</v>
      </c>
      <c r="AI60" s="648">
        <f t="shared" ca="1" si="25"/>
        <v>0</v>
      </c>
      <c r="AJ60" s="690" t="e">
        <f t="shared" si="25"/>
        <v>#N/A</v>
      </c>
      <c r="AK60" s="642" t="e">
        <f t="shared" ca="1" si="25"/>
        <v>#N/A</v>
      </c>
      <c r="AL60" s="648" t="e">
        <f t="shared" ca="1" si="25"/>
        <v>#N/A</v>
      </c>
      <c r="AM60" s="690" t="e">
        <f t="shared" si="25"/>
        <v>#N/A</v>
      </c>
      <c r="AN60" s="642" t="e">
        <f t="shared" ca="1" si="25"/>
        <v>#N/A</v>
      </c>
      <c r="AO60" s="648" t="e">
        <f t="shared" ca="1" si="25"/>
        <v>#N/A</v>
      </c>
      <c r="AP60" s="690" t="e">
        <f t="shared" si="25"/>
        <v>#N/A</v>
      </c>
      <c r="AQ60" s="642" t="e">
        <f t="shared" ca="1" si="25"/>
        <v>#N/A</v>
      </c>
      <c r="AR60" s="648" t="e">
        <f t="shared" ca="1" si="25"/>
        <v>#N/A</v>
      </c>
      <c r="AS60" s="50"/>
      <c r="AT60" s="50"/>
      <c r="AU60" s="50"/>
      <c r="AV60" s="50"/>
      <c r="AW60" s="50"/>
      <c r="AX60" s="50"/>
      <c r="AY60" s="50"/>
      <c r="AZ60" s="50"/>
      <c r="BA60" s="50"/>
      <c r="BB60" s="50"/>
      <c r="BC60" s="50"/>
      <c r="BD60" s="50"/>
      <c r="BE60" s="50"/>
      <c r="BF60" s="50"/>
      <c r="BG60" s="50"/>
      <c r="BH60" s="50"/>
      <c r="BI60" s="50"/>
      <c r="BJ60" s="50"/>
      <c r="BK60" s="50"/>
      <c r="BL60" s="50"/>
      <c r="BM60" s="50"/>
      <c r="BN60" s="50"/>
      <c r="BO60" s="50"/>
    </row>
    <row r="61" spans="1:67" ht="15.75" thickBot="1" x14ac:dyDescent="0.3">
      <c r="A61" s="347" t="s">
        <v>868</v>
      </c>
      <c r="B61" s="348" t="s">
        <v>1165</v>
      </c>
      <c r="C61" s="651"/>
      <c r="D61" s="652"/>
      <c r="E61" s="552"/>
      <c r="F61" s="50"/>
      <c r="G61" s="692" t="s">
        <v>868</v>
      </c>
      <c r="H61" s="325" t="s">
        <v>1165</v>
      </c>
      <c r="I61" s="353"/>
      <c r="J61" s="251"/>
      <c r="K61" s="628"/>
      <c r="L61" s="353"/>
      <c r="M61" s="251"/>
      <c r="N61" s="630"/>
      <c r="O61" s="657"/>
      <c r="P61" s="251"/>
      <c r="Q61" s="658"/>
      <c r="R61" s="353"/>
      <c r="S61" s="251"/>
      <c r="T61" s="630"/>
      <c r="U61" s="657"/>
      <c r="V61" s="251"/>
      <c r="W61" s="658"/>
      <c r="X61" s="353"/>
      <c r="Y61" s="251"/>
      <c r="Z61" s="630"/>
      <c r="AA61" s="657"/>
      <c r="AB61" s="251"/>
      <c r="AC61" s="658"/>
      <c r="AD61" s="353"/>
      <c r="AE61" s="251"/>
      <c r="AF61" s="630"/>
      <c r="AG61" s="657"/>
      <c r="AH61" s="251"/>
      <c r="AI61" s="658"/>
      <c r="AJ61" s="354"/>
      <c r="AK61" s="660"/>
      <c r="AL61" s="661"/>
      <c r="AM61" s="354"/>
      <c r="AN61" s="660"/>
      <c r="AO61" s="661"/>
      <c r="AP61" s="662"/>
      <c r="AQ61" s="663"/>
      <c r="AR61" s="630"/>
      <c r="AS61" s="50"/>
      <c r="AT61" s="50"/>
      <c r="AU61" s="50"/>
      <c r="AV61" s="50"/>
      <c r="AW61" s="50"/>
      <c r="AX61" s="50"/>
      <c r="AY61" s="50"/>
      <c r="AZ61" s="50"/>
      <c r="BA61" s="50"/>
      <c r="BB61" s="50"/>
      <c r="BC61" s="50"/>
      <c r="BD61" s="50"/>
      <c r="BE61" s="50"/>
      <c r="BF61" s="50"/>
      <c r="BG61" s="50"/>
      <c r="BH61" s="50"/>
      <c r="BI61" s="50"/>
      <c r="BJ61" s="50"/>
      <c r="BK61" s="50"/>
      <c r="BL61" s="50"/>
      <c r="BM61" s="50"/>
      <c r="BN61" s="50"/>
      <c r="BO61" s="50"/>
    </row>
    <row r="62" spans="1:67" ht="24.75" customHeight="1" x14ac:dyDescent="0.25">
      <c r="A62" s="297" t="s">
        <v>1182</v>
      </c>
      <c r="B62" s="290" t="s">
        <v>837</v>
      </c>
      <c r="C62" s="292" t="e">
        <f>(D153*D154*'Ввод исходных данных'!$D$22*0.28)*D149*0.024+D156*D194+D163</f>
        <v>#N/A</v>
      </c>
      <c r="D62" s="634" t="e">
        <f ca="1">C62*(($D$35+$D$71)/($C$35+$C$71))</f>
        <v>#N/A</v>
      </c>
      <c r="E62" s="634" t="e">
        <f ca="1">$C62*(($E$35+$E$71)/($C$35+$C$71))</f>
        <v>#N/A</v>
      </c>
      <c r="F62" s="50"/>
      <c r="G62" s="306" t="s">
        <v>1182</v>
      </c>
      <c r="H62" s="294" t="s">
        <v>837</v>
      </c>
      <c r="I62" s="296" t="e">
        <f>($D$153*$D$154*'Ввод исходных данных'!$D$22*0.28)*G$149*0.024+G194*$D$156+G163</f>
        <v>#N/A</v>
      </c>
      <c r="J62" s="634" t="e">
        <f ca="1">I62*((J$35+J$71)/(I$35+I$71))</f>
        <v>#N/A</v>
      </c>
      <c r="K62" s="634">
        <f ca="1">IFERROR(I62*((K$35+K$71)/(I$35+I$71)),0)</f>
        <v>0</v>
      </c>
      <c r="L62" s="296" t="e">
        <f>($D$153*$D$154*'Ввод исходных данных'!$D$22*0.28)*H$149*0.024+H194*$D$156+H163</f>
        <v>#N/A</v>
      </c>
      <c r="M62" s="634" t="e">
        <f ca="1">L62*((M$35+M$71)/(L$35+L$71))</f>
        <v>#N/A</v>
      </c>
      <c r="N62" s="634">
        <f ca="1">IFERROR(L62*((N$35+N$71)/(L$35+L$71)),0)</f>
        <v>0</v>
      </c>
      <c r="O62" s="296" t="e">
        <f>($D$153*$D$154*'Ввод исходных данных'!$D$22*0.28)*I$149*0.024+I194*$D$156+I163</f>
        <v>#N/A</v>
      </c>
      <c r="P62" s="634" t="e">
        <f ca="1">O62*((P$35+P$71)/(O$35+O$71))</f>
        <v>#N/A</v>
      </c>
      <c r="Q62" s="634">
        <f ca="1">IFERROR(O62*((Q$35+Q$71)/(O$35+O$71)),0)</f>
        <v>0</v>
      </c>
      <c r="R62" s="296" t="e">
        <f>($D$153*$D$154*'Ввод исходных данных'!$D$22*0.28)*J$149*0.024+J194*$D$156+J163</f>
        <v>#N/A</v>
      </c>
      <c r="S62" s="634" t="e">
        <f ca="1">R62*((S$35+S$71)/(R$35+R$71))</f>
        <v>#N/A</v>
      </c>
      <c r="T62" s="634">
        <f ca="1">IFERROR(R62*((T$35+T$71)/(R$35+R$71)),0)</f>
        <v>0</v>
      </c>
      <c r="U62" s="296" t="e">
        <f>($D$153*$D$154*'Ввод исходных данных'!$D$22*0.28)*K$149*0.024+K194*$D$156+K163</f>
        <v>#N/A</v>
      </c>
      <c r="V62" s="634">
        <f>IFERROR(U62*((V$35+V$71)/(U$35+U$71)),0)</f>
        <v>0</v>
      </c>
      <c r="W62" s="634">
        <f ca="1">IFERROR(U62*((W$35+W$71)/(U$35+U$71)),0)</f>
        <v>0</v>
      </c>
      <c r="X62" s="296" t="e">
        <f>($D$153*$D$154*'Ввод исходных данных'!$D$22*0.28)*L$149*0.024+L194*$D$156+L163</f>
        <v>#N/A</v>
      </c>
      <c r="Y62" s="634">
        <f>IFERROR(X62*((Y$35+Y$71)/(X$35+X$71)),0)</f>
        <v>0</v>
      </c>
      <c r="Z62" s="634">
        <f ca="1">IFERROR(X62*((Z$35+Z$71)/(X$35+X$71)),0)</f>
        <v>0</v>
      </c>
      <c r="AA62" s="296" t="e">
        <f>($D$153*$D$154*'Ввод исходных данных'!$D$22*0.28)*M$149*0.024+M194*$D$156+M163</f>
        <v>#N/A</v>
      </c>
      <c r="AB62" s="634">
        <f>IFERROR(AA62*((AB$35+AB$71)/(AA$35+AA$71)),0)</f>
        <v>0</v>
      </c>
      <c r="AC62" s="634">
        <f ca="1">IFERROR(AA62*((AC$35+AC$71)/(AA$35+AA$71)),0)</f>
        <v>0</v>
      </c>
      <c r="AD62" s="296" t="e">
        <f>($D$153*$D$154*'Ввод исходных данных'!$D$22*0.28)*N$149*0.024+N194*$D$156+N163</f>
        <v>#N/A</v>
      </c>
      <c r="AE62" s="634">
        <f>IFERROR(AD62*((AE$35+AE$71)/(AD$35+AD$71)),0)</f>
        <v>0</v>
      </c>
      <c r="AF62" s="634">
        <f ca="1">IFERROR(AD62*((AF$35+AF$71)/(AD$35+AD$71)),0)</f>
        <v>0</v>
      </c>
      <c r="AG62" s="296" t="e">
        <f>($D$153*$D$154*'Ввод исходных данных'!$D$22*0.28)*O$149*0.024+O194*$D$156+O163</f>
        <v>#N/A</v>
      </c>
      <c r="AH62" s="634">
        <f>IFERROR(AG62*((AH$35+AH$71)/(AG$35+AG$71)),0)</f>
        <v>0</v>
      </c>
      <c r="AI62" s="634">
        <f ca="1">IFERROR(AG62*((AI$35+AI$71)/(AG$35+AG$71)),0)</f>
        <v>0</v>
      </c>
      <c r="AJ62" s="296" t="e">
        <f>($D$153*$D$154*'Ввод исходных данных'!$D$22*0.28)*P$149*0.024+P194*$D$156+P163</f>
        <v>#N/A</v>
      </c>
      <c r="AK62" s="634">
        <f ca="1">IFERROR(AJ62*((AK$35+AK$71)/(AJ$35+AJ$71)),0)</f>
        <v>0</v>
      </c>
      <c r="AL62" s="634">
        <f ca="1">IFERROR(AJ62*((AL$35+AL$71)/(AJ$35+AJ$71)),0)</f>
        <v>0</v>
      </c>
      <c r="AM62" s="296" t="e">
        <f>($D$153*$D$154*'Ввод исходных данных'!$D$22*0.28)*Q$149*0.024+Q194*$D$156+Q163</f>
        <v>#N/A</v>
      </c>
      <c r="AN62" s="634">
        <f ca="1">IFERROR(AM62*((AN$35+AN$71)/(AM$35+AM$71)),0)</f>
        <v>0</v>
      </c>
      <c r="AO62" s="634">
        <f ca="1">IFERROR(AM62*((AO$35+AO$71)/(AM$35+AM$71)),0)</f>
        <v>0</v>
      </c>
      <c r="AP62" s="296" t="e">
        <f>($D$153*$D$154*'Ввод исходных данных'!$D$22*0.28)*R$149*0.024+R194*$D$156+R163</f>
        <v>#N/A</v>
      </c>
      <c r="AQ62" s="634">
        <f ca="1">IFERROR(AP62*((AQ$35+AQ$71)/(AP$35+AP$71)),0)</f>
        <v>0</v>
      </c>
      <c r="AR62" s="634">
        <f ca="1">IFERROR(AP62*((AR$35+AR$71)/(AP$35+AP$71)),0)</f>
        <v>0</v>
      </c>
      <c r="AS62" s="50"/>
      <c r="AT62" s="50"/>
      <c r="AU62" s="50"/>
      <c r="AV62" s="50"/>
      <c r="AW62" s="50"/>
      <c r="AX62" s="50"/>
      <c r="AY62" s="50"/>
      <c r="AZ62" s="50"/>
      <c r="BA62" s="50"/>
      <c r="BB62" s="50"/>
      <c r="BC62" s="50"/>
      <c r="BD62" s="50"/>
      <c r="BE62" s="50"/>
      <c r="BF62" s="50"/>
      <c r="BG62" s="50"/>
      <c r="BH62" s="50"/>
      <c r="BI62" s="50"/>
      <c r="BJ62" s="50"/>
      <c r="BK62" s="50"/>
      <c r="BL62" s="50"/>
      <c r="BM62" s="50"/>
      <c r="BN62" s="50"/>
      <c r="BO62" s="50"/>
    </row>
    <row r="63" spans="1:67" x14ac:dyDescent="0.25">
      <c r="A63" s="320" t="s">
        <v>868</v>
      </c>
      <c r="B63" s="321" t="s">
        <v>1168</v>
      </c>
      <c r="C63" s="620" t="e">
        <f>0.86*C62/1000</f>
        <v>#N/A</v>
      </c>
      <c r="D63" s="339" t="e">
        <f ca="1">0.86*D62/1000</f>
        <v>#N/A</v>
      </c>
      <c r="E63" s="694" t="e">
        <f ca="1">0.86*E62/1000</f>
        <v>#N/A</v>
      </c>
      <c r="F63" s="50"/>
      <c r="G63" s="341" t="s">
        <v>868</v>
      </c>
      <c r="H63" s="342" t="s">
        <v>1168</v>
      </c>
      <c r="I63" s="690" t="e">
        <f t="shared" ref="I63:O63" si="26">0.86*I62/1000</f>
        <v>#N/A</v>
      </c>
      <c r="J63" s="642" t="e">
        <f t="shared" ca="1" si="26"/>
        <v>#N/A</v>
      </c>
      <c r="K63" s="675">
        <f t="shared" ca="1" si="26"/>
        <v>0</v>
      </c>
      <c r="L63" s="695" t="e">
        <f t="shared" si="26"/>
        <v>#N/A</v>
      </c>
      <c r="M63" s="645" t="e">
        <f t="shared" ca="1" si="26"/>
        <v>#N/A</v>
      </c>
      <c r="N63" s="643">
        <f t="shared" ca="1" si="26"/>
        <v>0</v>
      </c>
      <c r="O63" s="332" t="e">
        <f t="shared" si="26"/>
        <v>#N/A</v>
      </c>
      <c r="P63" s="679" t="e">
        <f ca="1">O63*($P$35/$O$35)</f>
        <v>#N/A</v>
      </c>
      <c r="Q63" s="680" t="e">
        <f ca="1">O63*($Q$35/$O$35)</f>
        <v>#N/A</v>
      </c>
      <c r="R63" s="647" t="e">
        <f t="shared" ref="R63:AR63" si="27">0.86*R62/1000</f>
        <v>#N/A</v>
      </c>
      <c r="S63" s="687" t="e">
        <f t="shared" ca="1" si="27"/>
        <v>#N/A</v>
      </c>
      <c r="T63" s="688">
        <f t="shared" ca="1" si="27"/>
        <v>0</v>
      </c>
      <c r="U63" s="332" t="e">
        <f t="shared" si="27"/>
        <v>#N/A</v>
      </c>
      <c r="V63" s="642">
        <f t="shared" si="27"/>
        <v>0</v>
      </c>
      <c r="W63" s="648">
        <f t="shared" ca="1" si="27"/>
        <v>0</v>
      </c>
      <c r="X63" s="332" t="e">
        <f t="shared" si="27"/>
        <v>#N/A</v>
      </c>
      <c r="Y63" s="642">
        <f t="shared" si="27"/>
        <v>0</v>
      </c>
      <c r="Z63" s="648">
        <f t="shared" ca="1" si="27"/>
        <v>0</v>
      </c>
      <c r="AA63" s="332" t="e">
        <f t="shared" si="27"/>
        <v>#N/A</v>
      </c>
      <c r="AB63" s="642">
        <f t="shared" si="27"/>
        <v>0</v>
      </c>
      <c r="AC63" s="648">
        <f t="shared" ca="1" si="27"/>
        <v>0</v>
      </c>
      <c r="AD63" s="332" t="e">
        <f t="shared" si="27"/>
        <v>#N/A</v>
      </c>
      <c r="AE63" s="642">
        <f t="shared" si="27"/>
        <v>0</v>
      </c>
      <c r="AF63" s="648">
        <f t="shared" ca="1" si="27"/>
        <v>0</v>
      </c>
      <c r="AG63" s="332" t="e">
        <f t="shared" si="27"/>
        <v>#N/A</v>
      </c>
      <c r="AH63" s="642">
        <f t="shared" si="27"/>
        <v>0</v>
      </c>
      <c r="AI63" s="648">
        <f t="shared" ca="1" si="27"/>
        <v>0</v>
      </c>
      <c r="AJ63" s="644" t="e">
        <f t="shared" si="27"/>
        <v>#N/A</v>
      </c>
      <c r="AK63" s="642">
        <f t="shared" ca="1" si="27"/>
        <v>0</v>
      </c>
      <c r="AL63" s="648">
        <f t="shared" ca="1" si="27"/>
        <v>0</v>
      </c>
      <c r="AM63" s="647" t="e">
        <f t="shared" si="27"/>
        <v>#N/A</v>
      </c>
      <c r="AN63" s="642">
        <f t="shared" ca="1" si="27"/>
        <v>0</v>
      </c>
      <c r="AO63" s="648">
        <f t="shared" ca="1" si="27"/>
        <v>0</v>
      </c>
      <c r="AP63" s="647" t="e">
        <f t="shared" si="27"/>
        <v>#N/A</v>
      </c>
      <c r="AQ63" s="642">
        <f t="shared" ca="1" si="27"/>
        <v>0</v>
      </c>
      <c r="AR63" s="648">
        <f t="shared" ca="1" si="27"/>
        <v>0</v>
      </c>
      <c r="AS63" s="50"/>
      <c r="AT63" s="50"/>
      <c r="AU63" s="50"/>
      <c r="AV63" s="50"/>
      <c r="AW63" s="50"/>
      <c r="AX63" s="50"/>
      <c r="AY63" s="50"/>
      <c r="AZ63" s="50"/>
      <c r="BA63" s="50"/>
      <c r="BB63" s="50"/>
      <c r="BC63" s="50"/>
      <c r="BD63" s="50"/>
      <c r="BE63" s="50"/>
      <c r="BF63" s="50"/>
      <c r="BG63" s="50"/>
      <c r="BH63" s="50"/>
      <c r="BI63" s="50"/>
      <c r="BJ63" s="50"/>
      <c r="BK63" s="50"/>
      <c r="BL63" s="50"/>
      <c r="BM63" s="50"/>
      <c r="BN63" s="50"/>
      <c r="BO63" s="50"/>
    </row>
    <row r="64" spans="1:67" ht="15.75" thickBot="1" x14ac:dyDescent="0.3">
      <c r="A64" s="347" t="s">
        <v>868</v>
      </c>
      <c r="B64" s="348" t="s">
        <v>1165</v>
      </c>
      <c r="C64" s="582"/>
      <c r="D64" s="652"/>
      <c r="E64" s="696"/>
      <c r="F64" s="50"/>
      <c r="G64" s="324" t="s">
        <v>868</v>
      </c>
      <c r="H64" s="350" t="s">
        <v>1165</v>
      </c>
      <c r="I64" s="352"/>
      <c r="J64" s="363"/>
      <c r="K64" s="656"/>
      <c r="L64" s="352"/>
      <c r="M64" s="363"/>
      <c r="N64" s="629"/>
      <c r="O64" s="365"/>
      <c r="P64" s="363"/>
      <c r="Q64" s="631"/>
      <c r="R64" s="352"/>
      <c r="S64" s="363"/>
      <c r="T64" s="629"/>
      <c r="U64" s="365"/>
      <c r="V64" s="363"/>
      <c r="W64" s="631"/>
      <c r="X64" s="352"/>
      <c r="Y64" s="363"/>
      <c r="Z64" s="629"/>
      <c r="AA64" s="365"/>
      <c r="AB64" s="363"/>
      <c r="AC64" s="631"/>
      <c r="AD64" s="352"/>
      <c r="AE64" s="363"/>
      <c r="AF64" s="629"/>
      <c r="AG64" s="365"/>
      <c r="AH64" s="363"/>
      <c r="AI64" s="631"/>
      <c r="AJ64" s="354"/>
      <c r="AK64" s="660"/>
      <c r="AL64" s="661"/>
      <c r="AM64" s="354"/>
      <c r="AN64" s="660"/>
      <c r="AO64" s="661"/>
      <c r="AP64" s="354"/>
      <c r="AQ64" s="660"/>
      <c r="AR64" s="629"/>
      <c r="AS64" s="50"/>
      <c r="AT64" s="50"/>
      <c r="AU64" s="50"/>
      <c r="AV64" s="50"/>
      <c r="AW64" s="50"/>
      <c r="AX64" s="50"/>
      <c r="AY64" s="50"/>
      <c r="AZ64" s="50"/>
      <c r="BA64" s="50"/>
      <c r="BB64" s="50"/>
      <c r="BC64" s="50"/>
      <c r="BD64" s="50"/>
      <c r="BE64" s="50"/>
      <c r="BF64" s="50"/>
      <c r="BG64" s="50"/>
      <c r="BH64" s="50"/>
      <c r="BI64" s="50"/>
      <c r="BJ64" s="50"/>
      <c r="BK64" s="50"/>
      <c r="BL64" s="50"/>
      <c r="BM64" s="50"/>
      <c r="BN64" s="50"/>
      <c r="BO64" s="50"/>
    </row>
    <row r="65" spans="1:67" ht="45.75" customHeight="1" x14ac:dyDescent="0.25">
      <c r="A65" s="633" t="s">
        <v>1190</v>
      </c>
      <c r="B65" s="612" t="s">
        <v>837</v>
      </c>
      <c r="C65" s="292" t="e">
        <f>(C62+C38-C71*$D$158)*($D$160-1)</f>
        <v>#N/A</v>
      </c>
      <c r="D65" s="634" t="e">
        <f ca="1">C65*(($D$35+$D$71)/($C$35+$C$71))</f>
        <v>#N/A</v>
      </c>
      <c r="E65" s="634" t="e">
        <f ca="1">$C65*(($E$35+$E$71)/($C$35+$C$71))</f>
        <v>#N/A</v>
      </c>
      <c r="F65" s="50"/>
      <c r="G65" s="697" t="s">
        <v>1190</v>
      </c>
      <c r="H65" s="698" t="s">
        <v>837</v>
      </c>
      <c r="I65" s="309" t="e">
        <f ca="1">(I62+I38-I71*$D$158)*($D$160-1)</f>
        <v>#N/A</v>
      </c>
      <c r="J65" s="634" t="e">
        <f ca="1">I65*((J$35+J$71)/(I$35+I$71))</f>
        <v>#N/A</v>
      </c>
      <c r="K65" s="634">
        <f ca="1">IFERROR(I65*((K$35+K$71)/(I$35+I$71)),0)</f>
        <v>0</v>
      </c>
      <c r="L65" s="311" t="e">
        <f ca="1">(L62+L38-L71*$D$158)*($D$160-1)</f>
        <v>#N/A</v>
      </c>
      <c r="M65" s="634" t="e">
        <f ca="1">L65*((M$35+M$71)/(L$35+L$71))</f>
        <v>#N/A</v>
      </c>
      <c r="N65" s="634">
        <f ca="1">IFERROR(L65*((N$35+N$71)/(L$35+L$71)),0)</f>
        <v>0</v>
      </c>
      <c r="O65" s="699" t="e">
        <f ca="1">(O62+O38-O71*$D$158)*($D$160-1)</f>
        <v>#N/A</v>
      </c>
      <c r="P65" s="634" t="e">
        <f ca="1">O65*((P$35+P$71)/(O$35+O$71))</f>
        <v>#N/A</v>
      </c>
      <c r="Q65" s="634">
        <f ca="1">IFERROR(O65*((Q$35+Q$71)/(O$35+O$71)),0)</f>
        <v>0</v>
      </c>
      <c r="R65" s="699" t="e">
        <f ca="1">(R62+R38-R71*$D$158)*($D$160-1)</f>
        <v>#N/A</v>
      </c>
      <c r="S65" s="634" t="e">
        <f ca="1">R65*((S$35+S$71)/(R$35+R$71))</f>
        <v>#N/A</v>
      </c>
      <c r="T65" s="634">
        <f ca="1">IFERROR(R65*((T$35+T$71)/(R$35+R$71)),0)</f>
        <v>0</v>
      </c>
      <c r="U65" s="336" t="e">
        <f>(U62+U38-U71*$D$158)*($D$160-1)</f>
        <v>#N/A</v>
      </c>
      <c r="V65" s="634">
        <f>IFERROR(U65*((V$35+V$71)/(U$35+U$71)),0)</f>
        <v>0</v>
      </c>
      <c r="W65" s="634">
        <f ca="1">IFERROR(U65*((W$35+W$71)/(U$35+U$71)),0)</f>
        <v>0</v>
      </c>
      <c r="X65" s="700" t="e">
        <f>(X62+X38-X71*$D$158)*($D$160-1)</f>
        <v>#N/A</v>
      </c>
      <c r="Y65" s="634">
        <f>IFERROR(X65*((Y$35+Y$71)/(X$35+X$71)),0)</f>
        <v>0</v>
      </c>
      <c r="Z65" s="634">
        <f ca="1">IFERROR(X65*((Z$35+Z$71)/(X$35+X$71)),0)</f>
        <v>0</v>
      </c>
      <c r="AA65" s="701" t="e">
        <f>(AA62+AA38-AA71*$D$158)*($D$160-1)</f>
        <v>#N/A</v>
      </c>
      <c r="AB65" s="634">
        <f>IFERROR(AA65*((AB$35+AB$71)/(AA$35+AA$71)),0)</f>
        <v>0</v>
      </c>
      <c r="AC65" s="634">
        <f ca="1">IFERROR(AA65*((AC$35+AC$71)/(AA$35+AA$71)),0)</f>
        <v>0</v>
      </c>
      <c r="AD65" s="701" t="e">
        <f>(AD62+AD38-AD71*$D$158)*($D$160-1)</f>
        <v>#N/A</v>
      </c>
      <c r="AE65" s="634">
        <f>IFERROR(AD65*((AE$35+AE$71)/(AD$35+AD$71)),0)</f>
        <v>0</v>
      </c>
      <c r="AF65" s="634">
        <f ca="1">IFERROR(AD65*((AF$35+AF$71)/(AD$35+AD$71)),0)</f>
        <v>0</v>
      </c>
      <c r="AG65" s="701" t="e">
        <f>(AG62+AG38-AG71*$D$158)*($D$160-1)</f>
        <v>#N/A</v>
      </c>
      <c r="AH65" s="634">
        <f>IFERROR(AG65*((AH$35+AH$71)/(AG$35+AG$71)),0)</f>
        <v>0</v>
      </c>
      <c r="AI65" s="634">
        <f ca="1">IFERROR(AG65*((AI$35+AI$71)/(AG$35+AG$71)),0)</f>
        <v>0</v>
      </c>
      <c r="AJ65" s="699" t="e">
        <f ca="1">(AJ62+AJ38-AJ71*$D$158)*($D$160-1)</f>
        <v>#N/A</v>
      </c>
      <c r="AK65" s="634">
        <f ca="1">IFERROR(AJ65*((AK$35+AK$71)/(AJ$35+AJ$71)),0)</f>
        <v>0</v>
      </c>
      <c r="AL65" s="634">
        <f ca="1">IFERROR(AJ65*((AL$35+AL$71)/(AJ$35+AJ$71)),0)</f>
        <v>0</v>
      </c>
      <c r="AM65" s="309" t="e">
        <f ca="1">(AM62+AM38-AM71*$D$158)*($D$160-1)</f>
        <v>#N/A</v>
      </c>
      <c r="AN65" s="634">
        <f ca="1">IFERROR(AM65*((AN$35+AN$71)/(AM$35+AM$71)),0)</f>
        <v>0</v>
      </c>
      <c r="AO65" s="634">
        <f ca="1">IFERROR(AM65*((AO$35+AO$71)/(AM$35+AM$71)),0)</f>
        <v>0</v>
      </c>
      <c r="AP65" s="702" t="e">
        <f ca="1">(AP62+AP38-AP71*$D$158)*($D$160-1)</f>
        <v>#N/A</v>
      </c>
      <c r="AQ65" s="634">
        <f ca="1">IFERROR(AP65*((AQ$35+AQ$71)/(AP$35+AP$71)),0)</f>
        <v>0</v>
      </c>
      <c r="AR65" s="634">
        <f ca="1">IFERROR(AP65*((AR$35+AR$71)/(AP$35+AP$71)),0)</f>
        <v>0</v>
      </c>
      <c r="AS65" s="50"/>
      <c r="AT65" s="50"/>
      <c r="AU65" s="50"/>
      <c r="AV65" s="50"/>
      <c r="AW65" s="50"/>
      <c r="AX65" s="50"/>
      <c r="AY65" s="50"/>
      <c r="AZ65" s="50"/>
      <c r="BA65" s="50"/>
      <c r="BB65" s="50"/>
      <c r="BC65" s="50"/>
      <c r="BD65" s="50"/>
      <c r="BE65" s="50"/>
      <c r="BF65" s="50"/>
      <c r="BG65" s="50"/>
      <c r="BH65" s="50"/>
      <c r="BI65" s="50"/>
      <c r="BJ65" s="50"/>
      <c r="BK65" s="50"/>
      <c r="BL65" s="50"/>
      <c r="BM65" s="50"/>
      <c r="BN65" s="50"/>
      <c r="BO65" s="50"/>
    </row>
    <row r="66" spans="1:67" x14ac:dyDescent="0.25">
      <c r="A66" s="320" t="s">
        <v>868</v>
      </c>
      <c r="B66" s="321" t="s">
        <v>1168</v>
      </c>
      <c r="C66" s="620" t="e">
        <f>0.86*C65/1000</f>
        <v>#N/A</v>
      </c>
      <c r="D66" s="339" t="e">
        <f ca="1">0.86*D65/1000</f>
        <v>#N/A</v>
      </c>
      <c r="E66" s="694" t="e">
        <f ca="1">0.86*E65/1000</f>
        <v>#N/A</v>
      </c>
      <c r="F66" s="50"/>
      <c r="G66" s="341" t="s">
        <v>868</v>
      </c>
      <c r="H66" s="342" t="s">
        <v>1168</v>
      </c>
      <c r="I66" s="685" t="e">
        <f t="shared" ref="I66:O66" ca="1" si="28">0.86*I65/1000</f>
        <v>#N/A</v>
      </c>
      <c r="J66" s="642" t="e">
        <f t="shared" ca="1" si="28"/>
        <v>#N/A</v>
      </c>
      <c r="K66" s="686">
        <f t="shared" ca="1" si="28"/>
        <v>0</v>
      </c>
      <c r="L66" s="703" t="e">
        <f t="shared" ca="1" si="28"/>
        <v>#N/A</v>
      </c>
      <c r="M66" s="645" t="e">
        <f t="shared" ca="1" si="28"/>
        <v>#N/A</v>
      </c>
      <c r="N66" s="643">
        <f t="shared" ca="1" si="28"/>
        <v>0</v>
      </c>
      <c r="O66" s="690" t="e">
        <f t="shared" ca="1" si="28"/>
        <v>#N/A</v>
      </c>
      <c r="P66" s="679" t="e">
        <f ca="1">O66*($P$35/$O$35)</f>
        <v>#N/A</v>
      </c>
      <c r="Q66" s="680" t="e">
        <f ca="1">O66*($Q$35/$O$35)</f>
        <v>#N/A</v>
      </c>
      <c r="R66" s="704" t="e">
        <f t="shared" ref="R66:AR66" ca="1" si="29">0.86*R65/1000</f>
        <v>#N/A</v>
      </c>
      <c r="S66" s="687" t="e">
        <f t="shared" ca="1" si="29"/>
        <v>#N/A</v>
      </c>
      <c r="T66" s="688">
        <f t="shared" ca="1" si="29"/>
        <v>0</v>
      </c>
      <c r="U66" s="647" t="e">
        <f t="shared" si="29"/>
        <v>#N/A</v>
      </c>
      <c r="V66" s="642">
        <f t="shared" si="29"/>
        <v>0</v>
      </c>
      <c r="W66" s="648">
        <f t="shared" ca="1" si="29"/>
        <v>0</v>
      </c>
      <c r="X66" s="705" t="e">
        <f t="shared" si="29"/>
        <v>#N/A</v>
      </c>
      <c r="Y66" s="642">
        <f t="shared" si="29"/>
        <v>0</v>
      </c>
      <c r="Z66" s="648">
        <f t="shared" ca="1" si="29"/>
        <v>0</v>
      </c>
      <c r="AA66" s="332" t="e">
        <f t="shared" si="29"/>
        <v>#N/A</v>
      </c>
      <c r="AB66" s="642">
        <f t="shared" si="29"/>
        <v>0</v>
      </c>
      <c r="AC66" s="648">
        <f t="shared" ca="1" si="29"/>
        <v>0</v>
      </c>
      <c r="AD66" s="332" t="e">
        <f t="shared" si="29"/>
        <v>#N/A</v>
      </c>
      <c r="AE66" s="642">
        <f t="shared" si="29"/>
        <v>0</v>
      </c>
      <c r="AF66" s="648">
        <f t="shared" ca="1" si="29"/>
        <v>0</v>
      </c>
      <c r="AG66" s="332" t="e">
        <f t="shared" si="29"/>
        <v>#N/A</v>
      </c>
      <c r="AH66" s="642">
        <f t="shared" si="29"/>
        <v>0</v>
      </c>
      <c r="AI66" s="648">
        <f t="shared" ca="1" si="29"/>
        <v>0</v>
      </c>
      <c r="AJ66" s="685" t="e">
        <f t="shared" ca="1" si="29"/>
        <v>#N/A</v>
      </c>
      <c r="AK66" s="642">
        <f t="shared" ca="1" si="29"/>
        <v>0</v>
      </c>
      <c r="AL66" s="686">
        <f t="shared" ca="1" si="29"/>
        <v>0</v>
      </c>
      <c r="AM66" s="644" t="e">
        <f t="shared" ca="1" si="29"/>
        <v>#N/A</v>
      </c>
      <c r="AN66" s="642">
        <f t="shared" ca="1" si="29"/>
        <v>0</v>
      </c>
      <c r="AO66" s="648">
        <f t="shared" ca="1" si="29"/>
        <v>0</v>
      </c>
      <c r="AP66" s="650" t="e">
        <f t="shared" ca="1" si="29"/>
        <v>#N/A</v>
      </c>
      <c r="AQ66" s="642">
        <f t="shared" ca="1" si="29"/>
        <v>0</v>
      </c>
      <c r="AR66" s="648">
        <f t="shared" ca="1" si="29"/>
        <v>0</v>
      </c>
      <c r="AS66" s="50"/>
      <c r="AT66" s="50"/>
      <c r="AU66" s="50"/>
      <c r="AV66" s="50"/>
      <c r="AW66" s="50"/>
      <c r="AX66" s="50"/>
      <c r="AY66" s="50"/>
      <c r="AZ66" s="50"/>
      <c r="BA66" s="50"/>
      <c r="BB66" s="50"/>
      <c r="BC66" s="50"/>
      <c r="BD66" s="50"/>
      <c r="BE66" s="50"/>
      <c r="BF66" s="50"/>
      <c r="BG66" s="50"/>
      <c r="BH66" s="50"/>
      <c r="BI66" s="50"/>
      <c r="BJ66" s="50"/>
      <c r="BK66" s="50"/>
      <c r="BL66" s="50"/>
      <c r="BM66" s="50"/>
      <c r="BN66" s="50"/>
      <c r="BO66" s="50"/>
    </row>
    <row r="67" spans="1:67" ht="18" customHeight="1" thickBot="1" x14ac:dyDescent="0.3">
      <c r="A67" s="347" t="s">
        <v>868</v>
      </c>
      <c r="B67" s="348" t="s">
        <v>1165</v>
      </c>
      <c r="C67" s="582"/>
      <c r="D67" s="652"/>
      <c r="E67" s="696" t="e">
        <f ca="1">(E65/$E$35)*100</f>
        <v>#N/A</v>
      </c>
      <c r="F67" s="50"/>
      <c r="G67" s="324" t="s">
        <v>868</v>
      </c>
      <c r="H67" s="350" t="s">
        <v>1165</v>
      </c>
      <c r="I67" s="352"/>
      <c r="J67" s="363"/>
      <c r="K67" s="656"/>
      <c r="L67" s="365"/>
      <c r="M67" s="363"/>
      <c r="N67" s="629"/>
      <c r="O67" s="365"/>
      <c r="P67" s="363"/>
      <c r="Q67" s="631"/>
      <c r="R67" s="352"/>
      <c r="S67" s="363"/>
      <c r="T67" s="629"/>
      <c r="U67" s="354"/>
      <c r="V67" s="660"/>
      <c r="W67" s="661"/>
      <c r="X67" s="365"/>
      <c r="Y67" s="363"/>
      <c r="Z67" s="629"/>
      <c r="AA67" s="365"/>
      <c r="AB67" s="363"/>
      <c r="AC67" s="631"/>
      <c r="AD67" s="352"/>
      <c r="AE67" s="363"/>
      <c r="AF67" s="629"/>
      <c r="AG67" s="365"/>
      <c r="AH67" s="363"/>
      <c r="AI67" s="631"/>
      <c r="AJ67" s="354"/>
      <c r="AK67" s="660"/>
      <c r="AL67" s="661"/>
      <c r="AM67" s="662"/>
      <c r="AN67" s="663"/>
      <c r="AO67" s="664"/>
      <c r="AP67" s="662"/>
      <c r="AQ67" s="663"/>
      <c r="AR67" s="630"/>
      <c r="AS67" s="50"/>
      <c r="AT67" s="50"/>
      <c r="AU67" s="50"/>
      <c r="AV67" s="50"/>
      <c r="AW67" s="50"/>
      <c r="AX67" s="50"/>
      <c r="AY67" s="50"/>
      <c r="AZ67" s="50"/>
      <c r="BA67" s="50"/>
      <c r="BB67" s="50"/>
      <c r="BC67" s="50"/>
      <c r="BD67" s="50"/>
      <c r="BE67" s="50"/>
      <c r="BF67" s="50"/>
      <c r="BG67" s="50"/>
      <c r="BH67" s="50"/>
      <c r="BI67" s="50"/>
      <c r="BJ67" s="50"/>
      <c r="BK67" s="50"/>
      <c r="BL67" s="50"/>
      <c r="BM67" s="50"/>
      <c r="BN67" s="50"/>
      <c r="BO67" s="50"/>
    </row>
    <row r="68" spans="1:67" ht="45.6" customHeight="1" x14ac:dyDescent="0.25">
      <c r="A68" s="633" t="s">
        <v>1184</v>
      </c>
      <c r="B68" s="612" t="s">
        <v>837</v>
      </c>
      <c r="C68" s="310" t="e">
        <f>C71*(1-$D$158)</f>
        <v>#DIV/0!</v>
      </c>
      <c r="D68" s="634" t="e">
        <f ca="1">C68*(($D$35+$D$71)/($C$35+$C$71))</f>
        <v>#DIV/0!</v>
      </c>
      <c r="E68" s="634" t="e">
        <f ca="1">$C68*(($E$35+$E$71)/($C$35+$C$71))</f>
        <v>#DIV/0!</v>
      </c>
      <c r="F68" s="50"/>
      <c r="G68" s="697" t="s">
        <v>1184</v>
      </c>
      <c r="H68" s="698" t="s">
        <v>837</v>
      </c>
      <c r="I68" s="295" t="e">
        <f ca="1">I71*(1-$D$158)</f>
        <v>#DIV/0!</v>
      </c>
      <c r="J68" s="634" t="e">
        <f ca="1">I68*((J$35+J$71)/(I$35+I$71))</f>
        <v>#DIV/0!</v>
      </c>
      <c r="K68" s="634">
        <f ca="1">IFERROR(I68*((K$35+K$71)/(I$35+I$71)),0)</f>
        <v>0</v>
      </c>
      <c r="L68" s="311" t="e">
        <f ca="1">L71*(1-$D$158)</f>
        <v>#DIV/0!</v>
      </c>
      <c r="M68" s="634" t="e">
        <f ca="1">L68*((M$35+M$71)/(L$35+L$71))</f>
        <v>#DIV/0!</v>
      </c>
      <c r="N68" s="634">
        <f ca="1">IFERROR(L68*((N$35+N$71)/(L$35+L$71)),0)</f>
        <v>0</v>
      </c>
      <c r="O68" s="309" t="e">
        <f ca="1">O71*(1-$D$158)</f>
        <v>#DIV/0!</v>
      </c>
      <c r="P68" s="634" t="e">
        <f ca="1">O68*((P$35+P$71)/(O$35+O$71))</f>
        <v>#DIV/0!</v>
      </c>
      <c r="Q68" s="634">
        <f ca="1">IFERROR(O68*((Q$35+Q$71)/(O$35+O$71)),0)</f>
        <v>0</v>
      </c>
      <c r="R68" s="311" t="e">
        <f ca="1">R71*(1-$D$158)</f>
        <v>#DIV/0!</v>
      </c>
      <c r="S68" s="634" t="e">
        <f ca="1">R68*((S$35+S$71)/(R$35+R$71))</f>
        <v>#DIV/0!</v>
      </c>
      <c r="T68" s="634">
        <f ca="1">IFERROR(R68*((T$35+T$71)/(R$35+R$71)),0)</f>
        <v>0</v>
      </c>
      <c r="U68" s="706" t="e">
        <f>U71*(1-$D$158)</f>
        <v>#N/A</v>
      </c>
      <c r="V68" s="634">
        <f>IFERROR(U68*((V$35+V$71)/(U$35+U$71)),0)</f>
        <v>0</v>
      </c>
      <c r="W68" s="634">
        <f ca="1">IFERROR(U68*((W$35+W$71)/(U$35+U$71)),0)</f>
        <v>0</v>
      </c>
      <c r="X68" s="701" t="e">
        <f>X71*(1-$D$158)</f>
        <v>#N/A</v>
      </c>
      <c r="Y68" s="634">
        <f>IFERROR(X68*((Y$35+Y$71)/(X$35+X$71)),0)</f>
        <v>0</v>
      </c>
      <c r="Z68" s="634">
        <f ca="1">IFERROR(X68*((Z$35+Z$71)/(X$35+X$71)),0)</f>
        <v>0</v>
      </c>
      <c r="AA68" s="701" t="e">
        <f>AA71*(1-$D$158)</f>
        <v>#N/A</v>
      </c>
      <c r="AB68" s="634">
        <f>IFERROR(AA68*((AB$35+AB$71)/(AA$35+AA$71)),0)</f>
        <v>0</v>
      </c>
      <c r="AC68" s="634">
        <f ca="1">IFERROR(AA68*((AC$35+AC$71)/(AA$35+AA$71)),0)</f>
        <v>0</v>
      </c>
      <c r="AD68" s="701" t="e">
        <f>AD71*(1-$D$158)</f>
        <v>#N/A</v>
      </c>
      <c r="AE68" s="634">
        <f>IFERROR(AD68*((AE$35+AE$71)/(AD$35+AD$71)),0)</f>
        <v>0</v>
      </c>
      <c r="AF68" s="634">
        <f ca="1">IFERROR(AD68*((AF$35+AF$71)/(AD$35+AD$71)),0)</f>
        <v>0</v>
      </c>
      <c r="AG68" s="707" t="e">
        <f>AG71*(1-$D$158)</f>
        <v>#N/A</v>
      </c>
      <c r="AH68" s="634">
        <f>IFERROR(AG68*((AH$35+AH$71)/(AG$35+AG$71)),0)</f>
        <v>0</v>
      </c>
      <c r="AI68" s="634">
        <f ca="1">IFERROR(AG68*((AI$35+AI$71)/(AG$35+AG$71)),0)</f>
        <v>0</v>
      </c>
      <c r="AJ68" s="295" t="e">
        <f ca="1">AJ71*(1-$D$158)</f>
        <v>#DIV/0!</v>
      </c>
      <c r="AK68" s="634">
        <f ca="1">IFERROR(AJ68*((AK$35+AK$71)/(AJ$35+AJ$71)),0)</f>
        <v>0</v>
      </c>
      <c r="AL68" s="634">
        <f ca="1">IFERROR(AJ68*((AL$35+AL$71)/(AJ$35+AJ$71)),0)</f>
        <v>0</v>
      </c>
      <c r="AM68" s="295" t="e">
        <f ca="1">AM71*(1-$D$158)</f>
        <v>#DIV/0!</v>
      </c>
      <c r="AN68" s="634">
        <f ca="1">IFERROR(AM68*((AN$35+AN$71)/(AM$35+AM$71)),0)</f>
        <v>0</v>
      </c>
      <c r="AO68" s="634">
        <f ca="1">IFERROR(AM68*((AO$35+AO$71)/(AM$35+AM$71)),0)</f>
        <v>0</v>
      </c>
      <c r="AP68" s="708" t="e">
        <f ca="1">AP71*(1-$D$158)</f>
        <v>#DIV/0!</v>
      </c>
      <c r="AQ68" s="634">
        <f ca="1">IFERROR(AP68*((AQ$35+AQ$71)/(AP$35+AP$71)),0)</f>
        <v>0</v>
      </c>
      <c r="AR68" s="634">
        <f ca="1">IFERROR(AP68*((AR$35+AR$71)/(AP$35+AP$71)),0)</f>
        <v>0</v>
      </c>
      <c r="AS68" s="50"/>
      <c r="AT68" s="50"/>
      <c r="AU68" s="50"/>
      <c r="AV68" s="50"/>
      <c r="AW68" s="50"/>
      <c r="AX68" s="50"/>
      <c r="AY68" s="50"/>
      <c r="AZ68" s="50"/>
      <c r="BA68" s="50"/>
      <c r="BB68" s="50"/>
      <c r="BC68" s="50"/>
      <c r="BD68" s="50"/>
      <c r="BE68" s="50"/>
      <c r="BF68" s="50"/>
      <c r="BG68" s="50"/>
      <c r="BH68" s="50"/>
      <c r="BI68" s="50"/>
      <c r="BJ68" s="50"/>
      <c r="BK68" s="50"/>
      <c r="BL68" s="50"/>
      <c r="BM68" s="50"/>
      <c r="BN68" s="50"/>
      <c r="BO68" s="50"/>
    </row>
    <row r="69" spans="1:67" x14ac:dyDescent="0.25">
      <c r="A69" s="320" t="s">
        <v>868</v>
      </c>
      <c r="B69" s="321" t="s">
        <v>1168</v>
      </c>
      <c r="C69" s="323" t="e">
        <f>0.86*C68/1000</f>
        <v>#DIV/0!</v>
      </c>
      <c r="D69" s="329" t="e">
        <f ca="1">0.86*D68/1000</f>
        <v>#DIV/0!</v>
      </c>
      <c r="E69" s="709" t="e">
        <f ca="1">0.86*E68/1000</f>
        <v>#DIV/0!</v>
      </c>
      <c r="F69" s="50"/>
      <c r="G69" s="341" t="s">
        <v>868</v>
      </c>
      <c r="H69" s="342" t="s">
        <v>1168</v>
      </c>
      <c r="I69" s="710" t="e">
        <f t="shared" ref="I69:AR69" ca="1" si="30">0.86*I68/1000</f>
        <v>#DIV/0!</v>
      </c>
      <c r="J69" s="711" t="e">
        <f t="shared" ca="1" si="30"/>
        <v>#DIV/0!</v>
      </c>
      <c r="K69" s="712">
        <f t="shared" ca="1" si="30"/>
        <v>0</v>
      </c>
      <c r="L69" s="703" t="e">
        <f t="shared" ca="1" si="30"/>
        <v>#DIV/0!</v>
      </c>
      <c r="M69" s="711" t="e">
        <f t="shared" ca="1" si="30"/>
        <v>#DIV/0!</v>
      </c>
      <c r="N69" s="712">
        <f t="shared" ca="1" si="30"/>
        <v>0</v>
      </c>
      <c r="O69" s="644" t="e">
        <f t="shared" ca="1" si="30"/>
        <v>#DIV/0!</v>
      </c>
      <c r="P69" s="711" t="e">
        <f t="shared" ca="1" si="30"/>
        <v>#DIV/0!</v>
      </c>
      <c r="Q69" s="712">
        <f t="shared" ca="1" si="30"/>
        <v>0</v>
      </c>
      <c r="R69" s="705" t="e">
        <f t="shared" ca="1" si="30"/>
        <v>#DIV/0!</v>
      </c>
      <c r="S69" s="711" t="e">
        <f t="shared" ca="1" si="30"/>
        <v>#DIV/0!</v>
      </c>
      <c r="T69" s="712">
        <f t="shared" ca="1" si="30"/>
        <v>0</v>
      </c>
      <c r="U69" s="713" t="e">
        <f t="shared" si="30"/>
        <v>#N/A</v>
      </c>
      <c r="V69" s="642">
        <f t="shared" si="30"/>
        <v>0</v>
      </c>
      <c r="W69" s="648">
        <f t="shared" ca="1" si="30"/>
        <v>0</v>
      </c>
      <c r="X69" s="332" t="e">
        <f t="shared" si="30"/>
        <v>#N/A</v>
      </c>
      <c r="Y69" s="642">
        <f t="shared" si="30"/>
        <v>0</v>
      </c>
      <c r="Z69" s="648">
        <f t="shared" ca="1" si="30"/>
        <v>0</v>
      </c>
      <c r="AA69" s="332" t="e">
        <f t="shared" si="30"/>
        <v>#N/A</v>
      </c>
      <c r="AB69" s="642">
        <f t="shared" si="30"/>
        <v>0</v>
      </c>
      <c r="AC69" s="648">
        <f t="shared" ca="1" si="30"/>
        <v>0</v>
      </c>
      <c r="AD69" s="332" t="e">
        <f t="shared" si="30"/>
        <v>#N/A</v>
      </c>
      <c r="AE69" s="642">
        <f t="shared" si="30"/>
        <v>0</v>
      </c>
      <c r="AF69" s="648">
        <f t="shared" ca="1" si="30"/>
        <v>0</v>
      </c>
      <c r="AG69" s="332" t="e">
        <f t="shared" si="30"/>
        <v>#N/A</v>
      </c>
      <c r="AH69" s="642">
        <f t="shared" si="30"/>
        <v>0</v>
      </c>
      <c r="AI69" s="648">
        <f t="shared" ca="1" si="30"/>
        <v>0</v>
      </c>
      <c r="AJ69" s="644" t="e">
        <f t="shared" ca="1" si="30"/>
        <v>#DIV/0!</v>
      </c>
      <c r="AK69" s="711">
        <f t="shared" ca="1" si="30"/>
        <v>0</v>
      </c>
      <c r="AL69" s="686">
        <f t="shared" ca="1" si="30"/>
        <v>0</v>
      </c>
      <c r="AM69" s="685" t="e">
        <f t="shared" ca="1" si="30"/>
        <v>#DIV/0!</v>
      </c>
      <c r="AN69" s="642">
        <f t="shared" ca="1" si="30"/>
        <v>0</v>
      </c>
      <c r="AO69" s="714">
        <f t="shared" ca="1" si="30"/>
        <v>0</v>
      </c>
      <c r="AP69" s="715" t="e">
        <f t="shared" ca="1" si="30"/>
        <v>#DIV/0!</v>
      </c>
      <c r="AQ69" s="642">
        <f t="shared" ca="1" si="30"/>
        <v>0</v>
      </c>
      <c r="AR69" s="714">
        <f t="shared" ca="1" si="30"/>
        <v>0</v>
      </c>
      <c r="AS69" s="50"/>
      <c r="AT69" s="50"/>
      <c r="AU69" s="50"/>
      <c r="AV69" s="50"/>
      <c r="AW69" s="50"/>
      <c r="AX69" s="50"/>
      <c r="AY69" s="50"/>
      <c r="AZ69" s="50"/>
      <c r="BA69" s="50"/>
      <c r="BB69" s="50"/>
      <c r="BC69" s="50"/>
      <c r="BD69" s="50"/>
      <c r="BE69" s="50"/>
      <c r="BF69" s="50"/>
      <c r="BG69" s="50"/>
      <c r="BH69" s="50"/>
      <c r="BI69" s="50"/>
      <c r="BJ69" s="50"/>
      <c r="BK69" s="50"/>
      <c r="BL69" s="50"/>
      <c r="BM69" s="50"/>
      <c r="BN69" s="50"/>
      <c r="BO69" s="50"/>
    </row>
    <row r="70" spans="1:67" ht="15" customHeight="1" thickBot="1" x14ac:dyDescent="0.3">
      <c r="A70" s="347" t="s">
        <v>868</v>
      </c>
      <c r="B70" s="348" t="s">
        <v>1165</v>
      </c>
      <c r="C70" s="716" t="e">
        <f>(C68/$C$35)*100</f>
        <v>#DIV/0!</v>
      </c>
      <c r="D70" s="717" t="e">
        <f ca="1">(D68/$E$35)*100</f>
        <v>#DIV/0!</v>
      </c>
      <c r="E70" s="696" t="e">
        <f ca="1">(E68/$E$35)*100</f>
        <v>#DIV/0!</v>
      </c>
      <c r="F70" s="50"/>
      <c r="G70" s="324" t="s">
        <v>868</v>
      </c>
      <c r="H70" s="350" t="s">
        <v>1165</v>
      </c>
      <c r="I70" s="718" t="e">
        <f t="shared" ref="I70:T70" ca="1" si="31">(I68/I35)*100</f>
        <v>#DIV/0!</v>
      </c>
      <c r="J70" s="719" t="e">
        <f t="shared" ca="1" si="31"/>
        <v>#DIV/0!</v>
      </c>
      <c r="K70" s="720" t="e">
        <f t="shared" ca="1" si="31"/>
        <v>#DIV/0!</v>
      </c>
      <c r="L70" s="718" t="e">
        <f t="shared" ca="1" si="31"/>
        <v>#DIV/0!</v>
      </c>
      <c r="M70" s="719" t="e">
        <f t="shared" ca="1" si="31"/>
        <v>#DIV/0!</v>
      </c>
      <c r="N70" s="720" t="e">
        <f t="shared" ca="1" si="31"/>
        <v>#DIV/0!</v>
      </c>
      <c r="O70" s="718" t="e">
        <f t="shared" ca="1" si="31"/>
        <v>#DIV/0!</v>
      </c>
      <c r="P70" s="719" t="e">
        <f t="shared" ca="1" si="31"/>
        <v>#DIV/0!</v>
      </c>
      <c r="Q70" s="720" t="e">
        <f t="shared" ca="1" si="31"/>
        <v>#DIV/0!</v>
      </c>
      <c r="R70" s="718" t="e">
        <f t="shared" ca="1" si="31"/>
        <v>#DIV/0!</v>
      </c>
      <c r="S70" s="719" t="e">
        <f t="shared" ca="1" si="31"/>
        <v>#DIV/0!</v>
      </c>
      <c r="T70" s="720" t="e">
        <f t="shared" ca="1" si="31"/>
        <v>#DIV/0!</v>
      </c>
      <c r="U70" s="365"/>
      <c r="V70" s="363"/>
      <c r="W70" s="631"/>
      <c r="X70" s="352"/>
      <c r="Y70" s="363"/>
      <c r="Z70" s="629"/>
      <c r="AA70" s="365"/>
      <c r="AB70" s="363"/>
      <c r="AC70" s="631"/>
      <c r="AD70" s="352"/>
      <c r="AE70" s="363"/>
      <c r="AF70" s="629"/>
      <c r="AG70" s="365"/>
      <c r="AH70" s="363"/>
      <c r="AI70" s="631"/>
      <c r="AJ70" s="352"/>
      <c r="AK70" s="363"/>
      <c r="AL70" s="629"/>
      <c r="AM70" s="352"/>
      <c r="AN70" s="363"/>
      <c r="AO70" s="629"/>
      <c r="AP70" s="352"/>
      <c r="AQ70" s="654"/>
      <c r="AR70" s="629"/>
      <c r="AS70" s="50"/>
      <c r="AT70" s="50"/>
      <c r="AU70" s="50"/>
      <c r="AV70" s="50"/>
      <c r="AW70" s="50"/>
      <c r="AX70" s="50"/>
      <c r="AY70" s="50"/>
      <c r="AZ70" s="50"/>
      <c r="BA70" s="50"/>
      <c r="BB70" s="50"/>
      <c r="BC70" s="50"/>
      <c r="BD70" s="50"/>
      <c r="BE70" s="50"/>
      <c r="BF70" s="50"/>
      <c r="BG70" s="50"/>
      <c r="BH70" s="50"/>
      <c r="BI70" s="50"/>
      <c r="BJ70" s="50"/>
      <c r="BK70" s="50"/>
      <c r="BL70" s="50"/>
      <c r="BM70" s="50"/>
      <c r="BN70" s="50"/>
      <c r="BO70" s="50"/>
    </row>
    <row r="71" spans="1:67" ht="26.1" customHeight="1" x14ac:dyDescent="0.25">
      <c r="A71" s="312" t="s">
        <v>1186</v>
      </c>
      <c r="B71" s="313" t="s">
        <v>837</v>
      </c>
      <c r="C71" s="314" t="e">
        <f>D150*D152*D148*0.024*D159</f>
        <v>#DIV/0!</v>
      </c>
      <c r="D71" s="721" t="e">
        <f>C71</f>
        <v>#DIV/0!</v>
      </c>
      <c r="E71" s="722" t="e">
        <f>C71</f>
        <v>#DIV/0!</v>
      </c>
      <c r="F71" s="381"/>
      <c r="G71" s="306" t="s">
        <v>1186</v>
      </c>
      <c r="H71" s="308" t="s">
        <v>837</v>
      </c>
      <c r="I71" s="315" t="e">
        <f ca="1">$D$150*D152*'Ввод исходных данных'!I273*0.024*$D$159</f>
        <v>#DIV/0!</v>
      </c>
      <c r="J71" s="723">
        <f>IF('Ввод исходных данных'!D217&lt;&gt;0,I71,0)</f>
        <v>0</v>
      </c>
      <c r="K71" s="670">
        <f>J71</f>
        <v>0</v>
      </c>
      <c r="L71" s="315" t="e">
        <f ca="1">$D$150*D152*'Ввод исходных данных'!I274*0.024*$D$159</f>
        <v>#DIV/0!</v>
      </c>
      <c r="M71" s="723">
        <f>IF('Ввод исходных данных'!D218&lt;&gt;0,L71,0)</f>
        <v>0</v>
      </c>
      <c r="N71" s="670">
        <f>M71</f>
        <v>0</v>
      </c>
      <c r="O71" s="315" t="e">
        <f ca="1">$D$150*D152*'Ввод исходных данных'!I275*0.024*$D$159</f>
        <v>#DIV/0!</v>
      </c>
      <c r="P71" s="723">
        <f>IF('Ввод исходных данных'!D219&lt;&gt;0,O71,0)</f>
        <v>0</v>
      </c>
      <c r="Q71" s="670">
        <f>P71</f>
        <v>0</v>
      </c>
      <c r="R71" s="315" t="e">
        <f ca="1">$D$150*D152*'Ввод исходных данных'!I276*0.024*$D$159</f>
        <v>#DIV/0!</v>
      </c>
      <c r="S71" s="723">
        <f>IF('Ввод исходных данных'!D220&lt;&gt;0,R71,0)</f>
        <v>0</v>
      </c>
      <c r="T71" s="670">
        <f>S71</f>
        <v>0</v>
      </c>
      <c r="U71" s="315" t="e">
        <f>IF(U38=0,0,$D$150*D152*'Ввод исходных данных'!I277*0.024*$D$159)</f>
        <v>#N/A</v>
      </c>
      <c r="V71" s="723">
        <f>IF('Ввод исходных данных'!D217&lt;&gt;0,U71,0)</f>
        <v>0</v>
      </c>
      <c r="W71" s="670">
        <f>V71</f>
        <v>0</v>
      </c>
      <c r="X71" s="315" t="e">
        <f>IF(X38=0,0,$D$150*D152*'Ввод исходных данных'!I278*0.024*$D$159)</f>
        <v>#N/A</v>
      </c>
      <c r="Y71" s="723">
        <f>IF('Ввод исходных данных'!D221&lt;&gt;0,X71,0)</f>
        <v>0</v>
      </c>
      <c r="Z71" s="670">
        <f>Y71</f>
        <v>0</v>
      </c>
      <c r="AA71" s="315" t="e">
        <f>IF(AA38=0,0,$D$150*D152*'Ввод исходных данных'!I279*0.024*$D$159)</f>
        <v>#N/A</v>
      </c>
      <c r="AB71" s="723">
        <f>IF('Ввод исходных данных'!D222&lt;&gt;0,AA71,0)</f>
        <v>0</v>
      </c>
      <c r="AC71" s="670">
        <f>AB71</f>
        <v>0</v>
      </c>
      <c r="AD71" s="315" t="e">
        <f>IF(AD38=0,0,$D$150*D152*'Ввод исходных данных'!I280*0.024*$D$159)</f>
        <v>#N/A</v>
      </c>
      <c r="AE71" s="723">
        <f>IF('Ввод исходных данных'!D223&lt;&gt;0,AD71,0)</f>
        <v>0</v>
      </c>
      <c r="AF71" s="670">
        <f>AE71</f>
        <v>0</v>
      </c>
      <c r="AG71" s="315" t="e">
        <f>IF(AG38=0,0,$D$150*D152*'Ввод исходных данных'!I281*0.024*$D$159)</f>
        <v>#N/A</v>
      </c>
      <c r="AH71" s="723">
        <f>IF('Ввод исходных данных'!D224&lt;&gt;0,AG71,0)</f>
        <v>0</v>
      </c>
      <c r="AI71" s="670">
        <f>AH71</f>
        <v>0</v>
      </c>
      <c r="AJ71" s="315" t="e">
        <f ca="1">$D$150*D152*'Ввод исходных данных'!I282*0.024*$D$159</f>
        <v>#DIV/0!</v>
      </c>
      <c r="AK71" s="723">
        <f>IF('Ввод исходных данных'!D225&lt;&gt;0,AJ71,0)</f>
        <v>0</v>
      </c>
      <c r="AL71" s="670">
        <f>AK71</f>
        <v>0</v>
      </c>
      <c r="AM71" s="315" t="e">
        <f ca="1">$D$150*D152*'Ввод исходных данных'!I283*0.024*$D$159</f>
        <v>#DIV/0!</v>
      </c>
      <c r="AN71" s="723">
        <f>IF('Ввод исходных данных'!D226&lt;&gt;0,AM71,0)</f>
        <v>0</v>
      </c>
      <c r="AO71" s="670">
        <f>AN71</f>
        <v>0</v>
      </c>
      <c r="AP71" s="315" t="e">
        <f ca="1">$D$150*D152*'Ввод исходных данных'!I284*0.024*$D$159</f>
        <v>#DIV/0!</v>
      </c>
      <c r="AQ71" s="724">
        <f>IF('Ввод исходных данных'!D227&lt;&gt;0,AP71,0)</f>
        <v>0</v>
      </c>
      <c r="AR71" s="670">
        <f>AQ71</f>
        <v>0</v>
      </c>
      <c r="AS71" s="50"/>
      <c r="AT71" s="50"/>
      <c r="AU71" s="50"/>
      <c r="AV71" s="50"/>
      <c r="AW71" s="50"/>
      <c r="AX71" s="50"/>
      <c r="AY71" s="50"/>
      <c r="AZ71" s="50"/>
      <c r="BA71" s="50"/>
      <c r="BB71" s="50"/>
      <c r="BC71" s="50"/>
      <c r="BD71" s="50"/>
      <c r="BE71" s="50"/>
      <c r="BF71" s="50"/>
      <c r="BG71" s="50"/>
      <c r="BH71" s="50"/>
      <c r="BI71" s="50"/>
      <c r="BJ71" s="50"/>
      <c r="BK71" s="50"/>
      <c r="BL71" s="50"/>
      <c r="BM71" s="50"/>
      <c r="BN71" s="50"/>
      <c r="BO71" s="50"/>
    </row>
    <row r="72" spans="1:67" ht="17.100000000000001" customHeight="1" thickBot="1" x14ac:dyDescent="0.3">
      <c r="A72" s="320" t="s">
        <v>868</v>
      </c>
      <c r="B72" s="321" t="s">
        <v>1168</v>
      </c>
      <c r="C72" s="323" t="e">
        <f>0.86*C71/1000</f>
        <v>#DIV/0!</v>
      </c>
      <c r="D72" s="323" t="e">
        <f>0.86*D71/1000</f>
        <v>#DIV/0!</v>
      </c>
      <c r="E72" s="323" t="e">
        <f>0.86*E71/1000</f>
        <v>#DIV/0!</v>
      </c>
      <c r="F72" s="50"/>
      <c r="G72" s="324" t="s">
        <v>868</v>
      </c>
      <c r="H72" s="325" t="s">
        <v>1168</v>
      </c>
      <c r="I72" s="327" t="e">
        <f t="shared" ref="I72:AR72" ca="1" si="32">0.86*I71/1000</f>
        <v>#DIV/0!</v>
      </c>
      <c r="J72" s="326">
        <f t="shared" si="32"/>
        <v>0</v>
      </c>
      <c r="K72" s="725">
        <f t="shared" si="32"/>
        <v>0</v>
      </c>
      <c r="L72" s="327" t="e">
        <f t="shared" ca="1" si="32"/>
        <v>#DIV/0!</v>
      </c>
      <c r="M72" s="326">
        <f t="shared" si="32"/>
        <v>0</v>
      </c>
      <c r="N72" s="725">
        <f t="shared" si="32"/>
        <v>0</v>
      </c>
      <c r="O72" s="328" t="e">
        <f t="shared" ca="1" si="32"/>
        <v>#DIV/0!</v>
      </c>
      <c r="P72" s="326">
        <f t="shared" si="32"/>
        <v>0</v>
      </c>
      <c r="Q72" s="725">
        <f t="shared" si="32"/>
        <v>0</v>
      </c>
      <c r="R72" s="329" t="e">
        <f t="shared" ca="1" si="32"/>
        <v>#DIV/0!</v>
      </c>
      <c r="S72" s="726">
        <f t="shared" si="32"/>
        <v>0</v>
      </c>
      <c r="T72" s="727">
        <f t="shared" si="32"/>
        <v>0</v>
      </c>
      <c r="U72" s="330" t="e">
        <f t="shared" si="32"/>
        <v>#N/A</v>
      </c>
      <c r="V72" s="642">
        <f t="shared" si="32"/>
        <v>0</v>
      </c>
      <c r="W72" s="648">
        <f t="shared" si="32"/>
        <v>0</v>
      </c>
      <c r="X72" s="331" t="e">
        <f t="shared" si="32"/>
        <v>#N/A</v>
      </c>
      <c r="Y72" s="642">
        <f t="shared" si="32"/>
        <v>0</v>
      </c>
      <c r="Z72" s="648">
        <f t="shared" si="32"/>
        <v>0</v>
      </c>
      <c r="AA72" s="329" t="e">
        <f t="shared" si="32"/>
        <v>#N/A</v>
      </c>
      <c r="AB72" s="642">
        <f t="shared" si="32"/>
        <v>0</v>
      </c>
      <c r="AC72" s="648">
        <f t="shared" si="32"/>
        <v>0</v>
      </c>
      <c r="AD72" s="331" t="e">
        <f t="shared" si="32"/>
        <v>#N/A</v>
      </c>
      <c r="AE72" s="728">
        <f t="shared" si="32"/>
        <v>0</v>
      </c>
      <c r="AF72" s="729">
        <f t="shared" si="32"/>
        <v>0</v>
      </c>
      <c r="AG72" s="331" t="e">
        <f t="shared" si="32"/>
        <v>#N/A</v>
      </c>
      <c r="AH72" s="728">
        <f t="shared" si="32"/>
        <v>0</v>
      </c>
      <c r="AI72" s="729">
        <f t="shared" si="32"/>
        <v>0</v>
      </c>
      <c r="AJ72" s="328" t="e">
        <f t="shared" ca="1" si="32"/>
        <v>#DIV/0!</v>
      </c>
      <c r="AK72" s="326">
        <f t="shared" si="32"/>
        <v>0</v>
      </c>
      <c r="AL72" s="725">
        <f t="shared" si="32"/>
        <v>0</v>
      </c>
      <c r="AM72" s="328" t="e">
        <f t="shared" ca="1" si="32"/>
        <v>#DIV/0!</v>
      </c>
      <c r="AN72" s="326">
        <f t="shared" si="32"/>
        <v>0</v>
      </c>
      <c r="AO72" s="725">
        <f t="shared" si="32"/>
        <v>0</v>
      </c>
      <c r="AP72" s="333" t="e">
        <f t="shared" ca="1" si="32"/>
        <v>#DIV/0!</v>
      </c>
      <c r="AQ72" s="402">
        <f t="shared" si="32"/>
        <v>0</v>
      </c>
      <c r="AR72" s="730">
        <f t="shared" si="32"/>
        <v>0</v>
      </c>
      <c r="AS72" s="50"/>
      <c r="AT72" s="50"/>
      <c r="AU72" s="50"/>
      <c r="AV72" s="50"/>
      <c r="AW72" s="50"/>
      <c r="AX72" s="50"/>
      <c r="AY72" s="50"/>
      <c r="AZ72" s="50"/>
      <c r="BA72" s="50"/>
      <c r="BB72" s="50"/>
      <c r="BC72" s="50"/>
      <c r="BD72" s="50"/>
      <c r="BE72" s="50"/>
      <c r="BF72" s="50"/>
      <c r="BG72" s="50"/>
      <c r="BH72" s="50"/>
      <c r="BI72" s="50"/>
      <c r="BJ72" s="50"/>
      <c r="BK72" s="50"/>
      <c r="BL72" s="50"/>
      <c r="BM72" s="50"/>
      <c r="BN72" s="50"/>
      <c r="BO72" s="50"/>
    </row>
    <row r="73" spans="1:67" ht="45" customHeight="1" x14ac:dyDescent="0.25">
      <c r="A73" s="297" t="s">
        <v>1191</v>
      </c>
      <c r="B73" s="290" t="s">
        <v>837</v>
      </c>
      <c r="C73" s="731"/>
      <c r="D73" s="732" t="e">
        <f ca="1">D35-$C$35</f>
        <v>#N/A</v>
      </c>
      <c r="E73" s="733" t="e">
        <f ca="1">E35-$C$35</f>
        <v>#N/A</v>
      </c>
      <c r="F73" s="50"/>
      <c r="G73" s="306" t="s">
        <v>1191</v>
      </c>
      <c r="H73" s="294" t="s">
        <v>837</v>
      </c>
      <c r="I73" s="335"/>
      <c r="J73" s="572" t="e">
        <f ca="1">J35-I35</f>
        <v>#N/A</v>
      </c>
      <c r="K73" s="570" t="e">
        <f ca="1">K35-I35</f>
        <v>#N/A</v>
      </c>
      <c r="L73" s="335"/>
      <c r="M73" s="572" t="e">
        <f ca="1">M35-L35</f>
        <v>#N/A</v>
      </c>
      <c r="N73" s="570" t="e">
        <f ca="1">N35-L35</f>
        <v>#N/A</v>
      </c>
      <c r="O73" s="335"/>
      <c r="P73" s="734" t="e">
        <f ca="1">P35-O35</f>
        <v>#N/A</v>
      </c>
      <c r="Q73" s="574" t="e">
        <f ca="1">Q35-O35</f>
        <v>#N/A</v>
      </c>
      <c r="R73" s="335"/>
      <c r="S73" s="734" t="e">
        <f ca="1">S35-R35</f>
        <v>#N/A</v>
      </c>
      <c r="T73" s="574" t="e">
        <f ca="1">T35-R35</f>
        <v>#N/A</v>
      </c>
      <c r="U73" s="336"/>
      <c r="V73" s="735" t="e">
        <f>V35-U35</f>
        <v>#N/A</v>
      </c>
      <c r="W73" s="736" t="e">
        <f ca="1">W35-U35</f>
        <v>#N/A</v>
      </c>
      <c r="X73" s="335"/>
      <c r="Y73" s="734" t="e">
        <f>Y35-X35</f>
        <v>#N/A</v>
      </c>
      <c r="Z73" s="574" t="e">
        <f ca="1">Z35-X35</f>
        <v>#N/A</v>
      </c>
      <c r="AA73" s="335"/>
      <c r="AB73" s="734" t="e">
        <f>AB35-AA35</f>
        <v>#N/A</v>
      </c>
      <c r="AC73" s="574" t="e">
        <f ca="1">AC35-AA35</f>
        <v>#N/A</v>
      </c>
      <c r="AD73" s="358"/>
      <c r="AE73" s="737" t="e">
        <f>AE35-AD35</f>
        <v>#N/A</v>
      </c>
      <c r="AF73" s="738" t="e">
        <f ca="1">AF35-AD35</f>
        <v>#N/A</v>
      </c>
      <c r="AG73" s="357"/>
      <c r="AH73" s="737" t="e">
        <f>AH35-AG35</f>
        <v>#N/A</v>
      </c>
      <c r="AI73" s="738" t="e">
        <f ca="1">AI35-AG35</f>
        <v>#N/A</v>
      </c>
      <c r="AJ73" s="335"/>
      <c r="AK73" s="734" t="e">
        <f ca="1">AK35-AJ35</f>
        <v>#N/A</v>
      </c>
      <c r="AL73" s="574" t="e">
        <f ca="1">AL35-AJ35</f>
        <v>#N/A</v>
      </c>
      <c r="AM73" s="335"/>
      <c r="AN73" s="734" t="e">
        <f ca="1">AN35-AM35</f>
        <v>#N/A</v>
      </c>
      <c r="AO73" s="574" t="e">
        <f ca="1">AO35-AM35</f>
        <v>#N/A</v>
      </c>
      <c r="AP73" s="335"/>
      <c r="AQ73" s="572" t="e">
        <f ca="1">AQ35-AP35</f>
        <v>#N/A</v>
      </c>
      <c r="AR73" s="574" t="e">
        <f ca="1">AR35-AP35</f>
        <v>#N/A</v>
      </c>
      <c r="AS73" s="50"/>
      <c r="AT73" s="50"/>
      <c r="AU73" s="50"/>
      <c r="AV73" s="50"/>
      <c r="AW73" s="50"/>
      <c r="AX73" s="50"/>
      <c r="AY73" s="50"/>
      <c r="AZ73" s="50"/>
      <c r="BA73" s="50"/>
      <c r="BB73" s="50"/>
      <c r="BC73" s="50"/>
      <c r="BD73" s="50"/>
      <c r="BE73" s="50"/>
      <c r="BF73" s="50"/>
      <c r="BG73" s="50"/>
      <c r="BH73" s="50"/>
      <c r="BI73" s="50"/>
      <c r="BJ73" s="50"/>
      <c r="BK73" s="50"/>
      <c r="BL73" s="50"/>
      <c r="BM73" s="50"/>
      <c r="BN73" s="50"/>
      <c r="BO73" s="50"/>
    </row>
    <row r="74" spans="1:67" x14ac:dyDescent="0.25">
      <c r="A74" s="320" t="s">
        <v>868</v>
      </c>
      <c r="B74" s="321" t="s">
        <v>1168</v>
      </c>
      <c r="C74" s="340"/>
      <c r="D74" s="339" t="e">
        <f ca="1">0.86*D73/1000</f>
        <v>#N/A</v>
      </c>
      <c r="E74" s="621" t="e">
        <f ca="1">0.86*E73/1000</f>
        <v>#N/A</v>
      </c>
      <c r="F74" s="50"/>
      <c r="G74" s="341" t="s">
        <v>868</v>
      </c>
      <c r="H74" s="342" t="s">
        <v>1168</v>
      </c>
      <c r="I74" s="344"/>
      <c r="J74" s="343" t="e">
        <f ca="1">J36-I36</f>
        <v>#N/A</v>
      </c>
      <c r="K74" s="739" t="e">
        <f ca="1">K36-I36</f>
        <v>#N/A</v>
      </c>
      <c r="L74" s="344"/>
      <c r="M74" s="740" t="e">
        <f ca="1">M36-L36</f>
        <v>#N/A</v>
      </c>
      <c r="N74" s="739" t="e">
        <f ca="1">N36-L36</f>
        <v>#N/A</v>
      </c>
      <c r="O74" s="344"/>
      <c r="P74" s="741" t="e">
        <f ca="1">P36-O36</f>
        <v>#N/A</v>
      </c>
      <c r="Q74" s="742" t="e">
        <f ca="1">Q36-O36</f>
        <v>#N/A</v>
      </c>
      <c r="R74" s="344"/>
      <c r="S74" s="741" t="e">
        <f ca="1">S36-R36</f>
        <v>#N/A</v>
      </c>
      <c r="T74" s="742" t="e">
        <f ca="1">T36-R36</f>
        <v>#N/A</v>
      </c>
      <c r="U74" s="345"/>
      <c r="V74" s="743">
        <f>V36-U36</f>
        <v>0</v>
      </c>
      <c r="W74" s="744">
        <f ca="1">W36-U36</f>
        <v>0</v>
      </c>
      <c r="X74" s="344"/>
      <c r="Y74" s="741">
        <f>Y36-X36</f>
        <v>0</v>
      </c>
      <c r="Z74" s="742">
        <f ca="1">Z36-X36</f>
        <v>0</v>
      </c>
      <c r="AA74" s="344"/>
      <c r="AB74" s="741">
        <f>AB36-AA36</f>
        <v>0</v>
      </c>
      <c r="AC74" s="742">
        <f ca="1">AC36-AA36</f>
        <v>0</v>
      </c>
      <c r="AD74" s="344"/>
      <c r="AE74" s="741">
        <f>AE36-AD36</f>
        <v>0</v>
      </c>
      <c r="AF74" s="742">
        <f ca="1">AF36-AD36</f>
        <v>0</v>
      </c>
      <c r="AG74" s="346"/>
      <c r="AH74" s="741">
        <f>AH36-AG36</f>
        <v>0</v>
      </c>
      <c r="AI74" s="742">
        <f ca="1">AI36-AG36</f>
        <v>0</v>
      </c>
      <c r="AJ74" s="344"/>
      <c r="AK74" s="741" t="e">
        <f ca="1">AK36-AJ36</f>
        <v>#N/A</v>
      </c>
      <c r="AL74" s="742" t="e">
        <f ca="1">AL36-AJ36</f>
        <v>#N/A</v>
      </c>
      <c r="AM74" s="344"/>
      <c r="AN74" s="741" t="e">
        <f ca="1">AN36-AM36</f>
        <v>#N/A</v>
      </c>
      <c r="AO74" s="742" t="e">
        <f ca="1">AO36-AM36</f>
        <v>#N/A</v>
      </c>
      <c r="AP74" s="344"/>
      <c r="AQ74" s="343" t="e">
        <f ca="1">AQ36-AP36</f>
        <v>#N/A</v>
      </c>
      <c r="AR74" s="742" t="e">
        <f ca="1">AR36-AP36</f>
        <v>#N/A</v>
      </c>
      <c r="AS74" s="50"/>
      <c r="AT74" s="50"/>
      <c r="AU74" s="50"/>
      <c r="AV74" s="50"/>
      <c r="AW74" s="50"/>
      <c r="AX74" s="50"/>
      <c r="AY74" s="50"/>
      <c r="AZ74" s="50"/>
      <c r="BA74" s="50"/>
      <c r="BB74" s="50"/>
      <c r="BC74" s="50"/>
      <c r="BD74" s="50"/>
      <c r="BE74" s="50"/>
      <c r="BF74" s="50"/>
      <c r="BG74" s="50"/>
      <c r="BH74" s="50"/>
      <c r="BI74" s="50"/>
      <c r="BJ74" s="50"/>
      <c r="BK74" s="50"/>
      <c r="BL74" s="50"/>
      <c r="BM74" s="50"/>
      <c r="BN74" s="50"/>
      <c r="BO74" s="50"/>
    </row>
    <row r="75" spans="1:67" ht="24.95" customHeight="1" thickBot="1" x14ac:dyDescent="0.3">
      <c r="A75" s="347" t="s">
        <v>868</v>
      </c>
      <c r="B75" s="348" t="s">
        <v>1165</v>
      </c>
      <c r="C75" s="340"/>
      <c r="D75" s="349" t="e">
        <f ca="1">(D73/$C$35)*100</f>
        <v>#N/A</v>
      </c>
      <c r="E75" s="745" t="e">
        <f ca="1">(E73/$C$35)*100</f>
        <v>#N/A</v>
      </c>
      <c r="F75" s="50"/>
      <c r="G75" s="324" t="s">
        <v>868</v>
      </c>
      <c r="H75" s="350" t="s">
        <v>1165</v>
      </c>
      <c r="I75" s="352"/>
      <c r="J75" s="351" t="e">
        <f ca="1">(J73/I35)*100</f>
        <v>#N/A</v>
      </c>
      <c r="K75" s="746" t="e">
        <f ca="1">(K73/I35)*100</f>
        <v>#N/A</v>
      </c>
      <c r="L75" s="352"/>
      <c r="M75" s="747" t="e">
        <f ca="1">(M73/L35)*100</f>
        <v>#N/A</v>
      </c>
      <c r="N75" s="746" t="e">
        <f ca="1">(N73/L35)*100</f>
        <v>#N/A</v>
      </c>
      <c r="O75" s="353"/>
      <c r="P75" s="748">
        <f ca="1">IFERROR((P73/O35)*100,0)</f>
        <v>0</v>
      </c>
      <c r="Q75" s="749">
        <f ca="1">IFERROR((Q73/O35)*100,0)</f>
        <v>0</v>
      </c>
      <c r="R75" s="352"/>
      <c r="S75" s="748">
        <f ca="1">IFERROR((S73/R35)*100,0)</f>
        <v>0</v>
      </c>
      <c r="T75" s="749">
        <f ca="1">IFERROR((T73/R35)*100,0)</f>
        <v>0</v>
      </c>
      <c r="U75" s="354"/>
      <c r="V75" s="748">
        <f>IFERROR((V73/U35)*100,0)</f>
        <v>0</v>
      </c>
      <c r="W75" s="749">
        <f ca="1">IFERROR((W73/U35)*100,0)</f>
        <v>0</v>
      </c>
      <c r="X75" s="352"/>
      <c r="Y75" s="748">
        <f>IFERROR((Y73/X35)*100,0)</f>
        <v>0</v>
      </c>
      <c r="Z75" s="749">
        <f ca="1">IFERROR((Z73/X35)*100,0)</f>
        <v>0</v>
      </c>
      <c r="AA75" s="352"/>
      <c r="AB75" s="748">
        <f>IFERROR((AB73/AA35)*100,0)</f>
        <v>0</v>
      </c>
      <c r="AC75" s="749">
        <f ca="1">IFERROR((AC73/AA35)*100,0)</f>
        <v>0</v>
      </c>
      <c r="AD75" s="344"/>
      <c r="AE75" s="748">
        <f>IFERROR((AE73/AD35)*100,0)</f>
        <v>0</v>
      </c>
      <c r="AF75" s="749">
        <f ca="1">IFERROR((AF73/AD35)*100,0)</f>
        <v>0</v>
      </c>
      <c r="AG75" s="346"/>
      <c r="AH75" s="748">
        <f>IFERROR((AH73/AG35)*100,0)</f>
        <v>0</v>
      </c>
      <c r="AI75" s="749">
        <f ca="1">IFERROR((AI73/AG35)*100,0)</f>
        <v>0</v>
      </c>
      <c r="AJ75" s="352"/>
      <c r="AK75" s="748">
        <f ca="1">IFERROR((AK73/AJ35)*100,0)</f>
        <v>0</v>
      </c>
      <c r="AL75" s="749">
        <f ca="1">IFERROR((AL73/AJ35)*100,0)</f>
        <v>0</v>
      </c>
      <c r="AM75" s="352"/>
      <c r="AN75" s="748">
        <f ca="1">IFERROR((AN73/AM35)*100,0)</f>
        <v>0</v>
      </c>
      <c r="AO75" s="749">
        <f ca="1">IFERROR((AO73/AM35)*100,0)</f>
        <v>0</v>
      </c>
      <c r="AP75" s="352"/>
      <c r="AQ75" s="351" t="e">
        <f ca="1">(AQ73/AP35)*100</f>
        <v>#N/A</v>
      </c>
      <c r="AR75" s="750" t="e">
        <f ca="1">(AR73/AP35)*100</f>
        <v>#N/A</v>
      </c>
      <c r="AS75" s="50"/>
      <c r="AT75" s="50"/>
      <c r="AU75" s="50"/>
      <c r="AV75" s="50"/>
      <c r="AW75" s="50"/>
      <c r="AX75" s="50"/>
      <c r="AY75" s="50"/>
      <c r="AZ75" s="50"/>
      <c r="BA75" s="50"/>
      <c r="BB75" s="50"/>
      <c r="BC75" s="50"/>
      <c r="BD75" s="50"/>
      <c r="BE75" s="50"/>
      <c r="BF75" s="50"/>
      <c r="BG75" s="50"/>
      <c r="BH75" s="50"/>
      <c r="BI75" s="50"/>
      <c r="BJ75" s="50"/>
      <c r="BK75" s="50"/>
      <c r="BL75" s="50"/>
      <c r="BM75" s="50"/>
      <c r="BN75" s="50"/>
      <c r="BO75" s="50"/>
    </row>
    <row r="76" spans="1:67" ht="24.75" customHeight="1" x14ac:dyDescent="0.25">
      <c r="A76" s="751" t="s">
        <v>1192</v>
      </c>
      <c r="B76" s="752" t="s">
        <v>1308</v>
      </c>
      <c r="C76" s="753" t="e">
        <f>C35/('Ввод исходных данных'!$G$56+'Ввод исходных данных'!D23)</f>
        <v>#N/A</v>
      </c>
      <c r="D76" s="634" t="e">
        <f ca="1">D35/('Ввод исходных данных'!$G$56+'Ввод исходных данных'!$D$23)</f>
        <v>#DIV/0!</v>
      </c>
      <c r="E76" s="754" t="e">
        <f ca="1">E35/('Ввод исходных данных'!$G$56+'Ввод исходных данных'!$D$23)</f>
        <v>#DIV/0!</v>
      </c>
      <c r="F76" s="50"/>
      <c r="G76" s="697"/>
      <c r="H76" s="698"/>
      <c r="I76" s="356"/>
      <c r="J76" s="755"/>
      <c r="K76" s="756"/>
      <c r="L76" s="357"/>
      <c r="M76" s="755"/>
      <c r="N76" s="757"/>
      <c r="O76" s="335"/>
      <c r="P76" s="758"/>
      <c r="Q76" s="759"/>
      <c r="R76" s="357"/>
      <c r="S76" s="755"/>
      <c r="T76" s="756"/>
      <c r="U76" s="335"/>
      <c r="V76" s="758"/>
      <c r="W76" s="759"/>
      <c r="X76" s="358"/>
      <c r="Y76" s="755"/>
      <c r="Z76" s="756"/>
      <c r="AA76" s="335"/>
      <c r="AB76" s="758"/>
      <c r="AC76" s="759"/>
      <c r="AD76" s="337"/>
      <c r="AE76" s="760"/>
      <c r="AF76" s="761"/>
      <c r="AG76" s="338"/>
      <c r="AH76" s="760"/>
      <c r="AI76" s="762"/>
      <c r="AJ76" s="358"/>
      <c r="AK76" s="755"/>
      <c r="AL76" s="756"/>
      <c r="AM76" s="335"/>
      <c r="AN76" s="758"/>
      <c r="AO76" s="759"/>
      <c r="AP76" s="358"/>
      <c r="AQ76" s="755"/>
      <c r="AR76" s="756"/>
      <c r="AS76" s="50"/>
      <c r="AT76" s="50"/>
      <c r="AU76" s="50"/>
      <c r="AV76" s="50"/>
      <c r="AW76" s="50"/>
      <c r="AX76" s="50"/>
      <c r="AY76" s="50"/>
      <c r="AZ76" s="50"/>
      <c r="BA76" s="50"/>
      <c r="BB76" s="50"/>
      <c r="BC76" s="50"/>
      <c r="BD76" s="50"/>
      <c r="BE76" s="50"/>
      <c r="BF76" s="50"/>
      <c r="BG76" s="50"/>
      <c r="BH76" s="50"/>
      <c r="BI76" s="50"/>
      <c r="BJ76" s="50"/>
      <c r="BK76" s="50"/>
      <c r="BL76" s="50"/>
      <c r="BM76" s="50"/>
      <c r="BN76" s="50"/>
      <c r="BO76" s="50"/>
    </row>
    <row r="77" spans="1:67" ht="15.75" thickBot="1" x14ac:dyDescent="0.3">
      <c r="A77" s="347" t="s">
        <v>868</v>
      </c>
      <c r="B77" s="359" t="s">
        <v>1193</v>
      </c>
      <c r="C77" s="361" t="e">
        <f>C76*0.86/1000</f>
        <v>#N/A</v>
      </c>
      <c r="D77" s="360" t="e">
        <f ca="1">D76*0.86/1000</f>
        <v>#DIV/0!</v>
      </c>
      <c r="E77" s="763" t="e">
        <f ca="1">E76*0.86/1000</f>
        <v>#DIV/0!</v>
      </c>
      <c r="F77" s="50"/>
      <c r="G77" s="324"/>
      <c r="H77" s="362"/>
      <c r="I77" s="364"/>
      <c r="J77" s="363"/>
      <c r="K77" s="629"/>
      <c r="L77" s="365"/>
      <c r="M77" s="363"/>
      <c r="N77" s="631"/>
      <c r="O77" s="366"/>
      <c r="P77" s="654"/>
      <c r="Q77" s="681"/>
      <c r="R77" s="365"/>
      <c r="S77" s="363"/>
      <c r="T77" s="629"/>
      <c r="U77" s="352"/>
      <c r="V77" s="363"/>
      <c r="W77" s="629"/>
      <c r="X77" s="352"/>
      <c r="Y77" s="363"/>
      <c r="Z77" s="629"/>
      <c r="AA77" s="352"/>
      <c r="AB77" s="363"/>
      <c r="AC77" s="629"/>
      <c r="AD77" s="352"/>
      <c r="AE77" s="363"/>
      <c r="AF77" s="629"/>
      <c r="AG77" s="346"/>
      <c r="AH77" s="74"/>
      <c r="AI77" s="764"/>
      <c r="AJ77" s="352"/>
      <c r="AK77" s="363"/>
      <c r="AL77" s="629"/>
      <c r="AM77" s="352"/>
      <c r="AN77" s="363"/>
      <c r="AO77" s="629"/>
      <c r="AP77" s="352"/>
      <c r="AQ77" s="363"/>
      <c r="AR77" s="629"/>
      <c r="AS77" s="50"/>
      <c r="AT77" s="50"/>
      <c r="AU77" s="50"/>
      <c r="AV77" s="50"/>
      <c r="AW77" s="50"/>
      <c r="AX77" s="50"/>
      <c r="AY77" s="50"/>
      <c r="AZ77" s="50"/>
      <c r="BA77" s="50"/>
      <c r="BB77" s="50"/>
      <c r="BC77" s="50"/>
      <c r="BD77" s="50"/>
      <c r="BE77" s="50"/>
      <c r="BF77" s="50"/>
      <c r="BG77" s="50"/>
      <c r="BH77" s="50"/>
      <c r="BI77" s="50"/>
      <c r="BJ77" s="50"/>
      <c r="BK77" s="50"/>
      <c r="BL77" s="50"/>
      <c r="BM77" s="50"/>
      <c r="BN77" s="50"/>
      <c r="BO77" s="50"/>
    </row>
    <row r="78" spans="1:67"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row>
    <row r="79" spans="1:67" ht="84.95" customHeight="1" x14ac:dyDescent="0.25">
      <c r="A79" s="367" t="s">
        <v>1180</v>
      </c>
      <c r="B79" s="368" t="s">
        <v>1182</v>
      </c>
      <c r="C79" s="368" t="s">
        <v>1266</v>
      </c>
      <c r="D79" s="368" t="s">
        <v>1184</v>
      </c>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row>
    <row r="80" spans="1:67" x14ac:dyDescent="0.25">
      <c r="A80" s="369" t="e">
        <f>C38</f>
        <v>#N/A</v>
      </c>
      <c r="B80" s="370" t="e">
        <f>C62</f>
        <v>#N/A</v>
      </c>
      <c r="C80" s="370" t="e">
        <f>C65</f>
        <v>#N/A</v>
      </c>
      <c r="D80" s="371" t="e">
        <f>C68</f>
        <v>#DIV/0!</v>
      </c>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row>
    <row r="81" spans="1:67" ht="283.5" customHeight="1"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row>
    <row r="82" spans="1:67" ht="33.6" customHeight="1" thickBot="1" x14ac:dyDescent="0.3">
      <c r="A82" s="2457" t="s">
        <v>1194</v>
      </c>
      <c r="B82" s="2457"/>
      <c r="C82" s="2457"/>
      <c r="D82" s="2457"/>
      <c r="E82" s="372"/>
      <c r="F82" s="372"/>
      <c r="G82" s="373" t="s">
        <v>1195</v>
      </c>
      <c r="H82" s="374"/>
      <c r="I82" s="374"/>
      <c r="J82" s="374"/>
      <c r="K82" s="374"/>
      <c r="L82" s="374"/>
      <c r="M82" s="374"/>
      <c r="N82" s="374"/>
      <c r="O82" s="374"/>
      <c r="P82" s="374"/>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row>
    <row r="83" spans="1:67" ht="38.450000000000003" customHeight="1" x14ac:dyDescent="0.25">
      <c r="A83" s="2462" t="s">
        <v>829</v>
      </c>
      <c r="B83" s="2460" t="s">
        <v>1158</v>
      </c>
      <c r="C83" s="2453" t="s">
        <v>1159</v>
      </c>
      <c r="D83" s="2455" t="s">
        <v>1160</v>
      </c>
      <c r="E83" s="50"/>
      <c r="F83" s="50"/>
      <c r="G83" s="2458" t="s">
        <v>829</v>
      </c>
      <c r="H83" s="2460" t="s">
        <v>1158</v>
      </c>
      <c r="I83" s="2451" t="s">
        <v>488</v>
      </c>
      <c r="J83" s="2452"/>
      <c r="K83" s="2451" t="s">
        <v>489</v>
      </c>
      <c r="L83" s="2452"/>
      <c r="M83" s="2451" t="s">
        <v>490</v>
      </c>
      <c r="N83" s="2452"/>
      <c r="O83" s="2451" t="s">
        <v>491</v>
      </c>
      <c r="P83" s="2452"/>
      <c r="Q83" s="2451" t="s">
        <v>800</v>
      </c>
      <c r="R83" s="2452"/>
      <c r="S83" s="2451" t="s">
        <v>801</v>
      </c>
      <c r="T83" s="2452"/>
      <c r="U83" s="2451" t="s">
        <v>802</v>
      </c>
      <c r="V83" s="2452"/>
      <c r="W83" s="2451" t="s">
        <v>803</v>
      </c>
      <c r="X83" s="2452"/>
      <c r="Y83" s="2451" t="s">
        <v>804</v>
      </c>
      <c r="Z83" s="2452"/>
      <c r="AA83" s="2451" t="s">
        <v>482</v>
      </c>
      <c r="AB83" s="2452"/>
      <c r="AC83" s="2451" t="s">
        <v>486</v>
      </c>
      <c r="AD83" s="2452"/>
      <c r="AE83" s="2451" t="s">
        <v>487</v>
      </c>
      <c r="AF83" s="2452"/>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row>
    <row r="84" spans="1:67" ht="35.450000000000003" customHeight="1" thickBot="1" x14ac:dyDescent="0.3">
      <c r="A84" s="2463"/>
      <c r="B84" s="2461"/>
      <c r="C84" s="2454"/>
      <c r="D84" s="2456"/>
      <c r="E84" s="50"/>
      <c r="F84" s="50"/>
      <c r="G84" s="2459"/>
      <c r="H84" s="2461"/>
      <c r="I84" s="480" t="s">
        <v>1159</v>
      </c>
      <c r="J84" s="765" t="s">
        <v>1160</v>
      </c>
      <c r="K84" s="480" t="s">
        <v>1159</v>
      </c>
      <c r="L84" s="765" t="s">
        <v>1160</v>
      </c>
      <c r="M84" s="480" t="s">
        <v>1159</v>
      </c>
      <c r="N84" s="765" t="s">
        <v>1160</v>
      </c>
      <c r="O84" s="480" t="s">
        <v>1159</v>
      </c>
      <c r="P84" s="765" t="s">
        <v>1160</v>
      </c>
      <c r="Q84" s="480" t="s">
        <v>1159</v>
      </c>
      <c r="R84" s="765" t="s">
        <v>1160</v>
      </c>
      <c r="S84" s="480" t="s">
        <v>1159</v>
      </c>
      <c r="T84" s="765" t="s">
        <v>1160</v>
      </c>
      <c r="U84" s="480" t="s">
        <v>1159</v>
      </c>
      <c r="V84" s="765" t="s">
        <v>1160</v>
      </c>
      <c r="W84" s="480" t="s">
        <v>1159</v>
      </c>
      <c r="X84" s="765" t="s">
        <v>1160</v>
      </c>
      <c r="Y84" s="480" t="s">
        <v>1159</v>
      </c>
      <c r="Z84" s="765" t="s">
        <v>1160</v>
      </c>
      <c r="AA84" s="480" t="s">
        <v>1159</v>
      </c>
      <c r="AB84" s="765" t="s">
        <v>1160</v>
      </c>
      <c r="AC84" s="480" t="s">
        <v>1159</v>
      </c>
      <c r="AD84" s="765" t="s">
        <v>1160</v>
      </c>
      <c r="AE84" s="480" t="s">
        <v>1159</v>
      </c>
      <c r="AF84" s="765" t="s">
        <v>1160</v>
      </c>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row>
    <row r="85" spans="1:67" ht="29.25" customHeight="1" x14ac:dyDescent="0.25">
      <c r="A85" s="766" t="s">
        <v>1196</v>
      </c>
      <c r="B85" s="767" t="s">
        <v>837</v>
      </c>
      <c r="C85" s="768" t="e">
        <f>IF('Система ГВС'!F3=2,0,(0.024*(D169*(D176-D177)*1*D179)/(3.6*24*D181))*(D172*D178+D148+(D171*(D172-D148)*(D176-списки!$C$61)/(D176-D177)))*(1-0.4*'Ввод исходных данных'!$D$21/'Ввод исходных данных'!$D$20)*'Ввод исходных данных'!$G$56)+'Ввод исходных данных'!E248*списки!C63/0.86</f>
        <v>#N/A</v>
      </c>
      <c r="D85" s="769">
        <f ca="1">IF('Система ГВС'!F3=2,0,D86*1163)</f>
        <v>0</v>
      </c>
      <c r="E85" s="50"/>
      <c r="F85" s="285"/>
      <c r="G85" s="770" t="s">
        <v>1197</v>
      </c>
      <c r="H85" s="771" t="s">
        <v>837</v>
      </c>
      <c r="I85" s="772" t="e">
        <f>(0.024* (G169*($D$176-IF(G148&gt;=0.8*G167,$D$177,списки!$C$61))*1*$D$179)/(3.6*24*$D$181))*(G172*$D$178+G148+(G172-G148))*(1-0.4*'Ввод исходных данных'!$D$21/'Ввод исходных данных'!$D$20)*'Ввод исходных данных'!$G$56*'Система ГВС'!$H$4</f>
        <v>#N/A</v>
      </c>
      <c r="J85" s="773">
        <f ca="1">J86*1163*'Система ГВС'!$H$4</f>
        <v>0</v>
      </c>
      <c r="K85" s="772" t="e">
        <f>(0.024* (H169*($D$176-IF(H148&gt;=0.8*H167,$D$177,списки!$C$61))*1*$D$179)/(3.6*24*$D$181))*(H172*$D$178+H148+(H172-H148))*(1-0.4*'Ввод исходных данных'!$D$21/'Ввод исходных данных'!$D$20)*'Ввод исходных данных'!$G$56*'Система ГВС'!$H$4</f>
        <v>#N/A</v>
      </c>
      <c r="L85" s="773">
        <f ca="1">L86*1163*'Система ГВС'!$H$4</f>
        <v>0</v>
      </c>
      <c r="M85" s="772" t="e">
        <f>(0.024* (I169*($D$176-IF(I148&gt;=0.8*I167,$D$177,списки!$C$61))*1*$D$179)/(3.6*24*$D$181))*(I172*$D$178+I148+(I172-I148))*(1-0.4*'Ввод исходных данных'!$D$21/'Ввод исходных данных'!$D$20)*'Ввод исходных данных'!$G$56*'Система ГВС'!$H$4</f>
        <v>#N/A</v>
      </c>
      <c r="N85" s="774">
        <f ca="1">N86*1163*'Система ГВС'!$H$4</f>
        <v>0</v>
      </c>
      <c r="O85" s="772" t="e">
        <f>(0.024* (J169*($D$176-IF(J148&gt;=0.8*J167,$D$177,списки!$C$61))*1*$D$179)/(3.6*24*$D$181))*(J172*$D$178+J148+(J172-J148))*(1-0.4*'Ввод исходных данных'!$D$21/'Ввод исходных данных'!$D$20)*'Ввод исходных данных'!$G$56*'Система ГВС'!$H$4</f>
        <v>#N/A</v>
      </c>
      <c r="P85" s="773">
        <f ca="1">P86*1163*'Система ГВС'!$H$4</f>
        <v>0</v>
      </c>
      <c r="Q85" s="772" t="e">
        <f>(0.024* (K169*($D$176-IF(K148&gt;=0.8*K167,$D$177,списки!$C$61))*1*$D$179)/(3.6*24*$D$181))*(K172*$D$178+K148+(K172-K148))*(1-0.4*'Ввод исходных данных'!$D$21/'Ввод исходных данных'!$D$20)*'Ввод исходных данных'!$G$56*'Система ГВС'!$H$4</f>
        <v>#N/A</v>
      </c>
      <c r="R85" s="775">
        <f ca="1">R86*1163*'Система ГВС'!$H$4</f>
        <v>0</v>
      </c>
      <c r="S85" s="772" t="e">
        <f>(0.024* (L169*($D$176-IF(L148&gt;=0.8*L167,$D$177,списки!$C$61))*1*$D$179)/(3.6*24*$D$181))*(L172*$D$178+L148+(L172-L148))*(1-0.4*'Ввод исходных данных'!$D$21/'Ввод исходных данных'!$D$20)*'Ввод исходных данных'!$G$56*'Система ГВС'!$H$4</f>
        <v>#N/A</v>
      </c>
      <c r="T85" s="775">
        <f ca="1">T86*1163*'Система ГВС'!$H$4</f>
        <v>0</v>
      </c>
      <c r="U85" s="772" t="e">
        <f>(0.024* (M169*($D$176-IF(M148&gt;=0.8*M167,$D$177,списки!$C$61))*1*$D$179)/(3.6*24*$D$181))*(M172*$D$178+M148+(M172-M148))*(1-0.4*'Ввод исходных данных'!$D$21/'Ввод исходных данных'!$D$20)*'Ввод исходных данных'!$G$56*'Система ГВС'!$H$4</f>
        <v>#N/A</v>
      </c>
      <c r="V85" s="774">
        <f ca="1">V86*1163*'Система ГВС'!$H$4</f>
        <v>0</v>
      </c>
      <c r="W85" s="772" t="e">
        <f>(0.024* (N169*($D$176-IF(N148&gt;=0.8*N167,$D$177,списки!$C$61))*1*$D$179)/(3.6*24*$D$181))*(N172*$D$178+N148+(N172-N148))*(1-0.4*'Ввод исходных данных'!$D$21/'Ввод исходных данных'!$D$20)*'Ввод исходных данных'!$G$56*'Система ГВС'!$H$4</f>
        <v>#N/A</v>
      </c>
      <c r="X85" s="773">
        <f ca="1">X86*1163*'Система ГВС'!$H$4</f>
        <v>0</v>
      </c>
      <c r="Y85" s="772" t="e">
        <f>(0.024* (O169*($D$176-IF(G148&gt;=0.8*O167,$D$177,списки!$C$61))*1*$D$179)/(3.6*24*$D$181))*(O172*$D$178+O148+(O172-O148))*(1-0.4*'Ввод исходных данных'!$D$21/'Ввод исходных данных'!$D$20)*'Ввод исходных данных'!$G$56*'Система ГВС'!$H$4</f>
        <v>#N/A</v>
      </c>
      <c r="Z85" s="773">
        <f ca="1">Z86*1163*'Система ГВС'!$H$4</f>
        <v>0</v>
      </c>
      <c r="AA85" s="772" t="e">
        <f>(0.024* (P169*($D$176-IF(P148&gt;=0.8*P167,$D$177,списки!$C$61))*1*$D$179)/(3.6*24*$D$181))*(P172*$D$178+P148+(P172-P148))*(1-0.4*'Ввод исходных данных'!$D$21/'Ввод исходных данных'!$D$20)*'Ввод исходных данных'!$G$56*'Система ГВС'!$H$4</f>
        <v>#N/A</v>
      </c>
      <c r="AB85" s="773">
        <f ca="1">AB86*1163*'Система ГВС'!$H$4</f>
        <v>0</v>
      </c>
      <c r="AC85" s="772" t="e">
        <f>(0.024* (Q169*($D$176-IF(Q148&gt;=0.8*Q167,$D$177,списки!$C$61))*1*$D$179)/(3.6*24*$D$181))*(Q172*$D$178+Q148+(Q172-Q148))*(1-0.4*'Ввод исходных данных'!$D$21/'Ввод исходных данных'!$D$20)*'Ввод исходных данных'!$G$56*'Система ГВС'!$H$4</f>
        <v>#N/A</v>
      </c>
      <c r="AD85" s="773">
        <f ca="1">AD86*1163*'Система ГВС'!$H$4</f>
        <v>0</v>
      </c>
      <c r="AE85" s="772" t="e">
        <f>(0.024* (R169*($D$176-IF(R148&gt;=0.8*R167,$D$177,списки!$C$61))*1*$D$179)/(3.6*24*$D$181))*(R172*$D$178+R148+(R172-R148))*(1-0.4*'Ввод исходных данных'!$D$21/'Ввод исходных данных'!$D$20)*'Ввод исходных данных'!$G$56*'Система ГВС'!$H$4</f>
        <v>#N/A</v>
      </c>
      <c r="AF85" s="773">
        <f ca="1">AF86*1163*'Система ГВС'!$H$4</f>
        <v>0</v>
      </c>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row>
    <row r="86" spans="1:67" ht="15.75" thickBot="1" x14ac:dyDescent="0.3">
      <c r="A86" s="776" t="s">
        <v>868</v>
      </c>
      <c r="B86" s="348" t="s">
        <v>1168</v>
      </c>
      <c r="C86" s="777" t="e">
        <f>0.86*C85/1000</f>
        <v>#N/A</v>
      </c>
      <c r="D86" s="778">
        <f ca="1">IF('Система ГВС'!F3=2,0,'Ввод исходных данных'!K229)</f>
        <v>0</v>
      </c>
      <c r="E86" s="50"/>
      <c r="F86" s="50"/>
      <c r="G86" s="506" t="s">
        <v>868</v>
      </c>
      <c r="H86" s="507" t="s">
        <v>1168</v>
      </c>
      <c r="I86" s="327" t="e">
        <f>0.86*I85/1000</f>
        <v>#N/A</v>
      </c>
      <c r="J86" s="779">
        <f ca="1">'Ввод исходных данных'!K217*'Система ГВС'!$H$4</f>
        <v>0</v>
      </c>
      <c r="K86" s="327" t="e">
        <f>0.86*K85/1000</f>
        <v>#N/A</v>
      </c>
      <c r="L86" s="779">
        <f ca="1">'Ввод исходных данных'!K218*'Система ГВС'!$H$4</f>
        <v>0</v>
      </c>
      <c r="M86" s="780" t="e">
        <f>0.86*M85/1000</f>
        <v>#N/A</v>
      </c>
      <c r="N86" s="781">
        <f ca="1">'Ввод исходных данных'!K219*'Система ГВС'!$H$4</f>
        <v>0</v>
      </c>
      <c r="O86" s="327" t="e">
        <f>0.86*O85/1000</f>
        <v>#N/A</v>
      </c>
      <c r="P86" s="779">
        <f ca="1">'Ввод исходных данных'!K220*'Система ГВС'!$H$4</f>
        <v>0</v>
      </c>
      <c r="Q86" s="780" t="e">
        <f>0.86*Q85/1000</f>
        <v>#N/A</v>
      </c>
      <c r="R86" s="782">
        <f ca="1">'Ввод исходных данных'!K221*'Система ГВС'!$H$4</f>
        <v>0</v>
      </c>
      <c r="S86" s="726" t="e">
        <f>0.86*S85/1000</f>
        <v>#N/A</v>
      </c>
      <c r="T86" s="783">
        <f ca="1">'Ввод исходных данных'!K222*'Система ГВС'!$H$4</f>
        <v>0</v>
      </c>
      <c r="U86" s="726" t="e">
        <f>0.86*U85/1000</f>
        <v>#N/A</v>
      </c>
      <c r="V86" s="784">
        <f ca="1">'Ввод исходных данных'!K223*'Система ГВС'!$H$4</f>
        <v>0</v>
      </c>
      <c r="W86" s="328" t="e">
        <f>0.86*W85/1000</f>
        <v>#N/A</v>
      </c>
      <c r="X86" s="564">
        <f ca="1">'Ввод исходных данных'!K224*'Система ГВС'!$H$4</f>
        <v>0</v>
      </c>
      <c r="Y86" s="328" t="e">
        <f>0.86*Y85/1000</f>
        <v>#N/A</v>
      </c>
      <c r="Z86" s="564">
        <f ca="1">'Ввод исходных данных'!K225*'Система ГВС'!$H$4</f>
        <v>0</v>
      </c>
      <c r="AA86" s="328" t="e">
        <f>0.86*AA85/1000</f>
        <v>#N/A</v>
      </c>
      <c r="AB86" s="564">
        <f ca="1">'Ввод исходных данных'!K226*'Система ГВС'!$H$4</f>
        <v>0</v>
      </c>
      <c r="AC86" s="328" t="e">
        <f>0.86*AC85/1000</f>
        <v>#N/A</v>
      </c>
      <c r="AD86" s="785">
        <f ca="1">'Ввод исходных данных'!K227*'Система ГВС'!$H$4</f>
        <v>0</v>
      </c>
      <c r="AE86" s="327" t="e">
        <f>0.86*AE85/1000</f>
        <v>#N/A</v>
      </c>
      <c r="AF86" s="785">
        <f ca="1">'Ввод исходных данных'!K228*'Система ГВС'!$H$4</f>
        <v>0</v>
      </c>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row>
    <row r="87" spans="1:67" ht="51.95" customHeight="1" x14ac:dyDescent="0.25">
      <c r="A87" s="786" t="s">
        <v>1198</v>
      </c>
      <c r="B87" s="787" t="s">
        <v>837</v>
      </c>
      <c r="C87" s="788"/>
      <c r="D87" s="789" t="e">
        <f ca="1">D85-C85</f>
        <v>#N/A</v>
      </c>
      <c r="E87" s="50"/>
      <c r="F87" s="50"/>
      <c r="G87" s="790" t="s">
        <v>1199</v>
      </c>
      <c r="H87" s="771" t="s">
        <v>837</v>
      </c>
      <c r="I87" s="791"/>
      <c r="J87" s="792" t="e">
        <f ca="1">J85-I85</f>
        <v>#N/A</v>
      </c>
      <c r="K87" s="791"/>
      <c r="L87" s="792" t="e">
        <f ca="1">L85-K85</f>
        <v>#N/A</v>
      </c>
      <c r="M87" s="791"/>
      <c r="N87" s="792" t="e">
        <f ca="1">N85-M85</f>
        <v>#N/A</v>
      </c>
      <c r="O87" s="791"/>
      <c r="P87" s="792" t="e">
        <f ca="1">P85-O85</f>
        <v>#N/A</v>
      </c>
      <c r="Q87" s="791"/>
      <c r="R87" s="792" t="e">
        <f ca="1">R85-Q85</f>
        <v>#N/A</v>
      </c>
      <c r="S87" s="791"/>
      <c r="T87" s="792" t="e">
        <f ca="1">T85-S85</f>
        <v>#N/A</v>
      </c>
      <c r="U87" s="791"/>
      <c r="V87" s="792" t="e">
        <f ca="1">V85-U85</f>
        <v>#N/A</v>
      </c>
      <c r="W87" s="791"/>
      <c r="X87" s="792" t="e">
        <f ca="1">X85-W85</f>
        <v>#N/A</v>
      </c>
      <c r="Y87" s="791"/>
      <c r="Z87" s="792" t="e">
        <f ca="1">Z85-Y85</f>
        <v>#N/A</v>
      </c>
      <c r="AA87" s="791"/>
      <c r="AB87" s="792" t="e">
        <f ca="1">AB85-AA85</f>
        <v>#N/A</v>
      </c>
      <c r="AC87" s="791"/>
      <c r="AD87" s="792" t="e">
        <f ca="1">AD85-AC85</f>
        <v>#N/A</v>
      </c>
      <c r="AE87" s="791"/>
      <c r="AF87" s="792" t="e">
        <f ca="1">AF85-AE85</f>
        <v>#N/A</v>
      </c>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row>
    <row r="88" spans="1:67" x14ac:dyDescent="0.25">
      <c r="A88" s="320" t="s">
        <v>868</v>
      </c>
      <c r="B88" s="321" t="s">
        <v>1168</v>
      </c>
      <c r="C88" s="793"/>
      <c r="D88" s="794" t="e">
        <f ca="1">D86-C86</f>
        <v>#N/A</v>
      </c>
      <c r="E88" s="50"/>
      <c r="F88" s="50"/>
      <c r="G88" s="795" t="s">
        <v>868</v>
      </c>
      <c r="H88" s="796" t="s">
        <v>1168</v>
      </c>
      <c r="I88" s="580"/>
      <c r="J88" s="577" t="e">
        <f ca="1">J86-I86</f>
        <v>#N/A</v>
      </c>
      <c r="K88" s="580"/>
      <c r="L88" s="577" t="e">
        <f ca="1">L86-K86</f>
        <v>#N/A</v>
      </c>
      <c r="M88" s="580"/>
      <c r="N88" s="577" t="e">
        <f ca="1">N86-M86</f>
        <v>#N/A</v>
      </c>
      <c r="O88" s="580"/>
      <c r="P88" s="577" t="e">
        <f ca="1">P86-O86</f>
        <v>#N/A</v>
      </c>
      <c r="Q88" s="580"/>
      <c r="R88" s="577" t="e">
        <f ca="1">R86-Q86</f>
        <v>#N/A</v>
      </c>
      <c r="S88" s="580"/>
      <c r="T88" s="577" t="e">
        <f ca="1">T86-S86</f>
        <v>#N/A</v>
      </c>
      <c r="U88" s="580"/>
      <c r="V88" s="577" t="e">
        <f ca="1">V86-U86</f>
        <v>#N/A</v>
      </c>
      <c r="W88" s="580"/>
      <c r="X88" s="577" t="e">
        <f ca="1">X86-W86</f>
        <v>#N/A</v>
      </c>
      <c r="Y88" s="580"/>
      <c r="Z88" s="577" t="e">
        <f ca="1">Z86-Y86</f>
        <v>#N/A</v>
      </c>
      <c r="AA88" s="580"/>
      <c r="AB88" s="577" t="e">
        <f ca="1">AB86-AA86</f>
        <v>#N/A</v>
      </c>
      <c r="AC88" s="580"/>
      <c r="AD88" s="577" t="e">
        <f ca="1">AD86-AC86</f>
        <v>#N/A</v>
      </c>
      <c r="AE88" s="580"/>
      <c r="AF88" s="577" t="e">
        <f ca="1">AF86-AE86</f>
        <v>#N/A</v>
      </c>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row>
    <row r="89" spans="1:67" ht="18.600000000000001" customHeight="1" thickBot="1" x14ac:dyDescent="0.3">
      <c r="A89" s="347" t="s">
        <v>868</v>
      </c>
      <c r="B89" s="348" t="s">
        <v>1165</v>
      </c>
      <c r="C89" s="797"/>
      <c r="D89" s="798" t="e">
        <f ca="1">IF('Система ГВС'!F3=2,0,(D87/C85)*100)</f>
        <v>#N/A</v>
      </c>
      <c r="E89" s="50"/>
      <c r="F89" s="50"/>
      <c r="G89" s="506" t="s">
        <v>868</v>
      </c>
      <c r="H89" s="507" t="s">
        <v>1165</v>
      </c>
      <c r="I89" s="592"/>
      <c r="J89" s="799" t="e">
        <f ca="1">(J87/I85)*100</f>
        <v>#N/A</v>
      </c>
      <c r="K89" s="592"/>
      <c r="L89" s="799" t="e">
        <f ca="1">(L87/K85)*100</f>
        <v>#N/A</v>
      </c>
      <c r="M89" s="592"/>
      <c r="N89" s="799" t="e">
        <f ca="1">(N87/M85)*100</f>
        <v>#N/A</v>
      </c>
      <c r="O89" s="592"/>
      <c r="P89" s="799" t="e">
        <f ca="1">(P87/O85)*100</f>
        <v>#N/A</v>
      </c>
      <c r="Q89" s="592"/>
      <c r="R89" s="799" t="e">
        <f ca="1">(R87/Q85)*100</f>
        <v>#N/A</v>
      </c>
      <c r="S89" s="592"/>
      <c r="T89" s="799" t="e">
        <f ca="1">(T87/S85)*100</f>
        <v>#N/A</v>
      </c>
      <c r="U89" s="592"/>
      <c r="V89" s="799" t="e">
        <f ca="1">(V87/U85)*100</f>
        <v>#N/A</v>
      </c>
      <c r="W89" s="592"/>
      <c r="X89" s="799" t="e">
        <f ca="1">(X87/W85)*100</f>
        <v>#N/A</v>
      </c>
      <c r="Y89" s="592"/>
      <c r="Z89" s="799" t="e">
        <f ca="1">(Z87/Y85)*100</f>
        <v>#N/A</v>
      </c>
      <c r="AA89" s="592"/>
      <c r="AB89" s="799" t="e">
        <f ca="1">(AB87/AA85)*100</f>
        <v>#N/A</v>
      </c>
      <c r="AC89" s="592"/>
      <c r="AD89" s="799" t="e">
        <f ca="1">(AD87/AC85)*100</f>
        <v>#N/A</v>
      </c>
      <c r="AE89" s="592"/>
      <c r="AF89" s="799" t="e">
        <f ca="1">(AF87/AE85)*100</f>
        <v>#N/A</v>
      </c>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row>
    <row r="90" spans="1:67" ht="15.75" thickBot="1" x14ac:dyDescent="0.3">
      <c r="A90" s="800" t="s">
        <v>1200</v>
      </c>
      <c r="B90" s="801" t="s">
        <v>1307</v>
      </c>
      <c r="C90" s="802" t="e">
        <f>IF('Система ГВС'!F3=2,0,D170*365*'Ввод исходных данных'!$D$22/1000*(1-0.4*'Ввод исходных данных'!D21/'Ввод исходных данных'!D20))</f>
        <v>#DIV/0!</v>
      </c>
      <c r="D90" s="803">
        <f>IF('Система ГВС'!F3=2,0,'Ввод исходных данных'!F248)</f>
        <v>0</v>
      </c>
      <c r="E90" s="50"/>
      <c r="F90" s="285"/>
      <c r="G90" s="804" t="s">
        <v>1203</v>
      </c>
      <c r="H90" s="801" t="s">
        <v>1307</v>
      </c>
      <c r="I90" s="805" t="e">
        <f>G169*G172*'Ввод исходных данных'!$D$22/1000*(1-0.4*'Ввод исходных данных'!D21/'Ввод исходных данных'!D20)*'Система ГВС'!$H$4</f>
        <v>#N/A</v>
      </c>
      <c r="J90" s="806">
        <f>'Ввод исходных данных'!F236*'Система ГВС'!$H$4</f>
        <v>0</v>
      </c>
      <c r="K90" s="805" t="e">
        <f>H169*H167*'Ввод исходных данных'!$D$22/1000*(1-0.4*'Ввод исходных данных'!D21/'Ввод исходных данных'!D20)*'Система ГВС'!$H$4</f>
        <v>#N/A</v>
      </c>
      <c r="L90" s="806">
        <f>'Ввод исходных данных'!$F$237*'Система ГВС'!$H$4</f>
        <v>0</v>
      </c>
      <c r="M90" s="805" t="e">
        <f>I169*I167*'Ввод исходных данных'!$D$22/1000*(1-0.4*'Ввод исходных данных'!D21/'Ввод исходных данных'!D20)*'Система ГВС'!$H$4</f>
        <v>#N/A</v>
      </c>
      <c r="N90" s="806">
        <f>'Ввод исходных данных'!$F$238*'Система ГВС'!$H$4</f>
        <v>0</v>
      </c>
      <c r="O90" s="805" t="e">
        <f>J169*J167*'Ввод исходных данных'!$D$22/1000*(1-0.4*'Ввод исходных данных'!D21/'Ввод исходных данных'!D20)*'Система ГВС'!$H$4</f>
        <v>#N/A</v>
      </c>
      <c r="P90" s="806">
        <f>'Ввод исходных данных'!$F$239*'Система ГВС'!$H$4</f>
        <v>0</v>
      </c>
      <c r="Q90" s="805" t="e">
        <f>K169*K167*'Ввод исходных данных'!$D$22/1000*(1-0.4*'Ввод исходных данных'!D21/'Ввод исходных данных'!D20)*'Система ГВС'!$H$4</f>
        <v>#N/A</v>
      </c>
      <c r="R90" s="806">
        <f>'Ввод исходных данных'!$F$240*'Система ГВС'!$H$4</f>
        <v>0</v>
      </c>
      <c r="S90" s="805" t="e">
        <f>L169*L167*'Ввод исходных данных'!$D$22/1000*(1-0.4*'Ввод исходных данных'!D21/'Ввод исходных данных'!D20)*'Система ГВС'!$H$4</f>
        <v>#N/A</v>
      </c>
      <c r="T90" s="806">
        <f>'Ввод исходных данных'!$F$241*'Система ГВС'!$H$4</f>
        <v>0</v>
      </c>
      <c r="U90" s="805" t="e">
        <f>M169*M172*'Ввод исходных данных'!$D$22/1000*(1-0.4*'Ввод исходных данных'!D21/'Ввод исходных данных'!D20)*'Система ГВС'!$H$4</f>
        <v>#N/A</v>
      </c>
      <c r="V90" s="806">
        <f>'Ввод исходных данных'!$F$242*'Система ГВС'!$H$4</f>
        <v>0</v>
      </c>
      <c r="W90" s="805" t="e">
        <f>N169*N167*'Ввод исходных данных'!$D$22/1000*(1-0.4*'Ввод исходных данных'!D21/'Ввод исходных данных'!D20)*'Система ГВС'!$H$4</f>
        <v>#N/A</v>
      </c>
      <c r="X90" s="807">
        <f>'Ввод исходных данных'!$F$243*'Система ГВС'!$H$4</f>
        <v>0</v>
      </c>
      <c r="Y90" s="805" t="e">
        <f>O169*O167*'Ввод исходных данных'!$D$22/1000*(1-0.4*'Ввод исходных данных'!D21/'Ввод исходных данных'!D20)*'Система ГВС'!$H$4</f>
        <v>#N/A</v>
      </c>
      <c r="Z90" s="808">
        <f>'Ввод исходных данных'!$F$244*'Система ГВС'!$H$4</f>
        <v>0</v>
      </c>
      <c r="AA90" s="805" t="e">
        <f>P169*P167*'Ввод исходных данных'!$D$22/1000*(1-0.4*'Ввод исходных данных'!D21/'Ввод исходных данных'!D20)*'Система ГВС'!$H$4</f>
        <v>#N/A</v>
      </c>
      <c r="AB90" s="807">
        <f>'Ввод исходных данных'!$F$245*'Система ГВС'!$H$4</f>
        <v>0</v>
      </c>
      <c r="AC90" s="805" t="e">
        <f>Q169*Q167*'Ввод исходных данных'!$D$22/1000*(1-0.4*'Ввод исходных данных'!D21/'Ввод исходных данных'!D20)*'Система ГВС'!$H$4</f>
        <v>#N/A</v>
      </c>
      <c r="AD90" s="809">
        <f>'Ввод исходных данных'!$F$246*'Система ГВС'!$H$4</f>
        <v>0</v>
      </c>
      <c r="AE90" s="805" t="e">
        <f>R169*R167*'Ввод исходных данных'!$D$22/1000*(1-0.4*'Ввод исходных данных'!D21/'Ввод исходных данных'!D20)*'Система ГВС'!$H$4</f>
        <v>#N/A</v>
      </c>
      <c r="AF90" s="626">
        <f>'Ввод исходных данных'!$F$247*'Система ГВС'!$H$4</f>
        <v>0</v>
      </c>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row>
    <row r="91" spans="1:67" ht="41.45" customHeight="1" x14ac:dyDescent="0.25">
      <c r="A91" s="786" t="s">
        <v>1202</v>
      </c>
      <c r="B91" s="810" t="s">
        <v>1201</v>
      </c>
      <c r="C91" s="788"/>
      <c r="D91" s="811" t="e">
        <f>D90-C90</f>
        <v>#DIV/0!</v>
      </c>
      <c r="E91" s="50"/>
      <c r="F91" s="50"/>
      <c r="G91" s="790" t="s">
        <v>1204</v>
      </c>
      <c r="H91" s="771" t="s">
        <v>1201</v>
      </c>
      <c r="I91" s="812"/>
      <c r="J91" s="792" t="e">
        <f>J90-I90</f>
        <v>#N/A</v>
      </c>
      <c r="K91" s="812"/>
      <c r="L91" s="792" t="e">
        <f>L90-K90</f>
        <v>#N/A</v>
      </c>
      <c r="M91" s="812"/>
      <c r="N91" s="792" t="e">
        <f>N90-M90</f>
        <v>#N/A</v>
      </c>
      <c r="O91" s="812"/>
      <c r="P91" s="792" t="e">
        <f>P90-O90</f>
        <v>#N/A</v>
      </c>
      <c r="Q91" s="791"/>
      <c r="R91" s="792" t="e">
        <f>R90-Q90</f>
        <v>#N/A</v>
      </c>
      <c r="S91" s="812"/>
      <c r="T91" s="792" t="e">
        <f>T90-S90</f>
        <v>#N/A</v>
      </c>
      <c r="U91" s="791"/>
      <c r="V91" s="792" t="e">
        <f>V90-U90</f>
        <v>#N/A</v>
      </c>
      <c r="W91" s="791"/>
      <c r="X91" s="792" t="e">
        <f>X90-W90</f>
        <v>#N/A</v>
      </c>
      <c r="Y91" s="791"/>
      <c r="Z91" s="792" t="e">
        <f>Z90-Y90</f>
        <v>#N/A</v>
      </c>
      <c r="AA91" s="812"/>
      <c r="AB91" s="813" t="e">
        <f>AB90-AA90</f>
        <v>#N/A</v>
      </c>
      <c r="AC91" s="97"/>
      <c r="AD91" s="814" t="e">
        <f>AD90-AC90</f>
        <v>#N/A</v>
      </c>
      <c r="AE91" s="791"/>
      <c r="AF91" s="792" t="e">
        <f>AF90-AE90</f>
        <v>#N/A</v>
      </c>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row>
    <row r="92" spans="1:67" ht="20.45" customHeight="1" thickBot="1" x14ac:dyDescent="0.3">
      <c r="A92" s="347" t="s">
        <v>868</v>
      </c>
      <c r="B92" s="560" t="s">
        <v>1165</v>
      </c>
      <c r="C92" s="797"/>
      <c r="D92" s="815" t="e">
        <f>IF('Система ГВС'!F3=2,0,(D91/C90)*100)</f>
        <v>#DIV/0!</v>
      </c>
      <c r="E92" s="50"/>
      <c r="F92" s="50"/>
      <c r="G92" s="506" t="s">
        <v>868</v>
      </c>
      <c r="H92" s="507" t="s">
        <v>1165</v>
      </c>
      <c r="I92" s="584"/>
      <c r="J92" s="816" t="e">
        <f>(J91/I90)*100</f>
        <v>#N/A</v>
      </c>
      <c r="K92" s="584"/>
      <c r="L92" s="816" t="e">
        <f>(L91/K90)*100</f>
        <v>#N/A</v>
      </c>
      <c r="M92" s="584"/>
      <c r="N92" s="816" t="e">
        <f>(N91/M90)*100</f>
        <v>#N/A</v>
      </c>
      <c r="O92" s="584"/>
      <c r="P92" s="816" t="e">
        <f>(P91/O90)*100</f>
        <v>#N/A</v>
      </c>
      <c r="Q92" s="592"/>
      <c r="R92" s="799" t="e">
        <f>(R91/Q90)*100</f>
        <v>#N/A</v>
      </c>
      <c r="S92" s="584"/>
      <c r="T92" s="799" t="e">
        <f>(T91/S90)*100</f>
        <v>#N/A</v>
      </c>
      <c r="U92" s="592"/>
      <c r="V92" s="799" t="e">
        <f>(V91/U90)*100</f>
        <v>#N/A</v>
      </c>
      <c r="W92" s="592"/>
      <c r="X92" s="799" t="e">
        <f>(X91/W90)*100</f>
        <v>#N/A</v>
      </c>
      <c r="Y92" s="592"/>
      <c r="Z92" s="799" t="e">
        <f>(Z91/Y90)*100</f>
        <v>#N/A</v>
      </c>
      <c r="AA92" s="584"/>
      <c r="AB92" s="799" t="e">
        <f>(AB91/AA90)*100</f>
        <v>#N/A</v>
      </c>
      <c r="AC92" s="582"/>
      <c r="AD92" s="799" t="e">
        <f>(AD91/AC90)*100</f>
        <v>#N/A</v>
      </c>
      <c r="AE92" s="592"/>
      <c r="AF92" s="799" t="e">
        <f>(AF91/AE90)*100</f>
        <v>#N/A</v>
      </c>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row>
    <row r="93" spans="1:67" ht="24" x14ac:dyDescent="0.25">
      <c r="A93" s="786" t="s">
        <v>1205</v>
      </c>
      <c r="B93" s="787" t="s">
        <v>1174</v>
      </c>
      <c r="C93" s="817" t="e">
        <f>C85/('Ввод исходных данных'!$G$56+'Ввод исходных данных'!$D$23)</f>
        <v>#N/A</v>
      </c>
      <c r="D93" s="818" t="e">
        <f ca="1">D85/('Ввод исходных данных'!$G$56+'Ввод исходных данных'!$D$23)</f>
        <v>#DIV/0!</v>
      </c>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row>
    <row r="94" spans="1:67" ht="15.75" thickBot="1" x14ac:dyDescent="0.3">
      <c r="A94" s="347" t="s">
        <v>868</v>
      </c>
      <c r="B94" s="359" t="s">
        <v>1193</v>
      </c>
      <c r="C94" s="819" t="e">
        <f>IF('Система ГВС'!F3=2,0,C86/('Ввод исходных данных'!$G$56+'Ввод исходных данных'!D23))</f>
        <v>#N/A</v>
      </c>
      <c r="D94" s="820" t="e">
        <f ca="1">D86/('Ввод исходных данных'!$G$56+'Ввод исходных данных'!D23)</f>
        <v>#DIV/0!</v>
      </c>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row>
    <row r="95" spans="1:67" ht="15.75" thickBot="1" x14ac:dyDescent="0.3">
      <c r="A95" s="821" t="s">
        <v>1206</v>
      </c>
      <c r="B95" s="822" t="s">
        <v>784</v>
      </c>
      <c r="C95" s="823" t="e">
        <f>IF('Система ГВС'!F3=2,0,D169*(1-0.4*'Ввод исходных данных'!D21/'Ввод исходных данных'!D20))</f>
        <v>#N/A</v>
      </c>
      <c r="D95" s="824" t="e">
        <f>D90*1000/(365*'Ввод исходных данных'!$D$22)</f>
        <v>#DIV/0!</v>
      </c>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row>
    <row r="96" spans="1:67" ht="237" customHeight="1"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row>
    <row r="97" spans="1:67" ht="16.5" thickBot="1" x14ac:dyDescent="0.3">
      <c r="A97" s="2477" t="s">
        <v>1170</v>
      </c>
      <c r="B97" s="2477"/>
      <c r="C97" s="2477"/>
      <c r="D97" s="2477"/>
      <c r="E97" s="403"/>
      <c r="F97" s="403"/>
      <c r="G97" s="404" t="s">
        <v>1207</v>
      </c>
      <c r="H97" s="404"/>
      <c r="I97" s="404"/>
      <c r="J97" s="404"/>
      <c r="K97" s="405"/>
      <c r="L97" s="405"/>
      <c r="M97" s="405"/>
      <c r="N97" s="405"/>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row>
    <row r="98" spans="1:67" ht="38.1" customHeight="1" x14ac:dyDescent="0.25">
      <c r="A98" s="2458" t="s">
        <v>829</v>
      </c>
      <c r="B98" s="2464" t="s">
        <v>1158</v>
      </c>
      <c r="C98" s="2466" t="s">
        <v>1159</v>
      </c>
      <c r="D98" s="2468" t="s">
        <v>1160</v>
      </c>
      <c r="E98" s="50"/>
      <c r="F98" s="50"/>
      <c r="G98" s="2458" t="s">
        <v>829</v>
      </c>
      <c r="H98" s="2478" t="s">
        <v>1158</v>
      </c>
      <c r="I98" s="2451" t="s">
        <v>488</v>
      </c>
      <c r="J98" s="2452"/>
      <c r="K98" s="2451" t="s">
        <v>489</v>
      </c>
      <c r="L98" s="2452"/>
      <c r="M98" s="2451" t="s">
        <v>490</v>
      </c>
      <c r="N98" s="2452"/>
      <c r="O98" s="2451" t="s">
        <v>491</v>
      </c>
      <c r="P98" s="2452"/>
      <c r="Q98" s="2451" t="s">
        <v>800</v>
      </c>
      <c r="R98" s="2452"/>
      <c r="S98" s="2451" t="s">
        <v>801</v>
      </c>
      <c r="T98" s="2452"/>
      <c r="U98" s="2451" t="s">
        <v>802</v>
      </c>
      <c r="V98" s="2452"/>
      <c r="W98" s="2451" t="s">
        <v>803</v>
      </c>
      <c r="X98" s="2452"/>
      <c r="Y98" s="2451" t="s">
        <v>804</v>
      </c>
      <c r="Z98" s="2452"/>
      <c r="AA98" s="2451" t="s">
        <v>482</v>
      </c>
      <c r="AB98" s="2452"/>
      <c r="AC98" s="2451" t="s">
        <v>486</v>
      </c>
      <c r="AD98" s="2452"/>
      <c r="AE98" s="2451" t="s">
        <v>487</v>
      </c>
      <c r="AF98" s="2452"/>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row>
    <row r="99" spans="1:67" ht="36" customHeight="1" thickBot="1" x14ac:dyDescent="0.3">
      <c r="A99" s="2459"/>
      <c r="B99" s="2465"/>
      <c r="C99" s="2467"/>
      <c r="D99" s="2469"/>
      <c r="E99" s="50"/>
      <c r="F99" s="50"/>
      <c r="G99" s="2459"/>
      <c r="H99" s="2461"/>
      <c r="I99" s="480" t="s">
        <v>1159</v>
      </c>
      <c r="J99" s="765" t="s">
        <v>1160</v>
      </c>
      <c r="K99" s="480" t="s">
        <v>1159</v>
      </c>
      <c r="L99" s="765" t="s">
        <v>1160</v>
      </c>
      <c r="M99" s="480" t="s">
        <v>1159</v>
      </c>
      <c r="N99" s="765" t="s">
        <v>1160</v>
      </c>
      <c r="O99" s="480" t="s">
        <v>1159</v>
      </c>
      <c r="P99" s="765" t="s">
        <v>1160</v>
      </c>
      <c r="Q99" s="480" t="s">
        <v>1159</v>
      </c>
      <c r="R99" s="765" t="s">
        <v>1160</v>
      </c>
      <c r="S99" s="480" t="s">
        <v>1159</v>
      </c>
      <c r="T99" s="765" t="s">
        <v>1160</v>
      </c>
      <c r="U99" s="480" t="s">
        <v>1159</v>
      </c>
      <c r="V99" s="765" t="s">
        <v>1160</v>
      </c>
      <c r="W99" s="480" t="s">
        <v>1159</v>
      </c>
      <c r="X99" s="765" t="s">
        <v>1160</v>
      </c>
      <c r="Y99" s="480" t="s">
        <v>1159</v>
      </c>
      <c r="Z99" s="765" t="s">
        <v>1160</v>
      </c>
      <c r="AA99" s="480" t="s">
        <v>1159</v>
      </c>
      <c r="AB99" s="765" t="s">
        <v>1160</v>
      </c>
      <c r="AC99" s="480" t="s">
        <v>1159</v>
      </c>
      <c r="AD99" s="765" t="s">
        <v>1160</v>
      </c>
      <c r="AE99" s="480" t="s">
        <v>1159</v>
      </c>
      <c r="AF99" s="765" t="s">
        <v>1160</v>
      </c>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row>
    <row r="100" spans="1:67" ht="36" customHeight="1" x14ac:dyDescent="0.25">
      <c r="A100" s="766" t="s">
        <v>1208</v>
      </c>
      <c r="B100" s="825" t="s">
        <v>837</v>
      </c>
      <c r="C100" s="826">
        <f ca="1">C102+C106+C108+C113</f>
        <v>0</v>
      </c>
      <c r="D100" s="803">
        <f>'Ввод исходных данных'!Y265*1000</f>
        <v>0</v>
      </c>
      <c r="E100" s="50"/>
      <c r="F100" s="50"/>
      <c r="G100" s="770" t="s">
        <v>1209</v>
      </c>
      <c r="H100" s="827" t="s">
        <v>837</v>
      </c>
      <c r="I100" s="772" t="e">
        <f>I102+I106+I108+I113</f>
        <v>#N/A</v>
      </c>
      <c r="J100" s="828">
        <f>'Ввод исходных данных'!$Y$253*1000</f>
        <v>0</v>
      </c>
      <c r="K100" s="772" t="e">
        <f>K102+K106+K108+K113</f>
        <v>#N/A</v>
      </c>
      <c r="L100" s="828">
        <f>'Ввод исходных данных'!$Y$254*1000</f>
        <v>0</v>
      </c>
      <c r="M100" s="772" t="e">
        <f>M102+M106+M108+M113</f>
        <v>#N/A</v>
      </c>
      <c r="N100" s="828">
        <f>'Ввод исходных данных'!$Y$255*1000</f>
        <v>0</v>
      </c>
      <c r="O100" s="772" t="e">
        <f>O102+O106+O108+O113</f>
        <v>#N/A</v>
      </c>
      <c r="P100" s="828">
        <f>'Ввод исходных данных'!$Y$256*1000</f>
        <v>0</v>
      </c>
      <c r="Q100" s="772" t="e">
        <f>Q102+Q106+Q108+Q113</f>
        <v>#N/A</v>
      </c>
      <c r="R100" s="828">
        <f>'Ввод исходных данных'!$Y$257*1000</f>
        <v>0</v>
      </c>
      <c r="S100" s="772" t="e">
        <f>S102+S106+S108+S113</f>
        <v>#N/A</v>
      </c>
      <c r="T100" s="828">
        <f>'Ввод исходных данных'!$Y$258*1000</f>
        <v>0</v>
      </c>
      <c r="U100" s="772" t="e">
        <f>U102+U106+U108+U113</f>
        <v>#N/A</v>
      </c>
      <c r="V100" s="828">
        <f>'Ввод исходных данных'!$Y$259*1000</f>
        <v>0</v>
      </c>
      <c r="W100" s="772" t="e">
        <f>W102+W106+W108+W113</f>
        <v>#N/A</v>
      </c>
      <c r="X100" s="828">
        <f>'Ввод исходных данных'!$Y$260*1000</f>
        <v>0</v>
      </c>
      <c r="Y100" s="772" t="e">
        <f>Y102+Y106+Y108+Y113</f>
        <v>#N/A</v>
      </c>
      <c r="Z100" s="828">
        <f>'Ввод исходных данных'!$Y$261*1000</f>
        <v>0</v>
      </c>
      <c r="AA100" s="772" t="e">
        <f>AA102+AA106+AA108+AA113</f>
        <v>#N/A</v>
      </c>
      <c r="AB100" s="828">
        <f>'Ввод исходных данных'!$Y$262*1000</f>
        <v>0</v>
      </c>
      <c r="AC100" s="772" t="e">
        <f>AC102+AC106+AC108+AC113</f>
        <v>#N/A</v>
      </c>
      <c r="AD100" s="828">
        <f>'Ввод исходных данных'!$Y$263*1000</f>
        <v>0</v>
      </c>
      <c r="AE100" s="772" t="e">
        <f>AE102+AE106+AE108+AE113</f>
        <v>#N/A</v>
      </c>
      <c r="AF100" s="828">
        <f>'Ввод исходных данных'!$Y$264*1000</f>
        <v>0</v>
      </c>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row>
    <row r="101" spans="1:67" ht="18.95" customHeight="1" x14ac:dyDescent="0.25">
      <c r="A101" s="829" t="s">
        <v>868</v>
      </c>
      <c r="B101" s="830" t="s">
        <v>1165</v>
      </c>
      <c r="C101" s="831" t="e">
        <f ca="1">C100/$C$100</f>
        <v>#DIV/0!</v>
      </c>
      <c r="D101" s="832" t="e">
        <f>D100/$D$100</f>
        <v>#DIV/0!</v>
      </c>
      <c r="E101" s="50"/>
      <c r="F101" s="50"/>
      <c r="G101" s="833" t="s">
        <v>868</v>
      </c>
      <c r="H101" s="834" t="s">
        <v>1165</v>
      </c>
      <c r="I101" s="835" t="e">
        <f>I103+I107+I109+I114</f>
        <v>#N/A</v>
      </c>
      <c r="J101" s="836" t="e">
        <f>J103+J107+J109+J114</f>
        <v>#DIV/0!</v>
      </c>
      <c r="K101" s="835" t="e">
        <f>K103+K107+K109+K114</f>
        <v>#N/A</v>
      </c>
      <c r="L101" s="836" t="e">
        <f>L103+L107+L109+L114</f>
        <v>#DIV/0!</v>
      </c>
      <c r="M101" s="835" t="e">
        <f>M103+M107+M109+M114</f>
        <v>#N/A</v>
      </c>
      <c r="N101" s="836" t="e">
        <f>N103+N107+N109+N114</f>
        <v>#DIV/0!</v>
      </c>
      <c r="O101" s="835" t="e">
        <f>O103+O107+O109+O114</f>
        <v>#N/A</v>
      </c>
      <c r="P101" s="836" t="e">
        <f>P103+P107+P109+P114</f>
        <v>#DIV/0!</v>
      </c>
      <c r="Q101" s="835" t="e">
        <f>Q103+Q107+Q109+Q114</f>
        <v>#N/A</v>
      </c>
      <c r="R101" s="836" t="e">
        <f>R103+R107+R109+R114</f>
        <v>#DIV/0!</v>
      </c>
      <c r="S101" s="835" t="e">
        <f>S103+S107+S109+S114</f>
        <v>#N/A</v>
      </c>
      <c r="T101" s="836" t="e">
        <f>T103+T107+T109+T114</f>
        <v>#DIV/0!</v>
      </c>
      <c r="U101" s="835" t="e">
        <f>U103+U107+U109+U114</f>
        <v>#N/A</v>
      </c>
      <c r="V101" s="836" t="e">
        <f>V103+V107+V109+V114</f>
        <v>#DIV/0!</v>
      </c>
      <c r="W101" s="835" t="e">
        <f>W103+W107+W109+W114</f>
        <v>#N/A</v>
      </c>
      <c r="X101" s="836" t="e">
        <f>X103+X107+X109+X114</f>
        <v>#DIV/0!</v>
      </c>
      <c r="Y101" s="835" t="e">
        <f>Y103+Y107+Y109+Y114</f>
        <v>#N/A</v>
      </c>
      <c r="Z101" s="836" t="e">
        <f>Z103+Z107+Z109+Z114</f>
        <v>#DIV/0!</v>
      </c>
      <c r="AA101" s="835" t="e">
        <f>AA103+AA107+AA109+AA114</f>
        <v>#N/A</v>
      </c>
      <c r="AB101" s="836" t="e">
        <f>AB103+AB107+AB109+AB114</f>
        <v>#DIV/0!</v>
      </c>
      <c r="AC101" s="835" t="e">
        <f>AC103+AC107+AC109+AC114</f>
        <v>#N/A</v>
      </c>
      <c r="AD101" s="836" t="e">
        <f>AD103+AD107+AD109+AD114</f>
        <v>#DIV/0!</v>
      </c>
      <c r="AE101" s="580"/>
      <c r="AF101" s="837"/>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row>
    <row r="102" spans="1:67" ht="21" customHeight="1" x14ac:dyDescent="0.25">
      <c r="A102" s="838" t="s">
        <v>1210</v>
      </c>
      <c r="B102" s="839" t="s">
        <v>837</v>
      </c>
      <c r="C102" s="840">
        <f>SUM('Система электроснабжения'!B18:B23)</f>
        <v>0</v>
      </c>
      <c r="D102" s="841">
        <f>'Ввод исходных данных'!Z265*1000</f>
        <v>0</v>
      </c>
      <c r="E102" s="50"/>
      <c r="F102" s="50"/>
      <c r="G102" s="842" t="s">
        <v>1210</v>
      </c>
      <c r="H102" s="843" t="s">
        <v>837</v>
      </c>
      <c r="I102" s="844">
        <f>$C$102/12</f>
        <v>0</v>
      </c>
      <c r="J102" s="837">
        <f>'Ввод исходных данных'!$Z$253*1000</f>
        <v>0</v>
      </c>
      <c r="K102" s="844">
        <f>$C$102/12</f>
        <v>0</v>
      </c>
      <c r="L102" s="837">
        <f>'Ввод исходных данных'!$Z$254*1000</f>
        <v>0</v>
      </c>
      <c r="M102" s="844">
        <f>$C$102/12</f>
        <v>0</v>
      </c>
      <c r="N102" s="837">
        <f>'Ввод исходных данных'!$Z$255*1000</f>
        <v>0</v>
      </c>
      <c r="O102" s="844">
        <f>$C$102/12</f>
        <v>0</v>
      </c>
      <c r="P102" s="837">
        <f>'Ввод исходных данных'!$Z$256*1000</f>
        <v>0</v>
      </c>
      <c r="Q102" s="844">
        <f>$C$102/12</f>
        <v>0</v>
      </c>
      <c r="R102" s="837">
        <f>'Ввод исходных данных'!$Z$257*1000</f>
        <v>0</v>
      </c>
      <c r="S102" s="844">
        <f>$C$102/12</f>
        <v>0</v>
      </c>
      <c r="T102" s="837">
        <f>'Ввод исходных данных'!$Z$258*1000</f>
        <v>0</v>
      </c>
      <c r="U102" s="844">
        <f>$C$102/12</f>
        <v>0</v>
      </c>
      <c r="V102" s="837">
        <f>'Ввод исходных данных'!$Z$259*1000</f>
        <v>0</v>
      </c>
      <c r="W102" s="844">
        <f>$C$102/12</f>
        <v>0</v>
      </c>
      <c r="X102" s="837">
        <f>'Ввод исходных данных'!$Z$260*1000</f>
        <v>0</v>
      </c>
      <c r="Y102" s="844">
        <f>$C$102/12</f>
        <v>0</v>
      </c>
      <c r="Z102" s="837">
        <f>'Ввод исходных данных'!$Z$261*1000</f>
        <v>0</v>
      </c>
      <c r="AA102" s="844">
        <f>$C$102/12</f>
        <v>0</v>
      </c>
      <c r="AB102" s="837">
        <f>'Ввод исходных данных'!$Z$262*1000</f>
        <v>0</v>
      </c>
      <c r="AC102" s="844">
        <f>$C$102/12</f>
        <v>0</v>
      </c>
      <c r="AD102" s="837">
        <f>'Ввод исходных данных'!$Z$263*1000</f>
        <v>0</v>
      </c>
      <c r="AE102" s="844">
        <f>$C$102/12</f>
        <v>0</v>
      </c>
      <c r="AF102" s="837">
        <f>'Ввод исходных данных'!$Z$264*1000</f>
        <v>0</v>
      </c>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row>
    <row r="103" spans="1:67" x14ac:dyDescent="0.25">
      <c r="A103" s="320" t="s">
        <v>868</v>
      </c>
      <c r="B103" s="839" t="s">
        <v>1165</v>
      </c>
      <c r="C103" s="845" t="e">
        <f ca="1">C102/$C$100</f>
        <v>#DIV/0!</v>
      </c>
      <c r="D103" s="846" t="e">
        <f>D102/$D$100</f>
        <v>#DIV/0!</v>
      </c>
      <c r="E103" s="50"/>
      <c r="F103" s="50"/>
      <c r="G103" s="501" t="s">
        <v>868</v>
      </c>
      <c r="H103" s="843" t="s">
        <v>1165</v>
      </c>
      <c r="I103" s="844" t="e">
        <f t="shared" ref="I103:AF103" si="33">(I102/I100)*100</f>
        <v>#N/A</v>
      </c>
      <c r="J103" s="847" t="e">
        <f t="shared" si="33"/>
        <v>#DIV/0!</v>
      </c>
      <c r="K103" s="848" t="e">
        <f t="shared" si="33"/>
        <v>#N/A</v>
      </c>
      <c r="L103" s="849" t="e">
        <f t="shared" si="33"/>
        <v>#DIV/0!</v>
      </c>
      <c r="M103" s="848" t="e">
        <f t="shared" si="33"/>
        <v>#N/A</v>
      </c>
      <c r="N103" s="849" t="e">
        <f t="shared" si="33"/>
        <v>#DIV/0!</v>
      </c>
      <c r="O103" s="848" t="e">
        <f t="shared" si="33"/>
        <v>#N/A</v>
      </c>
      <c r="P103" s="849" t="e">
        <f t="shared" si="33"/>
        <v>#DIV/0!</v>
      </c>
      <c r="Q103" s="848" t="e">
        <f t="shared" si="33"/>
        <v>#N/A</v>
      </c>
      <c r="R103" s="849" t="e">
        <f t="shared" si="33"/>
        <v>#DIV/0!</v>
      </c>
      <c r="S103" s="848" t="e">
        <f t="shared" si="33"/>
        <v>#N/A</v>
      </c>
      <c r="T103" s="849" t="e">
        <f t="shared" si="33"/>
        <v>#DIV/0!</v>
      </c>
      <c r="U103" s="848" t="e">
        <f t="shared" si="33"/>
        <v>#N/A</v>
      </c>
      <c r="V103" s="849" t="e">
        <f t="shared" si="33"/>
        <v>#DIV/0!</v>
      </c>
      <c r="W103" s="848" t="e">
        <f t="shared" si="33"/>
        <v>#N/A</v>
      </c>
      <c r="X103" s="849" t="e">
        <f t="shared" si="33"/>
        <v>#DIV/0!</v>
      </c>
      <c r="Y103" s="848" t="e">
        <f t="shared" si="33"/>
        <v>#N/A</v>
      </c>
      <c r="Z103" s="849" t="e">
        <f t="shared" si="33"/>
        <v>#DIV/0!</v>
      </c>
      <c r="AA103" s="848" t="e">
        <f t="shared" si="33"/>
        <v>#N/A</v>
      </c>
      <c r="AB103" s="849" t="e">
        <f t="shared" si="33"/>
        <v>#DIV/0!</v>
      </c>
      <c r="AC103" s="848" t="e">
        <f t="shared" si="33"/>
        <v>#N/A</v>
      </c>
      <c r="AD103" s="849" t="e">
        <f t="shared" si="33"/>
        <v>#DIV/0!</v>
      </c>
      <c r="AE103" s="848" t="e">
        <f t="shared" si="33"/>
        <v>#N/A</v>
      </c>
      <c r="AF103" s="849" t="e">
        <f t="shared" si="33"/>
        <v>#DIV/0!</v>
      </c>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row>
    <row r="104" spans="1:67" x14ac:dyDescent="0.25">
      <c r="A104" s="320" t="s">
        <v>2434</v>
      </c>
      <c r="B104" s="839" t="s">
        <v>837</v>
      </c>
      <c r="C104" s="851">
        <f>(списки!C65*'Ввод исходных данных'!D151*'Ввод исходных данных'!F151+списки!C66*'Ввод исходных данных'!D152*'Ввод исходных данных'!F152+списки!C67*'Ввод исходных данных'!D153*'Ввод исходных данных'!F153+списки!C68*'Ввод исходных данных'!D154*'Ввод исходных данных'!F154+списки!C69*'Ввод исходных данных'!D155*'Ввод исходных данных'!F155)/1000</f>
        <v>0</v>
      </c>
      <c r="D104" s="846">
        <f>IFERROR($D$102*C104/$C$102,0)</f>
        <v>0</v>
      </c>
      <c r="E104" s="50"/>
      <c r="F104" s="50"/>
      <c r="G104" s="501"/>
      <c r="H104" s="843"/>
      <c r="I104" s="844"/>
      <c r="J104" s="1793"/>
      <c r="K104" s="848"/>
      <c r="L104" s="849"/>
      <c r="M104" s="848"/>
      <c r="N104" s="849"/>
      <c r="O104" s="848"/>
      <c r="P104" s="849"/>
      <c r="Q104" s="848"/>
      <c r="R104" s="849"/>
      <c r="S104" s="848"/>
      <c r="T104" s="849"/>
      <c r="U104" s="848"/>
      <c r="V104" s="849"/>
      <c r="W104" s="848"/>
      <c r="X104" s="849"/>
      <c r="Y104" s="848"/>
      <c r="Z104" s="849"/>
      <c r="AA104" s="848"/>
      <c r="AB104" s="849"/>
      <c r="AC104" s="848"/>
      <c r="AD104" s="849"/>
      <c r="AE104" s="848"/>
      <c r="AF104" s="849"/>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row>
    <row r="105" spans="1:67" x14ac:dyDescent="0.25">
      <c r="A105" s="320" t="s">
        <v>2435</v>
      </c>
      <c r="B105" s="839" t="s">
        <v>837</v>
      </c>
      <c r="C105" s="851">
        <f>списки!C70*'Ввод исходных данных'!D156*'Ввод исходных данных'!F156/1000</f>
        <v>0</v>
      </c>
      <c r="D105" s="846">
        <f>IFERROR($D$102*C105/$C$102,0)</f>
        <v>0</v>
      </c>
      <c r="E105" s="50"/>
      <c r="F105" s="50"/>
      <c r="G105" s="501"/>
      <c r="H105" s="843"/>
      <c r="I105" s="844"/>
      <c r="J105" s="1793"/>
      <c r="K105" s="848"/>
      <c r="L105" s="849"/>
      <c r="M105" s="848"/>
      <c r="N105" s="849"/>
      <c r="O105" s="848"/>
      <c r="P105" s="849"/>
      <c r="Q105" s="848"/>
      <c r="R105" s="849"/>
      <c r="S105" s="848"/>
      <c r="T105" s="849"/>
      <c r="U105" s="848"/>
      <c r="V105" s="849"/>
      <c r="W105" s="848"/>
      <c r="X105" s="849"/>
      <c r="Y105" s="848"/>
      <c r="Z105" s="849"/>
      <c r="AA105" s="848"/>
      <c r="AB105" s="849"/>
      <c r="AC105" s="848"/>
      <c r="AD105" s="849"/>
      <c r="AE105" s="848"/>
      <c r="AF105" s="849"/>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row>
    <row r="106" spans="1:67" x14ac:dyDescent="0.25">
      <c r="A106" s="838" t="s">
        <v>1217</v>
      </c>
      <c r="B106" s="839" t="s">
        <v>837</v>
      </c>
      <c r="C106" s="840">
        <f>'Ввод исходных данных'!D161*списки!C72</f>
        <v>0</v>
      </c>
      <c r="D106" s="841">
        <f>'Ввод исходных данных'!AA265*1000</f>
        <v>0</v>
      </c>
      <c r="E106" s="50"/>
      <c r="F106" s="50"/>
      <c r="G106" s="842" t="s">
        <v>1217</v>
      </c>
      <c r="H106" s="843" t="s">
        <v>837</v>
      </c>
      <c r="I106" s="850">
        <f>C106/12</f>
        <v>0</v>
      </c>
      <c r="J106" s="577">
        <f>'Ввод исходных данных'!$AA$253*1000</f>
        <v>0</v>
      </c>
      <c r="K106" s="850">
        <f>I106</f>
        <v>0</v>
      </c>
      <c r="L106" s="577">
        <f>'Ввод исходных данных'!$AA$254*1000</f>
        <v>0</v>
      </c>
      <c r="M106" s="850">
        <f>K106</f>
        <v>0</v>
      </c>
      <c r="N106" s="577">
        <f>'Ввод исходных данных'!$AA$255*1000</f>
        <v>0</v>
      </c>
      <c r="O106" s="850">
        <f>M106</f>
        <v>0</v>
      </c>
      <c r="P106" s="577">
        <f>'Ввод исходных данных'!$AA$256*1000</f>
        <v>0</v>
      </c>
      <c r="Q106" s="850">
        <f>O106</f>
        <v>0</v>
      </c>
      <c r="R106" s="577">
        <f>'Ввод исходных данных'!$AA$257*1000</f>
        <v>0</v>
      </c>
      <c r="S106" s="850">
        <f>Q106</f>
        <v>0</v>
      </c>
      <c r="T106" s="577">
        <f>'Ввод исходных данных'!$AA$258*1000</f>
        <v>0</v>
      </c>
      <c r="U106" s="850">
        <f>S106</f>
        <v>0</v>
      </c>
      <c r="V106" s="577">
        <f>'Ввод исходных данных'!$AA$259*1000</f>
        <v>0</v>
      </c>
      <c r="W106" s="850">
        <f>U106</f>
        <v>0</v>
      </c>
      <c r="X106" s="577">
        <f>'Ввод исходных данных'!$AA$260*1000</f>
        <v>0</v>
      </c>
      <c r="Y106" s="850">
        <f>W106</f>
        <v>0</v>
      </c>
      <c r="Z106" s="577">
        <f>'Ввод исходных данных'!$AA$261*1000</f>
        <v>0</v>
      </c>
      <c r="AA106" s="850">
        <f>Y106</f>
        <v>0</v>
      </c>
      <c r="AB106" s="577">
        <f>'Ввод исходных данных'!$AA$262*1000</f>
        <v>0</v>
      </c>
      <c r="AC106" s="850">
        <f>AA106</f>
        <v>0</v>
      </c>
      <c r="AD106" s="577">
        <f>'Ввод исходных данных'!$AA$263*1000</f>
        <v>0</v>
      </c>
      <c r="AE106" s="850">
        <f>AC106</f>
        <v>0</v>
      </c>
      <c r="AF106" s="577">
        <f>'Ввод исходных данных'!$AA$264*1000</f>
        <v>0</v>
      </c>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row>
    <row r="107" spans="1:67" x14ac:dyDescent="0.25">
      <c r="A107" s="320" t="s">
        <v>868</v>
      </c>
      <c r="B107" s="839" t="s">
        <v>1165</v>
      </c>
      <c r="C107" s="845" t="e">
        <f ca="1">C106/$C$100</f>
        <v>#DIV/0!</v>
      </c>
      <c r="D107" s="846" t="e">
        <f>D106/$D$100</f>
        <v>#DIV/0!</v>
      </c>
      <c r="E107" s="50"/>
      <c r="F107" s="50"/>
      <c r="G107" s="501" t="s">
        <v>868</v>
      </c>
      <c r="H107" s="843" t="s">
        <v>1165</v>
      </c>
      <c r="I107" s="844" t="e">
        <f t="shared" ref="I107:AF107" si="34">(I106/I100)*100</f>
        <v>#N/A</v>
      </c>
      <c r="J107" s="847" t="e">
        <f t="shared" si="34"/>
        <v>#DIV/0!</v>
      </c>
      <c r="K107" s="848" t="e">
        <f t="shared" si="34"/>
        <v>#N/A</v>
      </c>
      <c r="L107" s="849" t="e">
        <f t="shared" si="34"/>
        <v>#DIV/0!</v>
      </c>
      <c r="M107" s="848" t="e">
        <f t="shared" si="34"/>
        <v>#N/A</v>
      </c>
      <c r="N107" s="849" t="e">
        <f t="shared" si="34"/>
        <v>#DIV/0!</v>
      </c>
      <c r="O107" s="848" t="e">
        <f t="shared" si="34"/>
        <v>#N/A</v>
      </c>
      <c r="P107" s="849" t="e">
        <f t="shared" si="34"/>
        <v>#DIV/0!</v>
      </c>
      <c r="Q107" s="848" t="e">
        <f t="shared" si="34"/>
        <v>#N/A</v>
      </c>
      <c r="R107" s="849" t="e">
        <f t="shared" si="34"/>
        <v>#DIV/0!</v>
      </c>
      <c r="S107" s="848" t="e">
        <f t="shared" si="34"/>
        <v>#N/A</v>
      </c>
      <c r="T107" s="849" t="e">
        <f t="shared" si="34"/>
        <v>#DIV/0!</v>
      </c>
      <c r="U107" s="848" t="e">
        <f t="shared" si="34"/>
        <v>#N/A</v>
      </c>
      <c r="V107" s="849" t="e">
        <f t="shared" si="34"/>
        <v>#DIV/0!</v>
      </c>
      <c r="W107" s="848" t="e">
        <f t="shared" si="34"/>
        <v>#N/A</v>
      </c>
      <c r="X107" s="849" t="e">
        <f t="shared" si="34"/>
        <v>#DIV/0!</v>
      </c>
      <c r="Y107" s="848" t="e">
        <f t="shared" si="34"/>
        <v>#N/A</v>
      </c>
      <c r="Z107" s="849" t="e">
        <f t="shared" si="34"/>
        <v>#DIV/0!</v>
      </c>
      <c r="AA107" s="848" t="e">
        <f t="shared" si="34"/>
        <v>#N/A</v>
      </c>
      <c r="AB107" s="849" t="e">
        <f t="shared" si="34"/>
        <v>#DIV/0!</v>
      </c>
      <c r="AC107" s="848" t="e">
        <f t="shared" si="34"/>
        <v>#N/A</v>
      </c>
      <c r="AD107" s="849" t="e">
        <f t="shared" si="34"/>
        <v>#DIV/0!</v>
      </c>
      <c r="AE107" s="848" t="e">
        <f t="shared" si="34"/>
        <v>#N/A</v>
      </c>
      <c r="AF107" s="849" t="e">
        <f t="shared" si="34"/>
        <v>#DIV/0!</v>
      </c>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row>
    <row r="108" spans="1:67" x14ac:dyDescent="0.25">
      <c r="A108" s="838" t="s">
        <v>1219</v>
      </c>
      <c r="B108" s="839" t="s">
        <v>837</v>
      </c>
      <c r="C108" s="840">
        <f ca="1">C110+C111+C112</f>
        <v>0</v>
      </c>
      <c r="D108" s="841">
        <f>'Ввод исходных данных'!AB265*1000</f>
        <v>0</v>
      </c>
      <c r="E108" s="50"/>
      <c r="F108" s="50"/>
      <c r="G108" s="842" t="s">
        <v>1218</v>
      </c>
      <c r="H108" s="843" t="s">
        <v>837</v>
      </c>
      <c r="I108" s="840" t="e">
        <f>I110+I111+I112</f>
        <v>#N/A</v>
      </c>
      <c r="J108" s="837">
        <f>'Ввод исходных данных'!$AB$253*1000</f>
        <v>0</v>
      </c>
      <c r="K108" s="840" t="e">
        <f>K110+K111+K112</f>
        <v>#N/A</v>
      </c>
      <c r="L108" s="837">
        <f>'Ввод исходных данных'!$AB$254*1000</f>
        <v>0</v>
      </c>
      <c r="M108" s="840" t="e">
        <f>M110+M111+M112</f>
        <v>#N/A</v>
      </c>
      <c r="N108" s="837">
        <f>'Ввод исходных данных'!$AB$255*1000</f>
        <v>0</v>
      </c>
      <c r="O108" s="840" t="e">
        <f>O110+O111+O112</f>
        <v>#N/A</v>
      </c>
      <c r="P108" s="837">
        <f>'Ввод исходных данных'!$AB$256*1000</f>
        <v>0</v>
      </c>
      <c r="Q108" s="840" t="e">
        <f>Q110+Q111+Q112</f>
        <v>#N/A</v>
      </c>
      <c r="R108" s="837">
        <f>'Ввод исходных данных'!$AB$257*1000</f>
        <v>0</v>
      </c>
      <c r="S108" s="840" t="e">
        <f>S110+S111+S112</f>
        <v>#N/A</v>
      </c>
      <c r="T108" s="837">
        <f>'Ввод исходных данных'!$AB$258*1000</f>
        <v>0</v>
      </c>
      <c r="U108" s="840" t="e">
        <f>U110+U111+U112</f>
        <v>#N/A</v>
      </c>
      <c r="V108" s="837">
        <f>'Ввод исходных данных'!$AB$259*1000</f>
        <v>0</v>
      </c>
      <c r="W108" s="840" t="e">
        <f>W110+W111+W112</f>
        <v>#N/A</v>
      </c>
      <c r="X108" s="837">
        <f>'Ввод исходных данных'!$AB$260*1000</f>
        <v>0</v>
      </c>
      <c r="Y108" s="840" t="e">
        <f>Y110+Y111+Y112</f>
        <v>#N/A</v>
      </c>
      <c r="Z108" s="837">
        <f>'Ввод исходных данных'!$AB$261*1000</f>
        <v>0</v>
      </c>
      <c r="AA108" s="840" t="e">
        <f>AA110+AA111+AA112</f>
        <v>#N/A</v>
      </c>
      <c r="AB108" s="837">
        <f>'Ввод исходных данных'!$AB$262*1000</f>
        <v>0</v>
      </c>
      <c r="AC108" s="840" t="e">
        <f>AC110+AC111+AC112</f>
        <v>#N/A</v>
      </c>
      <c r="AD108" s="837">
        <f>'Ввод исходных данных'!$AB$263*1000</f>
        <v>0</v>
      </c>
      <c r="AE108" s="850" t="e">
        <f>'Ввод исходных данных'!$D$167*'Расчет базового уровня'!$R$148*24+'Ввод исходных данных'!$D$171*'Расчет базового уровня'!$R$172*24+'Ввод исходных данных'!$D$175*'Расчет базового уровня'!$R$167*24</f>
        <v>#N/A</v>
      </c>
      <c r="AF108" s="837">
        <f>'Ввод исходных данных'!$AB$264*1000</f>
        <v>0</v>
      </c>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row>
    <row r="109" spans="1:67" ht="23.25" customHeight="1" x14ac:dyDescent="0.25">
      <c r="A109" s="320" t="s">
        <v>868</v>
      </c>
      <c r="B109" s="839" t="s">
        <v>1165</v>
      </c>
      <c r="C109" s="845" t="e">
        <f ca="1">C108/$C$100</f>
        <v>#DIV/0!</v>
      </c>
      <c r="D109" s="846" t="e">
        <f>D108/$D$100</f>
        <v>#DIV/0!</v>
      </c>
      <c r="E109" s="50"/>
      <c r="F109" s="50"/>
      <c r="G109" s="501" t="s">
        <v>868</v>
      </c>
      <c r="H109" s="843" t="s">
        <v>1165</v>
      </c>
      <c r="I109" s="848" t="e">
        <f t="shared" ref="I109:AF109" si="35">(I108/I100)*100</f>
        <v>#N/A</v>
      </c>
      <c r="J109" s="849" t="e">
        <f t="shared" si="35"/>
        <v>#DIV/0!</v>
      </c>
      <c r="K109" s="848" t="e">
        <f t="shared" si="35"/>
        <v>#N/A</v>
      </c>
      <c r="L109" s="849" t="e">
        <f t="shared" si="35"/>
        <v>#DIV/0!</v>
      </c>
      <c r="M109" s="848" t="e">
        <f t="shared" si="35"/>
        <v>#N/A</v>
      </c>
      <c r="N109" s="849" t="e">
        <f t="shared" si="35"/>
        <v>#DIV/0!</v>
      </c>
      <c r="O109" s="848" t="e">
        <f t="shared" si="35"/>
        <v>#N/A</v>
      </c>
      <c r="P109" s="849" t="e">
        <f t="shared" si="35"/>
        <v>#DIV/0!</v>
      </c>
      <c r="Q109" s="848" t="e">
        <f t="shared" si="35"/>
        <v>#N/A</v>
      </c>
      <c r="R109" s="849" t="e">
        <f t="shared" si="35"/>
        <v>#DIV/0!</v>
      </c>
      <c r="S109" s="848" t="e">
        <f t="shared" si="35"/>
        <v>#N/A</v>
      </c>
      <c r="T109" s="849" t="e">
        <f t="shared" si="35"/>
        <v>#DIV/0!</v>
      </c>
      <c r="U109" s="848" t="e">
        <f t="shared" si="35"/>
        <v>#N/A</v>
      </c>
      <c r="V109" s="849" t="e">
        <f t="shared" si="35"/>
        <v>#DIV/0!</v>
      </c>
      <c r="W109" s="848" t="e">
        <f t="shared" si="35"/>
        <v>#N/A</v>
      </c>
      <c r="X109" s="849" t="e">
        <f t="shared" si="35"/>
        <v>#DIV/0!</v>
      </c>
      <c r="Y109" s="848" t="e">
        <f t="shared" si="35"/>
        <v>#N/A</v>
      </c>
      <c r="Z109" s="849" t="e">
        <f t="shared" si="35"/>
        <v>#DIV/0!</v>
      </c>
      <c r="AA109" s="848" t="e">
        <f t="shared" si="35"/>
        <v>#N/A</v>
      </c>
      <c r="AB109" s="849" t="e">
        <f t="shared" si="35"/>
        <v>#DIV/0!</v>
      </c>
      <c r="AC109" s="848" t="e">
        <f t="shared" si="35"/>
        <v>#N/A</v>
      </c>
      <c r="AD109" s="849" t="e">
        <f t="shared" si="35"/>
        <v>#DIV/0!</v>
      </c>
      <c r="AE109" s="848" t="e">
        <f t="shared" si="35"/>
        <v>#N/A</v>
      </c>
      <c r="AF109" s="849" t="e">
        <f t="shared" si="35"/>
        <v>#DIV/0!</v>
      </c>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row>
    <row r="110" spans="1:67" ht="13.5" customHeight="1" x14ac:dyDescent="0.25">
      <c r="A110" s="320" t="s">
        <v>1312</v>
      </c>
      <c r="B110" s="839" t="s">
        <v>837</v>
      </c>
      <c r="C110" s="851">
        <f ca="1">'Ввод исходных данных'!D167*списки!C73</f>
        <v>0</v>
      </c>
      <c r="D110" s="852">
        <f>'Ввод исходных данных'!AC265*1000</f>
        <v>0</v>
      </c>
      <c r="E110" s="381"/>
      <c r="F110" s="50"/>
      <c r="G110" s="320" t="s">
        <v>1312</v>
      </c>
      <c r="H110" s="839" t="s">
        <v>837</v>
      </c>
      <c r="I110" s="848" t="e">
        <f>'Ввод исходных данных'!$D$167*'Расчет базового уровня'!$G$148*24</f>
        <v>#N/A</v>
      </c>
      <c r="J110" s="849"/>
      <c r="K110" s="848" t="e">
        <f>'Ввод исходных данных'!$D$167*'Расчет базового уровня'!$H$148*24</f>
        <v>#N/A</v>
      </c>
      <c r="L110" s="849"/>
      <c r="M110" s="848" t="e">
        <f>'Ввод исходных данных'!$D$167*'Расчет базового уровня'!$I$148*24</f>
        <v>#N/A</v>
      </c>
      <c r="N110" s="849"/>
      <c r="O110" s="850" t="e">
        <f>'Ввод исходных данных'!$D$167*'Расчет базового уровня'!$J$148*24</f>
        <v>#N/A</v>
      </c>
      <c r="P110" s="849"/>
      <c r="Q110" s="850" t="e">
        <f>'Ввод исходных данных'!$D$167*'Расчет базового уровня'!$K$148*24</f>
        <v>#N/A</v>
      </c>
      <c r="R110" s="849"/>
      <c r="S110" s="850" t="e">
        <f>'Ввод исходных данных'!$D$167*'Расчет базового уровня'!$L$148*24</f>
        <v>#N/A</v>
      </c>
      <c r="T110" s="849"/>
      <c r="U110" s="850" t="e">
        <f>'Ввод исходных данных'!$D$167*'Расчет базового уровня'!$M$148*24</f>
        <v>#N/A</v>
      </c>
      <c r="V110" s="849"/>
      <c r="W110" s="850" t="e">
        <f>'Ввод исходных данных'!$D$167*'Расчет базового уровня'!$N$148*24</f>
        <v>#N/A</v>
      </c>
      <c r="X110" s="849"/>
      <c r="Y110" s="850" t="e">
        <f>'Ввод исходных данных'!$D$167*'Расчет базового уровня'!$O$148*24</f>
        <v>#N/A</v>
      </c>
      <c r="Z110" s="849"/>
      <c r="AA110" s="850" t="e">
        <f>'Ввод исходных данных'!$D$167*'Расчет базового уровня'!$P$148*24</f>
        <v>#N/A</v>
      </c>
      <c r="AB110" s="849"/>
      <c r="AC110" s="850" t="e">
        <f>'Ввод исходных данных'!$D$167*'Расчет базового уровня'!$Q$148*24</f>
        <v>#N/A</v>
      </c>
      <c r="AD110" s="849"/>
      <c r="AE110" s="848" t="e">
        <f>'Ввод исходных данных'!$D$167*'Расчет базового уровня'!$R$148*24</f>
        <v>#N/A</v>
      </c>
      <c r="AF110" s="849"/>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row>
    <row r="111" spans="1:67" ht="13.5" customHeight="1" x14ac:dyDescent="0.25">
      <c r="A111" s="320" t="s">
        <v>1362</v>
      </c>
      <c r="B111" s="839" t="s">
        <v>837</v>
      </c>
      <c r="C111" s="851">
        <f>'Ввод исходных данных'!D171*списки!C74</f>
        <v>0</v>
      </c>
      <c r="D111" s="852">
        <f>'Ввод исходных данных'!AD265*1000</f>
        <v>0</v>
      </c>
      <c r="E111" s="50"/>
      <c r="F111" s="50"/>
      <c r="G111" s="320" t="s">
        <v>1362</v>
      </c>
      <c r="H111" s="839" t="s">
        <v>837</v>
      </c>
      <c r="I111" s="848">
        <f>'Ввод исходных данных'!$D$171*'Расчет базового уровня'!$G$172*24</f>
        <v>0</v>
      </c>
      <c r="J111" s="849"/>
      <c r="K111" s="848">
        <f>'Ввод исходных данных'!$D$171*'Расчет базового уровня'!$H$172*24</f>
        <v>0</v>
      </c>
      <c r="L111" s="849"/>
      <c r="M111" s="848">
        <f>'Ввод исходных данных'!$D$171*'Расчет базового уровня'!$I$172*24</f>
        <v>0</v>
      </c>
      <c r="N111" s="849"/>
      <c r="O111" s="850">
        <f>'Ввод исходных данных'!$D$171*'Расчет базового уровня'!$J$172*24</f>
        <v>0</v>
      </c>
      <c r="P111" s="849"/>
      <c r="Q111" s="850">
        <f>'Ввод исходных данных'!$D$171*'Расчет базового уровня'!$K$172*24</f>
        <v>0</v>
      </c>
      <c r="R111" s="849"/>
      <c r="S111" s="850">
        <f>'Ввод исходных данных'!$D$171*'Расчет базового уровня'!$L$172*24</f>
        <v>0</v>
      </c>
      <c r="T111" s="849"/>
      <c r="U111" s="850">
        <f>'Ввод исходных данных'!$D$171*'Расчет базового уровня'!$M$172*24</f>
        <v>0</v>
      </c>
      <c r="V111" s="849"/>
      <c r="W111" s="850">
        <f>'Ввод исходных данных'!$D$171*'Расчет базового уровня'!$N$172*24</f>
        <v>0</v>
      </c>
      <c r="X111" s="849"/>
      <c r="Y111" s="850">
        <f>'Ввод исходных данных'!$D$171*'Расчет базового уровня'!$O$172*24</f>
        <v>0</v>
      </c>
      <c r="Z111" s="849"/>
      <c r="AA111" s="850">
        <f>'Ввод исходных данных'!$D$171*'Расчет базового уровня'!$P$172*24</f>
        <v>0</v>
      </c>
      <c r="AB111" s="849"/>
      <c r="AC111" s="850">
        <f>'Ввод исходных данных'!$D$171*'Расчет базового уровня'!$Q$172*24</f>
        <v>0</v>
      </c>
      <c r="AD111" s="849"/>
      <c r="AE111" s="848">
        <f>'Ввод исходных данных'!$D$171*'Расчет базового уровня'!$R$172*24</f>
        <v>0</v>
      </c>
      <c r="AF111" s="849"/>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row>
    <row r="112" spans="1:67" ht="13.5" customHeight="1" x14ac:dyDescent="0.25">
      <c r="A112" s="320" t="s">
        <v>1363</v>
      </c>
      <c r="B112" s="839" t="s">
        <v>837</v>
      </c>
      <c r="C112" s="851">
        <f>'Ввод исходных данных'!D175*списки!C75</f>
        <v>0</v>
      </c>
      <c r="D112" s="852">
        <f>'Ввод исходных данных'!AE265*1000</f>
        <v>0</v>
      </c>
      <c r="E112" s="50"/>
      <c r="F112" s="50"/>
      <c r="G112" s="320" t="s">
        <v>1363</v>
      </c>
      <c r="H112" s="839" t="s">
        <v>837</v>
      </c>
      <c r="I112" s="848">
        <f>'Ввод исходных данных'!$D$175*'Расчет базового уровня'!$G$167*24</f>
        <v>0</v>
      </c>
      <c r="J112" s="849"/>
      <c r="K112" s="848">
        <f>'Ввод исходных данных'!$D$175*'Расчет базового уровня'!$H$167*24</f>
        <v>0</v>
      </c>
      <c r="L112" s="849"/>
      <c r="M112" s="848">
        <f>'Ввод исходных данных'!$D$175*'Расчет базового уровня'!$I$167*24</f>
        <v>0</v>
      </c>
      <c r="N112" s="849"/>
      <c r="O112" s="850">
        <f>'Ввод исходных данных'!$D$175*'Расчет базового уровня'!$J$167*24</f>
        <v>0</v>
      </c>
      <c r="P112" s="849"/>
      <c r="Q112" s="850">
        <f>'Ввод исходных данных'!$D$175*'Расчет базового уровня'!$K$167*24</f>
        <v>0</v>
      </c>
      <c r="R112" s="849"/>
      <c r="S112" s="850">
        <f>'Ввод исходных данных'!$D$175*'Расчет базового уровня'!$L$167*24</f>
        <v>0</v>
      </c>
      <c r="T112" s="849"/>
      <c r="U112" s="850">
        <f>'Ввод исходных данных'!$D$175*'Расчет базового уровня'!$M$167*24</f>
        <v>0</v>
      </c>
      <c r="V112" s="849"/>
      <c r="W112" s="850">
        <f>'Ввод исходных данных'!$D$175*'Расчет базового уровня'!$N$167*24</f>
        <v>0</v>
      </c>
      <c r="X112" s="849"/>
      <c r="Y112" s="850">
        <f>'Ввод исходных данных'!$D$175*'Расчет базового уровня'!$O$167*24</f>
        <v>0</v>
      </c>
      <c r="Z112" s="849"/>
      <c r="AA112" s="850">
        <f>'Ввод исходных данных'!$D$175*'Расчет базового уровня'!$P$167*24</f>
        <v>0</v>
      </c>
      <c r="AB112" s="849"/>
      <c r="AC112" s="850">
        <f>'Ввод исходных данных'!$D$175*'Расчет базового уровня'!$Q$167*24</f>
        <v>0</v>
      </c>
      <c r="AD112" s="849"/>
      <c r="AE112" s="848">
        <f>'Ввод исходных данных'!$D$175*'Расчет базового уровня'!$R$167*24</f>
        <v>0</v>
      </c>
      <c r="AF112" s="849"/>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row>
    <row r="113" spans="1:67" ht="25.5" customHeight="1" x14ac:dyDescent="0.25">
      <c r="A113" s="838" t="s">
        <v>1211</v>
      </c>
      <c r="B113" s="839" t="s">
        <v>837</v>
      </c>
      <c r="C113" s="840">
        <f>'Ввод исходных данных'!$D$179*'Ввод исходных данных'!$D$180</f>
        <v>0</v>
      </c>
      <c r="D113" s="841">
        <f>'Ввод исходных данных'!AF265*1000</f>
        <v>0</v>
      </c>
      <c r="E113" s="50"/>
      <c r="F113" s="50"/>
      <c r="G113" s="842" t="s">
        <v>1211</v>
      </c>
      <c r="H113" s="843" t="s">
        <v>837</v>
      </c>
      <c r="I113" s="580">
        <f>$C$113/12</f>
        <v>0</v>
      </c>
      <c r="J113" s="837">
        <f>'Ввод исходных данных'!$AF$253*1000</f>
        <v>0</v>
      </c>
      <c r="K113" s="580">
        <f>$C$113/12</f>
        <v>0</v>
      </c>
      <c r="L113" s="837">
        <f>'Ввод исходных данных'!$AF$254*1000</f>
        <v>0</v>
      </c>
      <c r="M113" s="580">
        <f>$C$113/12</f>
        <v>0</v>
      </c>
      <c r="N113" s="837">
        <f>'Ввод исходных данных'!$AF$255*1000</f>
        <v>0</v>
      </c>
      <c r="O113" s="580">
        <f>$C$113/12</f>
        <v>0</v>
      </c>
      <c r="P113" s="837">
        <f>'Ввод исходных данных'!$AF$256*1000</f>
        <v>0</v>
      </c>
      <c r="Q113" s="580">
        <f>$C$113/12</f>
        <v>0</v>
      </c>
      <c r="R113" s="837">
        <f>'Ввод исходных данных'!$AF$257*1000</f>
        <v>0</v>
      </c>
      <c r="S113" s="580">
        <f>$C$113/12</f>
        <v>0</v>
      </c>
      <c r="T113" s="837">
        <f>'Ввод исходных данных'!$AF$258*1000</f>
        <v>0</v>
      </c>
      <c r="U113" s="580">
        <f>$C$113/12</f>
        <v>0</v>
      </c>
      <c r="V113" s="837">
        <f>'Ввод исходных данных'!$AF$259*1000</f>
        <v>0</v>
      </c>
      <c r="W113" s="580">
        <f>$C$113/12</f>
        <v>0</v>
      </c>
      <c r="X113" s="837">
        <f>'Ввод исходных данных'!$AF$260*1000</f>
        <v>0</v>
      </c>
      <c r="Y113" s="580">
        <f>$C$113/12</f>
        <v>0</v>
      </c>
      <c r="Z113" s="837">
        <f>'Ввод исходных данных'!$AF$261*1000</f>
        <v>0</v>
      </c>
      <c r="AA113" s="580">
        <f>$C$113/12</f>
        <v>0</v>
      </c>
      <c r="AB113" s="837">
        <f>'Ввод исходных данных'!$AF$262*1000</f>
        <v>0</v>
      </c>
      <c r="AC113" s="580">
        <f>$C$113/12</f>
        <v>0</v>
      </c>
      <c r="AD113" s="837">
        <f>'Ввод исходных данных'!$AF$263*1000</f>
        <v>0</v>
      </c>
      <c r="AE113" s="580">
        <f>$C$113/12</f>
        <v>0</v>
      </c>
      <c r="AF113" s="837">
        <f>'Ввод исходных данных'!$AF$264*1000</f>
        <v>0</v>
      </c>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row>
    <row r="114" spans="1:67" ht="18.75" customHeight="1" thickBot="1" x14ac:dyDescent="0.3">
      <c r="A114" s="347" t="s">
        <v>868</v>
      </c>
      <c r="B114" s="560" t="s">
        <v>1165</v>
      </c>
      <c r="C114" s="853" t="e">
        <f ca="1">C113/$C$100</f>
        <v>#DIV/0!</v>
      </c>
      <c r="D114" s="854" t="e">
        <f>D113/$D$100</f>
        <v>#DIV/0!</v>
      </c>
      <c r="E114" s="50"/>
      <c r="F114" s="50"/>
      <c r="G114" s="795" t="s">
        <v>868</v>
      </c>
      <c r="H114" s="855" t="s">
        <v>1165</v>
      </c>
      <c r="I114" s="856" t="e">
        <f t="shared" ref="I114:AB114" si="36">(I113/I100)*100</f>
        <v>#N/A</v>
      </c>
      <c r="J114" s="857" t="e">
        <f t="shared" si="36"/>
        <v>#DIV/0!</v>
      </c>
      <c r="K114" s="856" t="e">
        <f t="shared" si="36"/>
        <v>#N/A</v>
      </c>
      <c r="L114" s="857" t="e">
        <f t="shared" si="36"/>
        <v>#DIV/0!</v>
      </c>
      <c r="M114" s="858" t="e">
        <f t="shared" si="36"/>
        <v>#N/A</v>
      </c>
      <c r="N114" s="841" t="e">
        <f t="shared" si="36"/>
        <v>#DIV/0!</v>
      </c>
      <c r="O114" s="858" t="e">
        <f t="shared" si="36"/>
        <v>#N/A</v>
      </c>
      <c r="P114" s="841" t="e">
        <f t="shared" si="36"/>
        <v>#DIV/0!</v>
      </c>
      <c r="Q114" s="858" t="e">
        <f t="shared" si="36"/>
        <v>#N/A</v>
      </c>
      <c r="R114" s="841" t="e">
        <f t="shared" si="36"/>
        <v>#DIV/0!</v>
      </c>
      <c r="S114" s="858" t="e">
        <f t="shared" si="36"/>
        <v>#N/A</v>
      </c>
      <c r="T114" s="841" t="e">
        <f t="shared" si="36"/>
        <v>#DIV/0!</v>
      </c>
      <c r="U114" s="856" t="e">
        <f t="shared" si="36"/>
        <v>#N/A</v>
      </c>
      <c r="V114" s="857" t="e">
        <f t="shared" si="36"/>
        <v>#DIV/0!</v>
      </c>
      <c r="W114" s="856" t="e">
        <f t="shared" si="36"/>
        <v>#N/A</v>
      </c>
      <c r="X114" s="857" t="e">
        <f t="shared" si="36"/>
        <v>#DIV/0!</v>
      </c>
      <c r="Y114" s="856" t="e">
        <f t="shared" si="36"/>
        <v>#N/A</v>
      </c>
      <c r="Z114" s="857" t="e">
        <f t="shared" si="36"/>
        <v>#DIV/0!</v>
      </c>
      <c r="AA114" s="856" t="e">
        <f t="shared" si="36"/>
        <v>#N/A</v>
      </c>
      <c r="AB114" s="857" t="e">
        <f t="shared" si="36"/>
        <v>#DIV/0!</v>
      </c>
      <c r="AC114" s="848" t="e">
        <f>(AC113/AC102)*100</f>
        <v>#DIV/0!</v>
      </c>
      <c r="AD114" s="849" t="e">
        <f>(AD113/AD102)*100</f>
        <v>#DIV/0!</v>
      </c>
      <c r="AE114" s="848" t="e">
        <f>(AE113/AE102)*100</f>
        <v>#DIV/0!</v>
      </c>
      <c r="AF114" s="849" t="e">
        <f>(AF113/AF102)*100</f>
        <v>#DIV/0!</v>
      </c>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row>
    <row r="115" spans="1:67" ht="45" customHeight="1" x14ac:dyDescent="0.25">
      <c r="A115" s="786" t="s">
        <v>1212</v>
      </c>
      <c r="B115" s="787" t="s">
        <v>837</v>
      </c>
      <c r="C115" s="620"/>
      <c r="D115" s="500">
        <f ca="1">D100-C100</f>
        <v>0</v>
      </c>
      <c r="E115" s="50"/>
      <c r="F115" s="50"/>
      <c r="G115" s="786" t="s">
        <v>1213</v>
      </c>
      <c r="H115" s="859" t="s">
        <v>837</v>
      </c>
      <c r="I115" s="860"/>
      <c r="J115" s="861" t="e">
        <f>J100-I100</f>
        <v>#N/A</v>
      </c>
      <c r="K115" s="862"/>
      <c r="L115" s="863" t="e">
        <f>L100-K100</f>
        <v>#N/A</v>
      </c>
      <c r="M115" s="864"/>
      <c r="N115" s="865" t="e">
        <f>N100-M100</f>
        <v>#N/A</v>
      </c>
      <c r="O115" s="866"/>
      <c r="P115" s="865" t="e">
        <f>P100-O100</f>
        <v>#N/A</v>
      </c>
      <c r="Q115" s="864"/>
      <c r="R115" s="865" t="e">
        <f>R100-Q100</f>
        <v>#N/A</v>
      </c>
      <c r="S115" s="864"/>
      <c r="T115" s="865" t="e">
        <f>T100-S100</f>
        <v>#N/A</v>
      </c>
      <c r="U115" s="864"/>
      <c r="V115" s="865" t="e">
        <f>V100-U100</f>
        <v>#N/A</v>
      </c>
      <c r="W115" s="864"/>
      <c r="X115" s="865" t="e">
        <f>X100-W100</f>
        <v>#N/A</v>
      </c>
      <c r="Y115" s="864"/>
      <c r="Z115" s="865" t="e">
        <f>Z100-Y100</f>
        <v>#N/A</v>
      </c>
      <c r="AA115" s="864"/>
      <c r="AB115" s="865" t="e">
        <f>AB100-AA100</f>
        <v>#N/A</v>
      </c>
      <c r="AC115" s="864"/>
      <c r="AD115" s="865" t="e">
        <f>AD100-AC100</f>
        <v>#N/A</v>
      </c>
      <c r="AE115" s="864"/>
      <c r="AF115" s="865" t="e">
        <f>AF100-AE100</f>
        <v>#N/A</v>
      </c>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row>
    <row r="116" spans="1:67" ht="15.75" thickBot="1" x14ac:dyDescent="0.3">
      <c r="A116" s="347" t="s">
        <v>868</v>
      </c>
      <c r="B116" s="348" t="s">
        <v>1165</v>
      </c>
      <c r="C116" s="867"/>
      <c r="D116" s="868" t="e">
        <f ca="1">(D115/C100)*100</f>
        <v>#DIV/0!</v>
      </c>
      <c r="E116" s="50"/>
      <c r="F116" s="50"/>
      <c r="G116" s="347" t="s">
        <v>868</v>
      </c>
      <c r="H116" s="869" t="s">
        <v>1165</v>
      </c>
      <c r="I116" s="870"/>
      <c r="J116" s="871" t="e">
        <f>(J115/I100)*100</f>
        <v>#N/A</v>
      </c>
      <c r="K116" s="870"/>
      <c r="L116" s="871" t="e">
        <f>(L115/K100)*100</f>
        <v>#N/A</v>
      </c>
      <c r="M116" s="856"/>
      <c r="N116" s="868" t="e">
        <f>(N115/M100)*100</f>
        <v>#N/A</v>
      </c>
      <c r="O116" s="856"/>
      <c r="P116" s="868" t="e">
        <f>(P115/O100)*100</f>
        <v>#N/A</v>
      </c>
      <c r="Q116" s="856"/>
      <c r="R116" s="868" t="e">
        <f>(R115/Q100)*100</f>
        <v>#N/A</v>
      </c>
      <c r="S116" s="856"/>
      <c r="T116" s="868" t="e">
        <f>(T115/S100)*100</f>
        <v>#N/A</v>
      </c>
      <c r="U116" s="856"/>
      <c r="V116" s="868" t="e">
        <f>(V115/U100)*100</f>
        <v>#N/A</v>
      </c>
      <c r="W116" s="856"/>
      <c r="X116" s="868" t="e">
        <f>(X115/W100)*100</f>
        <v>#N/A</v>
      </c>
      <c r="Y116" s="856"/>
      <c r="Z116" s="868" t="e">
        <f>(Z115/Y100)*100</f>
        <v>#N/A</v>
      </c>
      <c r="AA116" s="856"/>
      <c r="AB116" s="868" t="e">
        <f>(AB115/AA100)*100</f>
        <v>#N/A</v>
      </c>
      <c r="AC116" s="856"/>
      <c r="AD116" s="868" t="e">
        <f>(AD115/AC100)*100</f>
        <v>#N/A</v>
      </c>
      <c r="AE116" s="856"/>
      <c r="AF116" s="868" t="e">
        <f>(AF115/AE100)*100</f>
        <v>#N/A</v>
      </c>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row>
    <row r="117" spans="1:67" ht="24.75" thickBot="1" x14ac:dyDescent="0.3">
      <c r="A117" s="872" t="s">
        <v>1214</v>
      </c>
      <c r="B117" s="873" t="s">
        <v>1174</v>
      </c>
      <c r="C117" s="427" t="e">
        <f ca="1">C100/('Ввод исходных данных'!$G$56++'Ввод исходных данных'!D23)</f>
        <v>#DIV/0!</v>
      </c>
      <c r="D117" s="427" t="e">
        <f>D100/('Ввод исходных данных'!$G$56+'Ввод исходных данных'!D23)</f>
        <v>#DIV/0!</v>
      </c>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row>
    <row r="118" spans="1:67" ht="42" customHeight="1"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row>
    <row r="119" spans="1:67" ht="31.5" customHeight="1"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row>
    <row r="120" spans="1:67"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row>
    <row r="121" spans="1:67"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row>
    <row r="122" spans="1:67"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row>
    <row r="123" spans="1:67"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row>
    <row r="124" spans="1:67"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row>
    <row r="125" spans="1:67"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row>
    <row r="126" spans="1:67"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row>
    <row r="127" spans="1:67"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row>
    <row r="128" spans="1:67"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row>
    <row r="129" spans="1:67"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row>
    <row r="130" spans="1:67"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row>
    <row r="131" spans="1:67" x14ac:dyDescent="0.25">
      <c r="A131" s="50"/>
      <c r="B131" s="50"/>
      <c r="C131" s="50"/>
      <c r="D131" s="431" t="s">
        <v>740</v>
      </c>
      <c r="E131" s="50"/>
      <c r="F131" s="50"/>
      <c r="G131" s="431" t="s">
        <v>535</v>
      </c>
      <c r="H131" s="431" t="s">
        <v>536</v>
      </c>
      <c r="I131" s="431" t="s">
        <v>537</v>
      </c>
      <c r="J131" s="431" t="s">
        <v>538</v>
      </c>
      <c r="K131" s="431" t="s">
        <v>724</v>
      </c>
      <c r="L131" s="431" t="s">
        <v>725</v>
      </c>
      <c r="M131" s="431" t="s">
        <v>720</v>
      </c>
      <c r="N131" s="431" t="s">
        <v>721</v>
      </c>
      <c r="O131" s="431" t="s">
        <v>722</v>
      </c>
      <c r="P131" s="431" t="s">
        <v>727</v>
      </c>
      <c r="Q131" s="431" t="s">
        <v>533</v>
      </c>
      <c r="R131" s="431" t="s">
        <v>534</v>
      </c>
      <c r="S131" s="432"/>
      <c r="T131" s="432"/>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row>
    <row r="132" spans="1:67" x14ac:dyDescent="0.25">
      <c r="A132" s="50"/>
      <c r="B132" s="50"/>
      <c r="C132" s="50"/>
      <c r="D132" s="50"/>
      <c r="E132" s="50"/>
      <c r="F132" s="50"/>
      <c r="G132" s="433">
        <f>R132+4</f>
        <v>32</v>
      </c>
      <c r="H132" s="433">
        <f>G132+4</f>
        <v>36</v>
      </c>
      <c r="I132" s="433">
        <f>H132+4</f>
        <v>40</v>
      </c>
      <c r="J132" s="433">
        <f>I132+4</f>
        <v>44</v>
      </c>
      <c r="K132" s="433">
        <f>J132+4</f>
        <v>48</v>
      </c>
      <c r="L132" s="433">
        <f>K132+4</f>
        <v>52</v>
      </c>
      <c r="M132" s="433">
        <v>8</v>
      </c>
      <c r="N132" s="433">
        <f>M132+4</f>
        <v>12</v>
      </c>
      <c r="O132" s="433">
        <f>N132+4</f>
        <v>16</v>
      </c>
      <c r="P132" s="433">
        <f>O132+4</f>
        <v>20</v>
      </c>
      <c r="Q132" s="433">
        <f>P132+4</f>
        <v>24</v>
      </c>
      <c r="R132" s="433">
        <f>Q132+4</f>
        <v>28</v>
      </c>
      <c r="S132" s="434"/>
      <c r="T132" s="434"/>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row>
    <row r="133" spans="1:67"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row>
    <row r="134" spans="1:67" x14ac:dyDescent="0.25">
      <c r="A134" s="431"/>
      <c r="B134" s="436" t="s">
        <v>443</v>
      </c>
      <c r="C134" s="436" t="s">
        <v>741</v>
      </c>
      <c r="D134" s="436" t="s">
        <v>517</v>
      </c>
      <c r="E134" s="437" t="s">
        <v>528</v>
      </c>
      <c r="F134" s="436"/>
      <c r="G134" s="438" t="s">
        <v>896</v>
      </c>
      <c r="H134" s="438" t="s">
        <v>896</v>
      </c>
      <c r="I134" s="438" t="s">
        <v>896</v>
      </c>
      <c r="J134" s="438" t="s">
        <v>896</v>
      </c>
      <c r="K134" s="438" t="s">
        <v>896</v>
      </c>
      <c r="L134" s="438" t="s">
        <v>896</v>
      </c>
      <c r="M134" s="438" t="s">
        <v>896</v>
      </c>
      <c r="N134" s="438" t="s">
        <v>896</v>
      </c>
      <c r="O134" s="438" t="s">
        <v>896</v>
      </c>
      <c r="P134" s="438" t="s">
        <v>896</v>
      </c>
      <c r="Q134" s="438" t="s">
        <v>896</v>
      </c>
      <c r="R134" s="438" t="s">
        <v>896</v>
      </c>
      <c r="S134" s="50"/>
      <c r="T134" s="50"/>
      <c r="U134" s="50"/>
      <c r="V134" s="50"/>
      <c r="W134" s="50"/>
      <c r="X134" s="50"/>
      <c r="Y134" s="50"/>
      <c r="Z134" s="50"/>
      <c r="AA134" s="50"/>
      <c r="AB134" s="50"/>
      <c r="AC134" s="50"/>
      <c r="AD134" s="50"/>
      <c r="AE134" s="50"/>
      <c r="AF134" s="50"/>
      <c r="AG134" s="50"/>
      <c r="AH134" s="50"/>
    </row>
    <row r="135" spans="1:67" x14ac:dyDescent="0.25">
      <c r="A135" s="431"/>
      <c r="B135" s="436" t="s">
        <v>492</v>
      </c>
      <c r="C135" s="436" t="s">
        <v>516</v>
      </c>
      <c r="D135" s="436"/>
      <c r="E135" s="436" t="s">
        <v>530</v>
      </c>
      <c r="F135" s="440" t="s">
        <v>1522</v>
      </c>
      <c r="G135" s="436" t="s">
        <v>496</v>
      </c>
      <c r="H135" s="436" t="s">
        <v>496</v>
      </c>
      <c r="I135" s="436" t="s">
        <v>496</v>
      </c>
      <c r="J135" s="436" t="s">
        <v>496</v>
      </c>
      <c r="K135" s="436" t="s">
        <v>496</v>
      </c>
      <c r="L135" s="436" t="s">
        <v>496</v>
      </c>
      <c r="M135" s="436" t="s">
        <v>496</v>
      </c>
      <c r="N135" s="436" t="s">
        <v>496</v>
      </c>
      <c r="O135" s="436" t="s">
        <v>496</v>
      </c>
      <c r="P135" s="436" t="s">
        <v>496</v>
      </c>
      <c r="Q135" s="436" t="s">
        <v>496</v>
      </c>
      <c r="R135" s="436" t="s">
        <v>496</v>
      </c>
      <c r="S135" s="50"/>
      <c r="T135" s="50"/>
      <c r="U135" s="50"/>
      <c r="V135" s="50"/>
      <c r="W135" s="50"/>
      <c r="X135" s="50"/>
      <c r="Y135" s="50"/>
      <c r="Z135" s="50"/>
      <c r="AA135" s="50"/>
      <c r="AB135" s="50"/>
      <c r="AC135" s="50"/>
      <c r="AD135" s="50"/>
      <c r="AE135" s="50"/>
      <c r="AF135" s="50"/>
      <c r="AG135" s="50"/>
      <c r="AH135" s="50"/>
    </row>
    <row r="136" spans="1:67" x14ac:dyDescent="0.25">
      <c r="A136" s="442" t="s">
        <v>514</v>
      </c>
      <c r="B136" s="445">
        <f>'Ввод исходных данных'!G62</f>
        <v>0</v>
      </c>
      <c r="C136" s="444" t="e">
        <f>IF('Ввод исходных данных'!D81=0,IF('Ввод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данных'!D81)</f>
        <v>#N/A</v>
      </c>
      <c r="D136" s="443">
        <v>1</v>
      </c>
      <c r="E136" s="445" t="e">
        <f t="shared" ref="E136:E145" si="37">IF(C136=0,0,B136/C136*D136)</f>
        <v>#N/A</v>
      </c>
      <c r="F136" s="446" t="e">
        <f>E136*(20-$D$147)</f>
        <v>#N/A</v>
      </c>
      <c r="G136" s="445" t="e">
        <f t="shared" ref="G136:R136" si="38">$E$136*0.024*G$149</f>
        <v>#N/A</v>
      </c>
      <c r="H136" s="445" t="e">
        <f t="shared" si="38"/>
        <v>#N/A</v>
      </c>
      <c r="I136" s="445" t="e">
        <f t="shared" si="38"/>
        <v>#N/A</v>
      </c>
      <c r="J136" s="445" t="e">
        <f t="shared" si="38"/>
        <v>#N/A</v>
      </c>
      <c r="K136" s="445" t="e">
        <f t="shared" si="38"/>
        <v>#N/A</v>
      </c>
      <c r="L136" s="445" t="e">
        <f t="shared" si="38"/>
        <v>#N/A</v>
      </c>
      <c r="M136" s="445" t="e">
        <f t="shared" si="38"/>
        <v>#N/A</v>
      </c>
      <c r="N136" s="445" t="e">
        <f t="shared" si="38"/>
        <v>#N/A</v>
      </c>
      <c r="O136" s="445" t="e">
        <f t="shared" si="38"/>
        <v>#N/A</v>
      </c>
      <c r="P136" s="445" t="e">
        <f t="shared" si="38"/>
        <v>#N/A</v>
      </c>
      <c r="Q136" s="445" t="e">
        <f t="shared" si="38"/>
        <v>#N/A</v>
      </c>
      <c r="R136" s="445" t="e">
        <f t="shared" si="38"/>
        <v>#N/A</v>
      </c>
      <c r="S136" s="50"/>
      <c r="T136" s="50"/>
      <c r="U136" s="50"/>
      <c r="V136" s="50"/>
      <c r="W136" s="50"/>
      <c r="X136" s="50"/>
      <c r="Y136" s="50"/>
      <c r="Z136" s="50"/>
      <c r="AA136" s="50"/>
      <c r="AB136" s="50"/>
      <c r="AC136" s="50"/>
      <c r="AD136" s="50"/>
      <c r="AE136" s="50"/>
      <c r="AF136" s="50"/>
      <c r="AG136" s="50"/>
      <c r="AH136" s="50"/>
    </row>
    <row r="137" spans="1:67" x14ac:dyDescent="0.25">
      <c r="A137" s="442" t="s">
        <v>611</v>
      </c>
      <c r="B137" s="445">
        <f>'Ввод исходных данных'!G64</f>
        <v>0</v>
      </c>
      <c r="C137" s="1483" t="e">
        <f>IF('Ввод исходных данных'!D82=0,'Ввод исходных данных'!G65*(1-'Ввод исходных данных'!D33/'Ввод исходных данных'!G63)+('Ввод исходных данных'!G65+0.2)*('Ввод исходных данных'!D33/'Ввод исходных данных'!G63),'Ввод исходных данных'!D82)</f>
        <v>#N/A</v>
      </c>
      <c r="D137" s="443">
        <v>1</v>
      </c>
      <c r="E137" s="445" t="e">
        <f t="shared" si="37"/>
        <v>#N/A</v>
      </c>
      <c r="F137" s="446" t="e">
        <f t="shared" ref="F137:F145" si="39">E137*(20-$D$147)</f>
        <v>#N/A</v>
      </c>
      <c r="G137" s="445" t="e">
        <f t="shared" ref="G137:R137" si="40">$E$137*0.024*G$149</f>
        <v>#N/A</v>
      </c>
      <c r="H137" s="445" t="e">
        <f t="shared" si="40"/>
        <v>#N/A</v>
      </c>
      <c r="I137" s="445" t="e">
        <f t="shared" si="40"/>
        <v>#N/A</v>
      </c>
      <c r="J137" s="445" t="e">
        <f t="shared" si="40"/>
        <v>#N/A</v>
      </c>
      <c r="K137" s="445" t="e">
        <f t="shared" si="40"/>
        <v>#N/A</v>
      </c>
      <c r="L137" s="445" t="e">
        <f t="shared" si="40"/>
        <v>#N/A</v>
      </c>
      <c r="M137" s="445" t="e">
        <f t="shared" si="40"/>
        <v>#N/A</v>
      </c>
      <c r="N137" s="445" t="e">
        <f t="shared" si="40"/>
        <v>#N/A</v>
      </c>
      <c r="O137" s="445" t="e">
        <f t="shared" si="40"/>
        <v>#N/A</v>
      </c>
      <c r="P137" s="445" t="e">
        <f t="shared" si="40"/>
        <v>#N/A</v>
      </c>
      <c r="Q137" s="445" t="e">
        <f t="shared" si="40"/>
        <v>#N/A</v>
      </c>
      <c r="R137" s="445" t="e">
        <f t="shared" si="40"/>
        <v>#N/A</v>
      </c>
      <c r="S137" s="50"/>
      <c r="T137" s="50"/>
      <c r="U137" s="50"/>
      <c r="V137" s="50"/>
      <c r="W137" s="50"/>
      <c r="X137" s="50"/>
      <c r="Y137" s="50"/>
      <c r="Z137" s="50"/>
      <c r="AA137" s="50"/>
      <c r="AB137" s="50"/>
      <c r="AC137" s="50"/>
      <c r="AD137" s="50"/>
      <c r="AE137" s="50"/>
      <c r="AF137" s="50"/>
      <c r="AG137" s="50"/>
      <c r="AH137" s="50"/>
    </row>
    <row r="138" spans="1:67" x14ac:dyDescent="0.25">
      <c r="A138" s="442" t="s">
        <v>612</v>
      </c>
      <c r="B138" s="445">
        <f>'Ввод исходных данных'!G67</f>
        <v>0</v>
      </c>
      <c r="C138" s="874" t="e">
        <f>IF('Ввод исходных данных'!D83=0,0.38*(1-'Ввод исходных данных'!$D$34/'Ввод исходных данных'!G66)+0.55*('Ввод исходных данных'!$D$34/'Ввод исходных данных'!G66),'Ввод исходных данных'!D83)</f>
        <v>#DIV/0!</v>
      </c>
      <c r="D138" s="443">
        <v>1</v>
      </c>
      <c r="E138" s="445" t="e">
        <f t="shared" si="37"/>
        <v>#DIV/0!</v>
      </c>
      <c r="F138" s="446" t="e">
        <f t="shared" si="39"/>
        <v>#DIV/0!</v>
      </c>
      <c r="G138" s="445" t="e">
        <f t="shared" ref="G138:R138" si="41">$E$138*0.024*G$149</f>
        <v>#DIV/0!</v>
      </c>
      <c r="H138" s="445" t="e">
        <f t="shared" si="41"/>
        <v>#DIV/0!</v>
      </c>
      <c r="I138" s="445" t="e">
        <f t="shared" si="41"/>
        <v>#DIV/0!</v>
      </c>
      <c r="J138" s="445" t="e">
        <f t="shared" si="41"/>
        <v>#DIV/0!</v>
      </c>
      <c r="K138" s="445" t="e">
        <f t="shared" si="41"/>
        <v>#DIV/0!</v>
      </c>
      <c r="L138" s="445" t="e">
        <f t="shared" si="41"/>
        <v>#DIV/0!</v>
      </c>
      <c r="M138" s="445" t="e">
        <f t="shared" si="41"/>
        <v>#DIV/0!</v>
      </c>
      <c r="N138" s="445" t="e">
        <f t="shared" si="41"/>
        <v>#DIV/0!</v>
      </c>
      <c r="O138" s="445" t="e">
        <f t="shared" si="41"/>
        <v>#DIV/0!</v>
      </c>
      <c r="P138" s="445" t="e">
        <f t="shared" si="41"/>
        <v>#DIV/0!</v>
      </c>
      <c r="Q138" s="445" t="e">
        <f t="shared" si="41"/>
        <v>#DIV/0!</v>
      </c>
      <c r="R138" s="445" t="e">
        <f t="shared" si="41"/>
        <v>#DIV/0!</v>
      </c>
      <c r="S138" s="50"/>
      <c r="T138" s="50"/>
      <c r="U138" s="50"/>
      <c r="V138" s="50"/>
      <c r="W138" s="50"/>
      <c r="X138" s="50"/>
      <c r="Y138" s="50"/>
      <c r="Z138" s="50"/>
      <c r="AA138" s="50"/>
      <c r="AB138" s="50"/>
      <c r="AC138" s="50"/>
      <c r="AD138" s="50"/>
      <c r="AE138" s="50"/>
      <c r="AF138" s="50"/>
      <c r="AG138" s="50"/>
      <c r="AH138" s="50"/>
    </row>
    <row r="139" spans="1:67" x14ac:dyDescent="0.25">
      <c r="A139" s="442" t="s">
        <v>1512</v>
      </c>
      <c r="B139" s="445">
        <f>'Ввод исходных данных'!G70</f>
        <v>0</v>
      </c>
      <c r="C139" s="874">
        <f>IF('Ввод исходных данных'!D84=0,IF(B139=0,0.4,0.4*(1-'Ввод исходных данных'!$D$35/'Ввод исходных данных'!G70)+0.55*('Ввод исходных данных'!$D$35/'Ввод исходных данных'!G70)),'Ввод исходных данных'!D84)</f>
        <v>0.4</v>
      </c>
      <c r="D139" s="443">
        <v>1</v>
      </c>
      <c r="E139" s="445">
        <f t="shared" si="37"/>
        <v>0</v>
      </c>
      <c r="F139" s="446" t="e">
        <f t="shared" si="39"/>
        <v>#N/A</v>
      </c>
      <c r="G139" s="445" t="e">
        <f>$E$139*0.024*G$149</f>
        <v>#N/A</v>
      </c>
      <c r="H139" s="445" t="e">
        <f t="shared" ref="H139:R139" si="42">$E$139*0.024*H$149</f>
        <v>#N/A</v>
      </c>
      <c r="I139" s="445" t="e">
        <f t="shared" si="42"/>
        <v>#N/A</v>
      </c>
      <c r="J139" s="445" t="e">
        <f t="shared" si="42"/>
        <v>#N/A</v>
      </c>
      <c r="K139" s="445" t="e">
        <f t="shared" si="42"/>
        <v>#N/A</v>
      </c>
      <c r="L139" s="445" t="e">
        <f t="shared" si="42"/>
        <v>#N/A</v>
      </c>
      <c r="M139" s="445" t="e">
        <f t="shared" si="42"/>
        <v>#N/A</v>
      </c>
      <c r="N139" s="445" t="e">
        <f t="shared" si="42"/>
        <v>#N/A</v>
      </c>
      <c r="O139" s="445" t="e">
        <f t="shared" si="42"/>
        <v>#N/A</v>
      </c>
      <c r="P139" s="445" t="e">
        <f t="shared" si="42"/>
        <v>#N/A</v>
      </c>
      <c r="Q139" s="445" t="e">
        <f t="shared" si="42"/>
        <v>#N/A</v>
      </c>
      <c r="R139" s="445" t="e">
        <f t="shared" si="42"/>
        <v>#N/A</v>
      </c>
      <c r="S139" s="50"/>
      <c r="T139" s="50"/>
      <c r="U139" s="50"/>
      <c r="V139" s="50"/>
      <c r="W139" s="50"/>
      <c r="X139" s="50"/>
      <c r="Y139" s="50"/>
      <c r="Z139" s="50"/>
      <c r="AA139" s="50"/>
      <c r="AB139" s="50"/>
      <c r="AC139" s="50"/>
      <c r="AD139" s="50"/>
      <c r="AE139" s="50"/>
      <c r="AF139" s="50"/>
      <c r="AG139" s="50"/>
      <c r="AH139" s="50"/>
    </row>
    <row r="140" spans="1:67" x14ac:dyDescent="0.25">
      <c r="A140" s="442" t="s">
        <v>1294</v>
      </c>
      <c r="B140" s="445">
        <f>'Ввод исходных данных'!G71</f>
        <v>0</v>
      </c>
      <c r="C140" s="874" t="e">
        <f>IF('Ввод исходных данных'!D85=0,IF('Ввод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данных'!D85)</f>
        <v>#N/A</v>
      </c>
      <c r="D140" s="443">
        <v>1</v>
      </c>
      <c r="E140" s="445" t="e">
        <f t="shared" si="37"/>
        <v>#N/A</v>
      </c>
      <c r="F140" s="446" t="e">
        <f t="shared" si="39"/>
        <v>#N/A</v>
      </c>
      <c r="G140" s="445" t="e">
        <f t="shared" ref="G140:R140" si="43">$E$140*0.024*G$149</f>
        <v>#N/A</v>
      </c>
      <c r="H140" s="445" t="e">
        <f t="shared" si="43"/>
        <v>#N/A</v>
      </c>
      <c r="I140" s="445" t="e">
        <f t="shared" si="43"/>
        <v>#N/A</v>
      </c>
      <c r="J140" s="445" t="e">
        <f t="shared" si="43"/>
        <v>#N/A</v>
      </c>
      <c r="K140" s="445" t="e">
        <f t="shared" si="43"/>
        <v>#N/A</v>
      </c>
      <c r="L140" s="445" t="e">
        <f t="shared" si="43"/>
        <v>#N/A</v>
      </c>
      <c r="M140" s="445" t="e">
        <f t="shared" si="43"/>
        <v>#N/A</v>
      </c>
      <c r="N140" s="445" t="e">
        <f t="shared" si="43"/>
        <v>#N/A</v>
      </c>
      <c r="O140" s="445" t="e">
        <f t="shared" si="43"/>
        <v>#N/A</v>
      </c>
      <c r="P140" s="445" t="e">
        <f t="shared" si="43"/>
        <v>#N/A</v>
      </c>
      <c r="Q140" s="445" t="e">
        <f t="shared" si="43"/>
        <v>#N/A</v>
      </c>
      <c r="R140" s="445" t="e">
        <f t="shared" si="43"/>
        <v>#N/A</v>
      </c>
      <c r="S140" s="50"/>
      <c r="T140" s="50"/>
      <c r="U140" s="50"/>
      <c r="V140" s="50"/>
      <c r="W140" s="50"/>
      <c r="X140" s="50"/>
      <c r="Y140" s="50"/>
      <c r="Z140" s="50"/>
      <c r="AA140" s="50"/>
      <c r="AB140" s="50"/>
      <c r="AC140" s="50"/>
      <c r="AD140" s="50"/>
      <c r="AE140" s="50"/>
      <c r="AF140" s="50"/>
      <c r="AG140" s="50"/>
      <c r="AH140" s="50"/>
    </row>
    <row r="141" spans="1:67" x14ac:dyDescent="0.25">
      <c r="A141" s="442" t="s">
        <v>1295</v>
      </c>
      <c r="B141" s="445">
        <f>'Ввод исходных данных'!G73</f>
        <v>0</v>
      </c>
      <c r="C141" s="875" t="e">
        <f>IF('Ввод исходных данных'!D85=0,IF('Ввод исходных данных'!D13=списки!Y51,'Серии теплотехника'!C414,IF('Ввод исходных данных'!D13=списки!Y50,'Серии теплотехника'!B414,'Серии теплотехника'!B49))+IF(списки!D36=1,1,0),'Ввод исходных данных'!D85)</f>
        <v>#N/A</v>
      </c>
      <c r="D141" s="876" t="e">
        <f>(20-'Расчет базового уровня'!$D$161)/(20-'Расчет базового уровня'!$D$147)</f>
        <v>#N/A</v>
      </c>
      <c r="E141" s="445" t="e">
        <f t="shared" si="37"/>
        <v>#N/A</v>
      </c>
      <c r="F141" s="446" t="e">
        <f t="shared" si="39"/>
        <v>#N/A</v>
      </c>
      <c r="G141" s="445" t="e">
        <f t="shared" ref="G141:R142" si="44">$E$141*0.024*G$149</f>
        <v>#N/A</v>
      </c>
      <c r="H141" s="445" t="e">
        <f t="shared" si="44"/>
        <v>#N/A</v>
      </c>
      <c r="I141" s="445" t="e">
        <f t="shared" si="44"/>
        <v>#N/A</v>
      </c>
      <c r="J141" s="445" t="e">
        <f t="shared" si="44"/>
        <v>#N/A</v>
      </c>
      <c r="K141" s="445" t="e">
        <f t="shared" si="44"/>
        <v>#N/A</v>
      </c>
      <c r="L141" s="445" t="e">
        <f t="shared" si="44"/>
        <v>#N/A</v>
      </c>
      <c r="M141" s="445" t="e">
        <f t="shared" si="44"/>
        <v>#N/A</v>
      </c>
      <c r="N141" s="445" t="e">
        <f t="shared" si="44"/>
        <v>#N/A</v>
      </c>
      <c r="O141" s="445" t="e">
        <f t="shared" si="44"/>
        <v>#N/A</v>
      </c>
      <c r="P141" s="445" t="e">
        <f t="shared" si="44"/>
        <v>#N/A</v>
      </c>
      <c r="Q141" s="445" t="e">
        <f t="shared" si="44"/>
        <v>#N/A</v>
      </c>
      <c r="R141" s="445" t="e">
        <f t="shared" si="44"/>
        <v>#N/A</v>
      </c>
      <c r="S141" s="50"/>
      <c r="T141" s="50"/>
      <c r="U141" s="50"/>
      <c r="V141" s="50"/>
      <c r="W141" s="50"/>
      <c r="X141" s="50"/>
      <c r="Y141" s="50"/>
      <c r="Z141" s="50"/>
      <c r="AA141" s="50"/>
      <c r="AB141" s="50"/>
      <c r="AC141" s="50"/>
      <c r="AD141" s="50"/>
      <c r="AE141" s="50"/>
      <c r="AF141" s="50"/>
      <c r="AG141" s="50"/>
      <c r="AH141" s="50"/>
    </row>
    <row r="142" spans="1:67" x14ac:dyDescent="0.25">
      <c r="A142" s="442" t="s">
        <v>1296</v>
      </c>
      <c r="B142" s="445">
        <f>'Ввод исходных данных'!G72</f>
        <v>0</v>
      </c>
      <c r="C142" s="875" t="e">
        <f>IF('Ввод исходных данных'!D85=0,IF('Ввод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данных'!D85)</f>
        <v>#N/A</v>
      </c>
      <c r="D142" s="443">
        <v>0.9</v>
      </c>
      <c r="E142" s="445" t="e">
        <f t="shared" si="37"/>
        <v>#N/A</v>
      </c>
      <c r="F142" s="446" t="e">
        <f t="shared" si="39"/>
        <v>#N/A</v>
      </c>
      <c r="G142" s="445" t="e">
        <f t="shared" si="44"/>
        <v>#N/A</v>
      </c>
      <c r="H142" s="445" t="e">
        <f t="shared" si="44"/>
        <v>#N/A</v>
      </c>
      <c r="I142" s="445" t="e">
        <f t="shared" si="44"/>
        <v>#N/A</v>
      </c>
      <c r="J142" s="445" t="e">
        <f t="shared" si="44"/>
        <v>#N/A</v>
      </c>
      <c r="K142" s="445" t="e">
        <f t="shared" si="44"/>
        <v>#N/A</v>
      </c>
      <c r="L142" s="445" t="e">
        <f t="shared" si="44"/>
        <v>#N/A</v>
      </c>
      <c r="M142" s="445" t="e">
        <f t="shared" si="44"/>
        <v>#N/A</v>
      </c>
      <c r="N142" s="445" t="e">
        <f t="shared" si="44"/>
        <v>#N/A</v>
      </c>
      <c r="O142" s="445" t="e">
        <f t="shared" si="44"/>
        <v>#N/A</v>
      </c>
      <c r="P142" s="445" t="e">
        <f t="shared" si="44"/>
        <v>#N/A</v>
      </c>
      <c r="Q142" s="445" t="e">
        <f t="shared" si="44"/>
        <v>#N/A</v>
      </c>
      <c r="R142" s="445" t="e">
        <f t="shared" si="44"/>
        <v>#N/A</v>
      </c>
      <c r="S142" s="50"/>
      <c r="T142" s="50"/>
      <c r="U142" s="50"/>
      <c r="V142" s="50"/>
      <c r="W142" s="50"/>
      <c r="X142" s="50"/>
      <c r="Y142" s="50"/>
      <c r="Z142" s="50"/>
      <c r="AA142" s="50"/>
      <c r="AB142" s="50"/>
      <c r="AC142" s="50"/>
      <c r="AD142" s="50"/>
      <c r="AE142" s="50"/>
      <c r="AF142" s="50"/>
      <c r="AG142" s="50"/>
      <c r="AH142" s="50"/>
    </row>
    <row r="143" spans="1:67" x14ac:dyDescent="0.25">
      <c r="A143" s="442" t="s">
        <v>1297</v>
      </c>
      <c r="B143" s="445">
        <f>'Ввод исходных данных'!G75</f>
        <v>0</v>
      </c>
      <c r="C143" s="444" t="e">
        <f>IF('Ввод исходных данных'!D86=0,'Серии теплотехника'!B51+IF(списки!D37=1,1,0),'Ввод исходных данных'!D86)</f>
        <v>#N/A</v>
      </c>
      <c r="D143" s="443">
        <v>1</v>
      </c>
      <c r="E143" s="445" t="e">
        <f t="shared" si="37"/>
        <v>#N/A</v>
      </c>
      <c r="F143" s="446" t="e">
        <f t="shared" si="39"/>
        <v>#N/A</v>
      </c>
      <c r="G143" s="445" t="e">
        <f t="shared" ref="G143:R143" si="45">$E$143*0.024*G$149</f>
        <v>#N/A</v>
      </c>
      <c r="H143" s="445" t="e">
        <f t="shared" si="45"/>
        <v>#N/A</v>
      </c>
      <c r="I143" s="445" t="e">
        <f t="shared" si="45"/>
        <v>#N/A</v>
      </c>
      <c r="J143" s="445" t="e">
        <f t="shared" si="45"/>
        <v>#N/A</v>
      </c>
      <c r="K143" s="445" t="e">
        <f t="shared" si="45"/>
        <v>#N/A</v>
      </c>
      <c r="L143" s="445" t="e">
        <f t="shared" si="45"/>
        <v>#N/A</v>
      </c>
      <c r="M143" s="445" t="e">
        <f t="shared" si="45"/>
        <v>#N/A</v>
      </c>
      <c r="N143" s="445" t="e">
        <f t="shared" si="45"/>
        <v>#N/A</v>
      </c>
      <c r="O143" s="445" t="e">
        <f t="shared" si="45"/>
        <v>#N/A</v>
      </c>
      <c r="P143" s="445" t="e">
        <f t="shared" si="45"/>
        <v>#N/A</v>
      </c>
      <c r="Q143" s="445" t="e">
        <f t="shared" si="45"/>
        <v>#N/A</v>
      </c>
      <c r="R143" s="445" t="e">
        <f t="shared" si="45"/>
        <v>#N/A</v>
      </c>
      <c r="S143" s="50"/>
      <c r="T143" s="50"/>
      <c r="U143" s="50"/>
      <c r="V143" s="50"/>
      <c r="W143" s="50"/>
      <c r="X143" s="50"/>
      <c r="Y143" s="50"/>
      <c r="Z143" s="50"/>
      <c r="AA143" s="50"/>
      <c r="AB143" s="50"/>
      <c r="AC143" s="50"/>
      <c r="AD143" s="50"/>
      <c r="AE143" s="50"/>
      <c r="AF143" s="50"/>
      <c r="AG143" s="50"/>
      <c r="AH143" s="50"/>
    </row>
    <row r="144" spans="1:67" x14ac:dyDescent="0.25">
      <c r="A144" s="442" t="s">
        <v>1293</v>
      </c>
      <c r="B144" s="445">
        <f>'Ввод исходных данных'!G74</f>
        <v>0</v>
      </c>
      <c r="C144" s="877" t="e">
        <f>IF('Ввод исходных данных'!D85=0,IF('Ввод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данных'!D86)</f>
        <v>#N/A</v>
      </c>
      <c r="D144" s="448" t="e">
        <f>(списки!C56-'Расчет базового уровня'!$D$162)/(списки!C56-'Расчет базового уровня'!$D$147)</f>
        <v>#N/A</v>
      </c>
      <c r="E144" s="445" t="e">
        <f t="shared" si="37"/>
        <v>#N/A</v>
      </c>
      <c r="F144" s="446" t="e">
        <f t="shared" si="39"/>
        <v>#N/A</v>
      </c>
      <c r="G144" s="445" t="e">
        <f>$E$144*0.024*G$149</f>
        <v>#N/A</v>
      </c>
      <c r="H144" s="445" t="e">
        <f>$E$144*0.024*H$149</f>
        <v>#N/A</v>
      </c>
      <c r="I144" s="445" t="e">
        <f t="shared" ref="I144:R144" si="46">$E$144*0.024*I$149</f>
        <v>#N/A</v>
      </c>
      <c r="J144" s="445" t="e">
        <f t="shared" si="46"/>
        <v>#N/A</v>
      </c>
      <c r="K144" s="445" t="e">
        <f t="shared" si="46"/>
        <v>#N/A</v>
      </c>
      <c r="L144" s="445" t="e">
        <f t="shared" si="46"/>
        <v>#N/A</v>
      </c>
      <c r="M144" s="445" t="e">
        <f t="shared" si="46"/>
        <v>#N/A</v>
      </c>
      <c r="N144" s="445" t="e">
        <f t="shared" si="46"/>
        <v>#N/A</v>
      </c>
      <c r="O144" s="445" t="e">
        <f t="shared" si="46"/>
        <v>#N/A</v>
      </c>
      <c r="P144" s="445" t="e">
        <f t="shared" si="46"/>
        <v>#N/A</v>
      </c>
      <c r="Q144" s="445" t="e">
        <f t="shared" si="46"/>
        <v>#N/A</v>
      </c>
      <c r="R144" s="445" t="e">
        <f t="shared" si="46"/>
        <v>#N/A</v>
      </c>
      <c r="S144" s="50"/>
      <c r="T144" s="50"/>
      <c r="U144" s="50"/>
      <c r="V144" s="50"/>
      <c r="W144" s="50"/>
      <c r="X144" s="50"/>
      <c r="Y144" s="50"/>
      <c r="Z144" s="50"/>
      <c r="AA144" s="50"/>
      <c r="AB144" s="50"/>
      <c r="AC144" s="50"/>
      <c r="AD144" s="50"/>
      <c r="AE144" s="50"/>
      <c r="AF144" s="50"/>
      <c r="AG144" s="50"/>
      <c r="AH144" s="50"/>
    </row>
    <row r="145" spans="1:34" x14ac:dyDescent="0.25">
      <c r="A145" s="442" t="s">
        <v>1215</v>
      </c>
      <c r="B145" s="445">
        <f>'Ввод исходных данных'!G77</f>
        <v>0</v>
      </c>
      <c r="C145" s="878">
        <f>IF('Ввод исходных данных'!D87=0,IF(списки!D35=0,0.5,0.95),'Ввод исходных данных'!D87)</f>
        <v>0.5</v>
      </c>
      <c r="D145" s="448">
        <v>1</v>
      </c>
      <c r="E145" s="445">
        <f t="shared" si="37"/>
        <v>0</v>
      </c>
      <c r="F145" s="446" t="e">
        <f t="shared" si="39"/>
        <v>#N/A</v>
      </c>
      <c r="G145" s="445" t="e">
        <f>$E$145*0.024*G$149</f>
        <v>#N/A</v>
      </c>
      <c r="H145" s="445" t="e">
        <f t="shared" ref="H145:R145" si="47">$E$145*0.024*H$149</f>
        <v>#N/A</v>
      </c>
      <c r="I145" s="445" t="e">
        <f t="shared" si="47"/>
        <v>#N/A</v>
      </c>
      <c r="J145" s="445" t="e">
        <f t="shared" si="47"/>
        <v>#N/A</v>
      </c>
      <c r="K145" s="445" t="e">
        <f t="shared" si="47"/>
        <v>#N/A</v>
      </c>
      <c r="L145" s="445" t="e">
        <f t="shared" si="47"/>
        <v>#N/A</v>
      </c>
      <c r="M145" s="445" t="e">
        <f t="shared" si="47"/>
        <v>#N/A</v>
      </c>
      <c r="N145" s="445" t="e">
        <f t="shared" si="47"/>
        <v>#N/A</v>
      </c>
      <c r="O145" s="445" t="e">
        <f t="shared" si="47"/>
        <v>#N/A</v>
      </c>
      <c r="P145" s="445" t="e">
        <f t="shared" si="47"/>
        <v>#N/A</v>
      </c>
      <c r="Q145" s="445" t="e">
        <f t="shared" si="47"/>
        <v>#N/A</v>
      </c>
      <c r="R145" s="445" t="e">
        <f t="shared" si="47"/>
        <v>#N/A</v>
      </c>
      <c r="S145" s="50"/>
      <c r="T145" s="50"/>
      <c r="U145" s="50"/>
      <c r="V145" s="50"/>
      <c r="W145" s="50"/>
      <c r="X145" s="50"/>
      <c r="Y145" s="50"/>
      <c r="Z145" s="50"/>
      <c r="AA145" s="50"/>
      <c r="AB145" s="50"/>
      <c r="AC145" s="50"/>
      <c r="AD145" s="50"/>
      <c r="AE145" s="50"/>
      <c r="AF145" s="50"/>
      <c r="AG145" s="50"/>
      <c r="AH145" s="50"/>
    </row>
    <row r="146" spans="1:34" x14ac:dyDescent="0.25">
      <c r="A146" s="442" t="s">
        <v>515</v>
      </c>
      <c r="B146" s="445">
        <f>SUM(B136:B143)</f>
        <v>0</v>
      </c>
      <c r="C146" s="878"/>
      <c r="D146" s="443"/>
      <c r="E146" s="445" t="e">
        <f>SUM(E136:E145)</f>
        <v>#N/A</v>
      </c>
      <c r="F146" s="1444" t="e">
        <f>E146*(20-$D$147)/1000</f>
        <v>#N/A</v>
      </c>
      <c r="G146" s="445" t="e">
        <f>SUM(G136:G145)</f>
        <v>#N/A</v>
      </c>
      <c r="H146" s="445" t="e">
        <f t="shared" ref="H146:R146" si="48">SUM(H136:H145)</f>
        <v>#N/A</v>
      </c>
      <c r="I146" s="445" t="e">
        <f t="shared" si="48"/>
        <v>#N/A</v>
      </c>
      <c r="J146" s="445" t="e">
        <f t="shared" si="48"/>
        <v>#N/A</v>
      </c>
      <c r="K146" s="445" t="e">
        <f t="shared" si="48"/>
        <v>#N/A</v>
      </c>
      <c r="L146" s="445" t="e">
        <f t="shared" si="48"/>
        <v>#N/A</v>
      </c>
      <c r="M146" s="445" t="e">
        <f t="shared" si="48"/>
        <v>#N/A</v>
      </c>
      <c r="N146" s="445" t="e">
        <f t="shared" si="48"/>
        <v>#N/A</v>
      </c>
      <c r="O146" s="445" t="e">
        <f t="shared" si="48"/>
        <v>#N/A</v>
      </c>
      <c r="P146" s="445" t="e">
        <f t="shared" si="48"/>
        <v>#N/A</v>
      </c>
      <c r="Q146" s="445" t="e">
        <f t="shared" si="48"/>
        <v>#N/A</v>
      </c>
      <c r="R146" s="445" t="e">
        <f t="shared" si="48"/>
        <v>#N/A</v>
      </c>
      <c r="S146" s="50"/>
      <c r="T146" s="50"/>
      <c r="U146" s="50"/>
      <c r="V146" s="50"/>
      <c r="W146" s="50"/>
      <c r="X146" s="50"/>
      <c r="Y146" s="50"/>
      <c r="Z146" s="50"/>
      <c r="AA146" s="50"/>
      <c r="AB146" s="50"/>
      <c r="AC146" s="50"/>
      <c r="AD146" s="50"/>
      <c r="AE146" s="50"/>
      <c r="AF146" s="50"/>
      <c r="AG146" s="50"/>
      <c r="AH146" s="50"/>
    </row>
    <row r="147" spans="1:34" x14ac:dyDescent="0.25">
      <c r="A147" s="50"/>
      <c r="B147" s="450" t="s">
        <v>742</v>
      </c>
      <c r="C147" s="451" t="s">
        <v>747</v>
      </c>
      <c r="D147" s="443" t="e">
        <f>VLOOKUP(CONCATENATE('Ввод исходных данных'!$D$10,'Ввод исходных данных'!$D$11),Климатология!$D$9:$BF$548,4,0)</f>
        <v>#N/A</v>
      </c>
      <c r="E147" s="50"/>
      <c r="F147" s="285"/>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row>
    <row r="148" spans="1:34" x14ac:dyDescent="0.25">
      <c r="A148" s="50"/>
      <c r="B148" s="450" t="s">
        <v>529</v>
      </c>
      <c r="C148" s="451" t="s">
        <v>748</v>
      </c>
      <c r="D148" s="443" t="e">
        <f>VLOOKUP(CONCATENATE('Ввод исходных данных'!$D$10,'Ввод исходных данных'!$D$11),Климатология!$D$9:$BF$548,2,0)</f>
        <v>#N/A</v>
      </c>
      <c r="E148" s="50"/>
      <c r="F148" s="285"/>
      <c r="G148" s="452" t="e">
        <f>VLOOKUP(CONCATENATE('Ввод исходных данных'!$D$10,'Ввод исходных данных'!$D$11),Климатология!$D$9:$BF$548,G132+2,0)</f>
        <v>#N/A</v>
      </c>
      <c r="H148" s="452" t="e">
        <f>VLOOKUP(CONCATENATE('Ввод исходных данных'!$D$10,'Ввод исходных данных'!$D$11),Климатология!$D$9:$BF$548,H132+2,0)</f>
        <v>#N/A</v>
      </c>
      <c r="I148" s="452" t="e">
        <f>VLOOKUP(CONCATENATE('Ввод исходных данных'!$D$10,'Ввод исходных данных'!$D$11),Климатология!$D$9:$BF$548,I132+2,0)</f>
        <v>#N/A</v>
      </c>
      <c r="J148" s="452" t="e">
        <f>VLOOKUP(CONCATENATE('Ввод исходных данных'!$D$10,'Ввод исходных данных'!$D$11),Климатология!$D$9:$BF$548,J132+2,0)</f>
        <v>#N/A</v>
      </c>
      <c r="K148" s="452" t="e">
        <f>VLOOKUP(CONCATENATE('Ввод исходных данных'!$D$10,'Ввод исходных данных'!$D$11),Климатология!$D$9:$BF$548,K132+2,0)</f>
        <v>#N/A</v>
      </c>
      <c r="L148" s="452" t="e">
        <f>VLOOKUP(CONCATENATE('Ввод исходных данных'!$D$10,'Ввод исходных данных'!$D$11),Климатология!$D$9:$BF$548,L132+2,0)</f>
        <v>#N/A</v>
      </c>
      <c r="M148" s="452" t="e">
        <f>VLOOKUP(CONCATENATE('Ввод исходных данных'!$D$10,'Ввод исходных данных'!$D$11),Климатология!$D$9:$BF$548,M132+2,0)</f>
        <v>#N/A</v>
      </c>
      <c r="N148" s="452" t="e">
        <f>VLOOKUP(CONCATENATE('Ввод исходных данных'!$D$10,'Ввод исходных данных'!$D$11),Климатология!$D$9:$BF$548,N132+2,0)</f>
        <v>#N/A</v>
      </c>
      <c r="O148" s="452" t="e">
        <f>VLOOKUP(CONCATENATE('Ввод исходных данных'!$D$10,'Ввод исходных данных'!$D$11),Климатология!$D$9:$BF$548,O132+2,0)</f>
        <v>#N/A</v>
      </c>
      <c r="P148" s="452" t="e">
        <f>VLOOKUP(CONCATENATE('Ввод исходных данных'!$D$10,'Ввод исходных данных'!$D$11),Климатология!$D$9:$BF$548,P132+2,0)</f>
        <v>#N/A</v>
      </c>
      <c r="Q148" s="452" t="e">
        <f>VLOOKUP(CONCATENATE('Ввод исходных данных'!$D$10,'Ввод исходных данных'!$D$11),Климатология!$D$9:$BF$548,Q132+2,0)</f>
        <v>#N/A</v>
      </c>
      <c r="R148" s="452" t="e">
        <f>VLOOKUP(CONCATENATE('Ввод исходных данных'!$D$10,'Ввод исходных данных'!$D$11),Климатология!$D$9:$BF$548,R132+2,0)</f>
        <v>#N/A</v>
      </c>
      <c r="S148" s="50"/>
      <c r="T148" s="50"/>
      <c r="U148" s="50"/>
      <c r="V148" s="50"/>
      <c r="W148" s="50"/>
      <c r="X148" s="50"/>
      <c r="Y148" s="50"/>
      <c r="Z148" s="50"/>
      <c r="AA148" s="50"/>
      <c r="AB148" s="50"/>
      <c r="AC148" s="50"/>
      <c r="AD148" s="50"/>
      <c r="AE148" s="50"/>
      <c r="AF148" s="50"/>
      <c r="AG148" s="50"/>
      <c r="AH148" s="50"/>
    </row>
    <row r="149" spans="1:34" x14ac:dyDescent="0.25">
      <c r="A149" s="50"/>
      <c r="B149" s="450" t="s">
        <v>462</v>
      </c>
      <c r="C149" s="451" t="s">
        <v>749</v>
      </c>
      <c r="D149" s="443" t="e">
        <f>VLOOKUP(CONCATENATE('Ввод исходных данных'!$D$10,'Ввод исходных данных'!$D$11),Климатология!$D$9:$BF$548,6,0)</f>
        <v>#N/A</v>
      </c>
      <c r="E149" s="50"/>
      <c r="F149" s="285"/>
      <c r="G149" s="452" t="e">
        <f>VLOOKUP(CONCATENATE('Ввод исходных данных'!$D$10,'Ввод исходных данных'!$D$11),Климатология!$D$9:$BF$548,G132+3,0)</f>
        <v>#N/A</v>
      </c>
      <c r="H149" s="452" t="e">
        <f>VLOOKUP(CONCATENATE('Ввод исходных данных'!$D$10,'Ввод исходных данных'!$D$11),Климатология!$D$9:$BF$548,H132+3,0)</f>
        <v>#N/A</v>
      </c>
      <c r="I149" s="452" t="e">
        <f>VLOOKUP(CONCATENATE('Ввод исходных данных'!$D$10,'Ввод исходных данных'!$D$11),Климатология!$D$9:$BF$548,I132+3,0)</f>
        <v>#N/A</v>
      </c>
      <c r="J149" s="452" t="e">
        <f>VLOOKUP(CONCATENATE('Ввод исходных данных'!$D$10,'Ввод исходных данных'!$D$11),Климатология!$D$9:$BF$548,J132+3,0)</f>
        <v>#N/A</v>
      </c>
      <c r="K149" s="452" t="e">
        <f>VLOOKUP(CONCATENATE('Ввод исходных данных'!$D$10,'Ввод исходных данных'!$D$11),Климатология!$D$9:$BF$548,K132+3,0)</f>
        <v>#N/A</v>
      </c>
      <c r="L149" s="452" t="e">
        <f>VLOOKUP(CONCATENATE('Ввод исходных данных'!$D$10,'Ввод исходных данных'!$D$11),Климатология!$D$9:$BF$548,L132+3,0)</f>
        <v>#N/A</v>
      </c>
      <c r="M149" s="452" t="e">
        <f>VLOOKUP(CONCATENATE('Ввод исходных данных'!$D$10,'Ввод исходных данных'!$D$11),Климатология!$D$9:$BF$548,M132+3,0)</f>
        <v>#N/A</v>
      </c>
      <c r="N149" s="452" t="e">
        <f>VLOOKUP(CONCATENATE('Ввод исходных данных'!$D$10,'Ввод исходных данных'!$D$11),Климатология!$D$9:$BF$548,N132+3,0)</f>
        <v>#N/A</v>
      </c>
      <c r="O149" s="452" t="e">
        <f>VLOOKUP(CONCATENATE('Ввод исходных данных'!$D$10,'Ввод исходных данных'!$D$11),Климатология!$D$9:$BF$548,O132+3,0)</f>
        <v>#N/A</v>
      </c>
      <c r="P149" s="452" t="e">
        <f>VLOOKUP(CONCATENATE('Ввод исходных данных'!$D$10,'Ввод исходных данных'!$D$11),Климатология!$D$9:$BF$548,P132+3,0)</f>
        <v>#N/A</v>
      </c>
      <c r="Q149" s="452" t="e">
        <f>VLOOKUP(CONCATENATE('Ввод исходных данных'!$D$10,'Ввод исходных данных'!$D$11),Климатология!$D$9:$BF$548,Q132+3,0)</f>
        <v>#N/A</v>
      </c>
      <c r="R149" s="452" t="e">
        <f>VLOOKUP(CONCATENATE('Ввод исходных данных'!$D$10,'Ввод исходных данных'!$D$11),Климатология!$D$9:$BF$548,R132+3,0)</f>
        <v>#N/A</v>
      </c>
      <c r="S149" s="50"/>
      <c r="T149" s="50"/>
      <c r="U149" s="50"/>
      <c r="V149" s="50"/>
      <c r="W149" s="50"/>
      <c r="X149" s="50"/>
      <c r="Y149" s="50"/>
      <c r="Z149" s="50"/>
      <c r="AA149" s="50"/>
      <c r="AB149" s="50"/>
      <c r="AC149" s="50"/>
      <c r="AD149" s="50"/>
      <c r="AE149" s="50"/>
      <c r="AF149" s="50"/>
      <c r="AG149" s="50"/>
      <c r="AH149" s="50"/>
    </row>
    <row r="150" spans="1:34" x14ac:dyDescent="0.25">
      <c r="A150" s="453" t="s">
        <v>497</v>
      </c>
      <c r="B150" s="454" t="s">
        <v>531</v>
      </c>
      <c r="C150" s="455" t="s">
        <v>498</v>
      </c>
      <c r="D150" s="456" t="e">
        <f>IF(D151&gt;45,10,IF(D151&lt;=20,17,17-(D151-20)*7/25))</f>
        <v>#DIV/0!</v>
      </c>
      <c r="E150" s="50"/>
      <c r="F150" s="457">
        <f>17*D152/1000</f>
        <v>0</v>
      </c>
      <c r="G150" s="879"/>
      <c r="H150" s="879"/>
      <c r="I150" s="879"/>
      <c r="J150" s="879"/>
      <c r="K150" s="879"/>
      <c r="L150" s="879"/>
      <c r="M150" s="879"/>
      <c r="N150" s="879"/>
      <c r="O150" s="879"/>
      <c r="P150" s="879"/>
      <c r="Q150" s="879"/>
      <c r="R150" s="879"/>
      <c r="S150" s="50"/>
      <c r="T150" s="50"/>
      <c r="U150" s="50"/>
      <c r="V150" s="50"/>
      <c r="W150" s="50"/>
      <c r="X150" s="50"/>
      <c r="Y150" s="50"/>
      <c r="Z150" s="50"/>
      <c r="AA150" s="50"/>
      <c r="AB150" s="50"/>
      <c r="AC150" s="50"/>
      <c r="AD150" s="50"/>
      <c r="AE150" s="50"/>
      <c r="AF150" s="50"/>
      <c r="AG150" s="50"/>
      <c r="AH150" s="50"/>
    </row>
    <row r="151" spans="1:34" x14ac:dyDescent="0.25">
      <c r="A151" s="453" t="s">
        <v>499</v>
      </c>
      <c r="B151" s="454" t="s">
        <v>500</v>
      </c>
      <c r="C151" s="455" t="s">
        <v>501</v>
      </c>
      <c r="D151" s="458" t="e">
        <f>'Ввод исходных данных'!$G$56/'Ввод исходных данных'!$D$22</f>
        <v>#DIV/0!</v>
      </c>
      <c r="E151" s="50"/>
      <c r="F151" s="50"/>
      <c r="G151" s="879"/>
      <c r="H151" s="879"/>
      <c r="I151" s="879"/>
      <c r="J151" s="879"/>
      <c r="K151" s="879"/>
      <c r="L151" s="879"/>
      <c r="M151" s="879"/>
      <c r="N151" s="879"/>
      <c r="O151" s="879"/>
      <c r="P151" s="879"/>
      <c r="Q151" s="879"/>
      <c r="R151" s="879"/>
      <c r="S151" s="50"/>
      <c r="T151" s="50"/>
      <c r="U151" s="50"/>
      <c r="V151" s="50"/>
      <c r="W151" s="50"/>
      <c r="X151" s="50"/>
      <c r="Y151" s="50"/>
      <c r="Z151" s="50"/>
      <c r="AA151" s="50"/>
      <c r="AB151" s="50"/>
      <c r="AC151" s="50"/>
      <c r="AD151" s="50"/>
      <c r="AE151" s="50"/>
      <c r="AF151" s="50"/>
      <c r="AG151" s="50"/>
      <c r="AH151" s="50"/>
    </row>
    <row r="152" spans="1:34" x14ac:dyDescent="0.25">
      <c r="A152" s="438" t="s">
        <v>1359</v>
      </c>
      <c r="B152" s="454" t="s">
        <v>1360</v>
      </c>
      <c r="C152" s="459" t="s">
        <v>492</v>
      </c>
      <c r="D152" s="458">
        <f>'Ввод исходных данных'!G57</f>
        <v>0</v>
      </c>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row>
    <row r="153" spans="1:34" x14ac:dyDescent="0.25">
      <c r="A153" s="460" t="s">
        <v>512</v>
      </c>
      <c r="B153" s="461" t="s">
        <v>522</v>
      </c>
      <c r="C153" s="459" t="s">
        <v>526</v>
      </c>
      <c r="D153" s="462">
        <v>30</v>
      </c>
      <c r="E153" s="50"/>
      <c r="F153" s="457" t="e">
        <f>(D153*D154*'Ввод исходных данных'!$D$22*0.28+D191*0.28)*1.006*0.001*(20+25)+E163*(20+25)</f>
        <v>#DIV/0!</v>
      </c>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row>
    <row r="154" spans="1:34" x14ac:dyDescent="0.25">
      <c r="A154" s="453" t="s">
        <v>506</v>
      </c>
      <c r="B154" s="454" t="s">
        <v>507</v>
      </c>
      <c r="C154" s="455" t="s">
        <v>505</v>
      </c>
      <c r="D154" s="456">
        <f>353/(273+20)</f>
        <v>1.204778156996587</v>
      </c>
      <c r="E154" s="678"/>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row>
    <row r="155" spans="1:34" x14ac:dyDescent="0.25">
      <c r="A155" s="460" t="s">
        <v>745</v>
      </c>
      <c r="B155" s="461" t="s">
        <v>1287</v>
      </c>
      <c r="C155" s="451" t="s">
        <v>746</v>
      </c>
      <c r="D155" s="463">
        <v>1</v>
      </c>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row>
    <row r="156" spans="1:34" x14ac:dyDescent="0.25">
      <c r="A156" s="460" t="s">
        <v>523</v>
      </c>
      <c r="B156" s="461" t="s">
        <v>524</v>
      </c>
      <c r="C156" s="451" t="s">
        <v>746</v>
      </c>
      <c r="D156" s="463">
        <v>0.9</v>
      </c>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row>
    <row r="157" spans="1:34" x14ac:dyDescent="0.25">
      <c r="A157" s="453" t="s">
        <v>502</v>
      </c>
      <c r="B157" s="454" t="s">
        <v>503</v>
      </c>
      <c r="C157" s="455" t="s">
        <v>504</v>
      </c>
      <c r="D157" s="456">
        <v>1</v>
      </c>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row>
    <row r="158" spans="1:34" x14ac:dyDescent="0.25">
      <c r="A158" s="453" t="s">
        <v>508</v>
      </c>
      <c r="B158" s="454" t="s">
        <v>509</v>
      </c>
      <c r="C158" s="459" t="s">
        <v>746</v>
      </c>
      <c r="D158" s="880">
        <f>IF(OR('Система отопления'!F5=1,'Система отопления'!F6=1),0.85,0.5)</f>
        <v>0.5</v>
      </c>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row>
    <row r="159" spans="1:34" x14ac:dyDescent="0.25">
      <c r="A159" s="453" t="s">
        <v>510</v>
      </c>
      <c r="B159" s="454" t="s">
        <v>511</v>
      </c>
      <c r="C159" s="459" t="s">
        <v>746</v>
      </c>
      <c r="D159" s="456">
        <v>1</v>
      </c>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row>
    <row r="160" spans="1:34" x14ac:dyDescent="0.25">
      <c r="A160" s="453" t="s">
        <v>527</v>
      </c>
      <c r="B160" s="454" t="s">
        <v>532</v>
      </c>
      <c r="C160" s="451" t="s">
        <v>746</v>
      </c>
      <c r="D160" s="881">
        <f>SUMPRODUCT('Система отопления'!B23:B28,'Система отопления'!C23:C28)</f>
        <v>1.0900000000000001</v>
      </c>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row>
    <row r="161" spans="1:31" x14ac:dyDescent="0.25">
      <c r="A161" s="431" t="s">
        <v>743</v>
      </c>
      <c r="B161" s="466" t="s">
        <v>1282</v>
      </c>
      <c r="C161" s="451" t="s">
        <v>747</v>
      </c>
      <c r="D161" s="71">
        <f>списки!C57</f>
        <v>16</v>
      </c>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row>
    <row r="162" spans="1:31" x14ac:dyDescent="0.25">
      <c r="A162" s="431" t="s">
        <v>744</v>
      </c>
      <c r="B162" s="466" t="s">
        <v>1281</v>
      </c>
      <c r="C162" s="451" t="s">
        <v>747</v>
      </c>
      <c r="D162" s="462">
        <f>списки!$C$58</f>
        <v>2</v>
      </c>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row>
    <row r="163" spans="1:31" ht="17.25" customHeight="1" x14ac:dyDescent="0.25">
      <c r="A163" s="431" t="s">
        <v>1514</v>
      </c>
      <c r="B163" s="466"/>
      <c r="C163" s="451" t="s">
        <v>496</v>
      </c>
      <c r="D163" s="46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уровня'!D149)</f>
        <v>0</v>
      </c>
      <c r="E163" s="50">
        <f>IF('Ввод исходных данных'!$D$23=0,0,0.28*(4*'Ввод исходных данных'!$D$23*'Расчет базового уровня'!$D$154*0.5+'Расчет базового уровня'!$D$164*'Расчет базового уровня'!$D$156*0.5)*'Расчет базового уровня'!$D$157*0.001)</f>
        <v>0</v>
      </c>
      <c r="F163" s="50"/>
      <c r="G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уровня'!G149)</f>
        <v>0</v>
      </c>
      <c r="H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уровня'!H149)</f>
        <v>0</v>
      </c>
      <c r="I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уровня'!I149)</f>
        <v>0</v>
      </c>
      <c r="J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уровня'!J149)</f>
        <v>0</v>
      </c>
      <c r="K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уровня'!K149)</f>
        <v>0</v>
      </c>
      <c r="L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уровня'!L149)</f>
        <v>0</v>
      </c>
      <c r="M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уровня'!M149)</f>
        <v>0</v>
      </c>
      <c r="N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уровня'!N149)</f>
        <v>0</v>
      </c>
      <c r="O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уровня'!O149)</f>
        <v>0</v>
      </c>
      <c r="P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уровня'!P149)</f>
        <v>0</v>
      </c>
      <c r="Q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уровня'!Q149)</f>
        <v>0</v>
      </c>
      <c r="R163" s="882">
        <f>IF(OR('Ввод исходных данных'!$D$23=0,'Ввод исходных данных'!G69=0),0,0.28*(4*'Ввод исходных данных'!$D$23*'Расчет базового уровня'!$D$154*0.5+'Расчет базового уровня'!$D$164*'Расчет базового уровня'!$D$156*0.5)*'Расчет базового уровня'!$D$157*0.024*'Расчет базового уровня'!R149)</f>
        <v>0</v>
      </c>
      <c r="S163" s="50"/>
      <c r="T163" s="50"/>
      <c r="U163" s="50"/>
      <c r="V163" s="50"/>
      <c r="W163" s="50"/>
      <c r="X163" s="50"/>
      <c r="Y163" s="50"/>
      <c r="Z163" s="50"/>
      <c r="AA163" s="50"/>
      <c r="AB163" s="50"/>
      <c r="AC163" s="50"/>
      <c r="AD163" s="50"/>
      <c r="AE163" s="50"/>
    </row>
    <row r="164" spans="1:31" x14ac:dyDescent="0.25">
      <c r="A164" s="431" t="s">
        <v>1515</v>
      </c>
      <c r="B164" s="466"/>
      <c r="C164" s="451" t="s">
        <v>1506</v>
      </c>
      <c r="D164" s="462">
        <f>IF(OR('Ввод исходных данных'!$D$23=0,'Ввод исходных данных'!G69=0),0,($B$139/(0.12*(1-'Ввод исходных данных'!$D$35/'Ввод исходных данных'!$G$70)+0.86*('Ввод исходных данных'!$D$35/'Ввод исходных данных'!$G$70)))*('Расчет базового уровня'!$D$184/10)^(2/3))</f>
        <v>0</v>
      </c>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row>
    <row r="165" spans="1:31" x14ac:dyDescent="0.25">
      <c r="A165" s="431"/>
      <c r="B165" s="466"/>
      <c r="C165" s="451"/>
      <c r="D165" s="883"/>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row>
    <row r="166" spans="1:31" x14ac:dyDescent="0.25">
      <c r="A166" s="431"/>
      <c r="B166" s="466"/>
      <c r="C166" s="451"/>
      <c r="D166" s="462"/>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row>
    <row r="167" spans="1:31" x14ac:dyDescent="0.25">
      <c r="A167" s="50"/>
      <c r="B167" s="50"/>
      <c r="C167" s="50"/>
      <c r="D167" s="50"/>
      <c r="E167" s="50"/>
      <c r="F167" s="50"/>
      <c r="G167" s="50">
        <f t="array" ref="G167:R167">TRANSPOSE('Ввод исходных данных'!J273:J284)</f>
        <v>31</v>
      </c>
      <c r="H167" s="50">
        <v>28</v>
      </c>
      <c r="I167" s="50">
        <v>31</v>
      </c>
      <c r="J167" s="50">
        <v>30</v>
      </c>
      <c r="K167" s="50">
        <v>31</v>
      </c>
      <c r="L167" s="50">
        <v>30</v>
      </c>
      <c r="M167" s="50">
        <v>31</v>
      </c>
      <c r="N167" s="50">
        <v>31</v>
      </c>
      <c r="O167" s="50">
        <v>30</v>
      </c>
      <c r="P167" s="50">
        <v>31</v>
      </c>
      <c r="Q167" s="50">
        <v>30</v>
      </c>
      <c r="R167" s="50">
        <v>31</v>
      </c>
      <c r="S167" s="50"/>
      <c r="T167" s="50"/>
      <c r="U167" s="50"/>
      <c r="V167" s="50"/>
      <c r="W167" s="50"/>
      <c r="X167" s="50"/>
      <c r="Y167" s="50"/>
      <c r="Z167" s="50"/>
      <c r="AA167" s="50"/>
      <c r="AB167" s="50"/>
      <c r="AC167" s="50"/>
      <c r="AD167" s="50"/>
      <c r="AE167" s="50"/>
    </row>
    <row r="168" spans="1:31" x14ac:dyDescent="0.25">
      <c r="A168" s="431" t="s">
        <v>541</v>
      </c>
      <c r="B168" s="431"/>
      <c r="C168" s="431"/>
      <c r="D168" s="431"/>
      <c r="E168" s="50"/>
      <c r="F168" s="1773">
        <v>1</v>
      </c>
      <c r="G168" s="50">
        <f>IFERROR(IF(VLOOKUP(G$131,'Ввод исходных данных'!$C$127:$D$132,2,FALSE)&gt;0,1,0),0)</f>
        <v>0</v>
      </c>
      <c r="H168" s="50">
        <f>IFERROR(IF(VLOOKUP(H$131,'Ввод исходных данных'!$C$127:$D$132,2,FALSE)&gt;0,1,0),0)</f>
        <v>0</v>
      </c>
      <c r="I168" s="50">
        <f>IFERROR(IF(VLOOKUP(I$131,'Ввод исходных данных'!$C$127:$D$132,2,FALSE)&gt;0,1,0),0)</f>
        <v>0</v>
      </c>
      <c r="J168" s="50">
        <f>IFERROR(IF(VLOOKUP(J$131,'Ввод исходных данных'!$C$127:$D$132,2,FALSE)&gt;0,1,0),0)</f>
        <v>0</v>
      </c>
      <c r="K168" s="50">
        <f>IFERROR(IF(VLOOKUP(K$131,'Ввод исходных данных'!$C$127:$D$132,2,FALSE)&gt;0,1,0),0)</f>
        <v>0</v>
      </c>
      <c r="L168" s="50">
        <f>IFERROR(IF(VLOOKUP(L$131,'Ввод исходных данных'!$C$127:$D$132,2,FALSE)&gt;0,1,0),0)</f>
        <v>1</v>
      </c>
      <c r="M168" s="50">
        <f>IFERROR(IF(VLOOKUP(M$131,'Ввод исходных данных'!$C$127:$D$132,2,FALSE)&gt;0,1,0),0)</f>
        <v>0</v>
      </c>
      <c r="N168" s="50">
        <f>IFERROR(IF(VLOOKUP(N$131,'Ввод исходных данных'!$C$127:$D$132,2,FALSE)&gt;0,1,0),0)</f>
        <v>0</v>
      </c>
      <c r="O168" s="50">
        <f>IFERROR(IF(VLOOKUP(O$131,'Ввод исходных данных'!$C$127:$D$132,2,FALSE)&gt;0,1,0),0)</f>
        <v>0</v>
      </c>
      <c r="P168" s="50">
        <f>IFERROR(IF(VLOOKUP(P$131,'Ввод исходных данных'!$C$127:$D$132,2,FALSE)&gt;0,1,0),0)</f>
        <v>0</v>
      </c>
      <c r="Q168" s="50">
        <f>IFERROR(IF(VLOOKUP(Q$131,'Ввод исходных данных'!$C$127:$D$132,2,FALSE)&gt;0,1,0),0)</f>
        <v>0</v>
      </c>
      <c r="R168" s="50">
        <f>IFERROR(IF(VLOOKUP(R$131,'Ввод исходных данных'!$C$127:$D$132,2,FALSE)&gt;0,1,0),0)</f>
        <v>0</v>
      </c>
      <c r="S168" s="50"/>
      <c r="T168" s="50"/>
      <c r="U168" s="50"/>
      <c r="V168" s="50"/>
      <c r="W168" s="50"/>
      <c r="X168" s="50"/>
      <c r="Y168" s="50"/>
      <c r="Z168" s="50"/>
      <c r="AA168" s="50"/>
      <c r="AB168" s="50"/>
      <c r="AC168" s="50"/>
      <c r="AD168" s="50"/>
      <c r="AE168" s="50"/>
    </row>
    <row r="169" spans="1:31" ht="15.75" customHeight="1" x14ac:dyDescent="0.25">
      <c r="A169" s="468" t="s">
        <v>899</v>
      </c>
      <c r="B169" s="469" t="s">
        <v>1415</v>
      </c>
      <c r="C169" s="451" t="s">
        <v>900</v>
      </c>
      <c r="D169" s="470" t="e">
        <f>D170*365/(D148+D171*(D172-D148))</f>
        <v>#N/A</v>
      </c>
      <c r="E169" s="50"/>
      <c r="F169" s="285"/>
      <c r="G169" s="470" t="e">
        <f>IF(G148&gt;=0.8*G167,$D$169,$D$171*$D$169)</f>
        <v>#N/A</v>
      </c>
      <c r="H169" s="470" t="e">
        <f t="shared" ref="H169:R169" si="49">IF(H148&gt;=0.8*H167,$D$169,$D$171*$D$169)</f>
        <v>#N/A</v>
      </c>
      <c r="I169" s="470" t="e">
        <f t="shared" si="49"/>
        <v>#N/A</v>
      </c>
      <c r="J169" s="470" t="e">
        <f t="shared" si="49"/>
        <v>#N/A</v>
      </c>
      <c r="K169" s="470" t="e">
        <f t="shared" si="49"/>
        <v>#N/A</v>
      </c>
      <c r="L169" s="470" t="e">
        <f t="shared" si="49"/>
        <v>#N/A</v>
      </c>
      <c r="M169" s="470" t="e">
        <f t="shared" si="49"/>
        <v>#N/A</v>
      </c>
      <c r="N169" s="470" t="e">
        <f t="shared" si="49"/>
        <v>#N/A</v>
      </c>
      <c r="O169" s="470" t="e">
        <f t="shared" si="49"/>
        <v>#N/A</v>
      </c>
      <c r="P169" s="470" t="e">
        <f t="shared" si="49"/>
        <v>#N/A</v>
      </c>
      <c r="Q169" s="470" t="e">
        <f t="shared" si="49"/>
        <v>#N/A</v>
      </c>
      <c r="R169" s="470" t="e">
        <f t="shared" si="49"/>
        <v>#N/A</v>
      </c>
      <c r="S169" s="50"/>
      <c r="T169" s="50"/>
      <c r="U169" s="50"/>
      <c r="V169" s="50"/>
      <c r="W169" s="50"/>
      <c r="X169" s="50"/>
      <c r="Y169" s="50"/>
      <c r="Z169" s="50"/>
      <c r="AA169" s="50"/>
      <c r="AB169" s="50"/>
      <c r="AC169" s="50"/>
      <c r="AD169" s="50"/>
      <c r="AE169" s="50"/>
    </row>
    <row r="170" spans="1:31" ht="15.75" customHeight="1" x14ac:dyDescent="0.25">
      <c r="A170" s="468" t="s">
        <v>901</v>
      </c>
      <c r="B170" s="469" t="s">
        <v>542</v>
      </c>
      <c r="C170" s="451" t="s">
        <v>900</v>
      </c>
      <c r="D170" s="471">
        <f>SUMPRODUCT('Система ГВС'!D5:D9,'Система ГВС'!E5:E9)</f>
        <v>105</v>
      </c>
      <c r="E170" s="50"/>
      <c r="F170" s="50"/>
      <c r="G170" s="884">
        <f>SUMPRODUCT('Система ГВС'!D5:D9,'Система ГВС'!E5:E9)</f>
        <v>105</v>
      </c>
      <c r="H170" s="884">
        <f>SUMPRODUCT('Система ГВС'!D5:D9,'Система ГВС'!E5:E9)</f>
        <v>105</v>
      </c>
      <c r="I170" s="884">
        <f>SUMPRODUCT('Система ГВС'!D5:D9,'Система ГВС'!E5:E9)</f>
        <v>105</v>
      </c>
      <c r="J170" s="884">
        <f>SUMPRODUCT('Система ГВС'!D5:D9,'Система ГВС'!E5:E9)</f>
        <v>105</v>
      </c>
      <c r="K170" s="884">
        <f>SUMPRODUCT('Система ГВС'!D5:D9,'Система ГВС'!E5:E9)</f>
        <v>105</v>
      </c>
      <c r="L170" s="884">
        <f>SUMPRODUCT('Система ГВС'!D5:D9,'Система ГВС'!E5:E9)</f>
        <v>105</v>
      </c>
      <c r="M170" s="884">
        <f>SUMPRODUCT('Система ГВС'!D5:D9,'Система ГВС'!E5:E9)</f>
        <v>105</v>
      </c>
      <c r="N170" s="884">
        <f>SUMPRODUCT('Система ГВС'!D5:D9,'Система ГВС'!E5:E9)</f>
        <v>105</v>
      </c>
      <c r="O170" s="884">
        <f>SUMPRODUCT('Система ГВС'!D5:D9,'Система ГВС'!E5:E9)</f>
        <v>105</v>
      </c>
      <c r="P170" s="884">
        <f>SUMPRODUCT('Система ГВС'!D5:D9,'Система ГВС'!E5:E9)</f>
        <v>105</v>
      </c>
      <c r="Q170" s="884">
        <f>SUMPRODUCT('Система ГВС'!D5:D9,'Система ГВС'!E5:E9)</f>
        <v>105</v>
      </c>
      <c r="R170" s="884">
        <f>SUMPRODUCT('Система ГВС'!D5:D9,'Система ГВС'!E5:E9)</f>
        <v>105</v>
      </c>
      <c r="S170" s="50"/>
      <c r="T170" s="50"/>
      <c r="U170" s="50"/>
      <c r="V170" s="50"/>
      <c r="W170" s="50"/>
      <c r="X170" s="50"/>
      <c r="Y170" s="50"/>
      <c r="Z170" s="50"/>
      <c r="AA170" s="50"/>
      <c r="AB170" s="50"/>
      <c r="AC170" s="50"/>
      <c r="AD170" s="50"/>
      <c r="AE170" s="50"/>
    </row>
    <row r="171" spans="1:31" ht="15.75" customHeight="1" x14ac:dyDescent="0.25">
      <c r="A171" s="472" t="s">
        <v>544</v>
      </c>
      <c r="B171" s="469" t="s">
        <v>545</v>
      </c>
      <c r="C171" s="451" t="s">
        <v>746</v>
      </c>
      <c r="D171" s="473">
        <f>списки!C62</f>
        <v>0.9</v>
      </c>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row>
    <row r="172" spans="1:31" ht="15.75" customHeight="1" x14ac:dyDescent="0.25">
      <c r="A172" s="468"/>
      <c r="B172" s="469" t="s">
        <v>546</v>
      </c>
      <c r="C172" s="451" t="s">
        <v>543</v>
      </c>
      <c r="D172" s="473">
        <f>SUM(G167:R167)-SUM('Ввод исходных данных'!D127:D132)</f>
        <v>351</v>
      </c>
      <c r="E172" s="50">
        <f>SUM(G172:R172)</f>
        <v>351</v>
      </c>
      <c r="F172" s="1773">
        <v>2</v>
      </c>
      <c r="G172" s="473">
        <f>G167-G168*IFERROR(VLOOKUP(G$131,'Ввод исходных данных'!$C$127:$D$132,2,FALSE),0)</f>
        <v>31</v>
      </c>
      <c r="H172" s="473">
        <f>H167-H168*IFERROR(VLOOKUP(H$131,'Ввод исходных данных'!$C$127:$D$132,2,FALSE),0)</f>
        <v>28</v>
      </c>
      <c r="I172" s="473">
        <f>I167-I168*IFERROR(VLOOKUP(I$131,'Ввод исходных данных'!$C$127:$D$132,2,FALSE),0)</f>
        <v>31</v>
      </c>
      <c r="J172" s="473">
        <f>J167-J168*IFERROR(VLOOKUP(J$131,'Ввод исходных данных'!$C$127:$D$132,2,FALSE),0)</f>
        <v>30</v>
      </c>
      <c r="K172" s="473">
        <f>K167-K168*IFERROR(VLOOKUP(K$131,'Ввод исходных данных'!$C$127:$D$132,2,FALSE),0)</f>
        <v>31</v>
      </c>
      <c r="L172" s="473">
        <f>L167-L168*IFERROR(VLOOKUP(L$131,'Ввод исходных данных'!$C$127:$D$132,2,FALSE),0)</f>
        <v>16</v>
      </c>
      <c r="M172" s="473">
        <f>M167-M168*IFERROR(VLOOKUP(M$131,'Ввод исходных данных'!$C$127:$D$132,2,FALSE),0)</f>
        <v>31</v>
      </c>
      <c r="N172" s="473">
        <f>N167-N168*IFERROR(VLOOKUP(N$131,'Ввод исходных данных'!$C$127:$D$132,2,FALSE),0)</f>
        <v>31</v>
      </c>
      <c r="O172" s="473">
        <f>O167-O168*IFERROR(VLOOKUP(O$131,'Ввод исходных данных'!$C$127:$D$132,2,FALSE),0)</f>
        <v>30</v>
      </c>
      <c r="P172" s="473">
        <f>P167-P168*IFERROR(VLOOKUP(P$131,'Ввод исходных данных'!$C$127:$D$132,2,FALSE),0)</f>
        <v>31</v>
      </c>
      <c r="Q172" s="473">
        <f>Q167-Q168*IFERROR(VLOOKUP(Q$131,'Ввод исходных данных'!$C$127:$D$132,2,FALSE),0)</f>
        <v>30</v>
      </c>
      <c r="R172" s="473">
        <f>R167-R168*IFERROR(VLOOKUP(R$131,'Ввод исходных данных'!$C$127:$D$132,2,FALSE),0)</f>
        <v>31</v>
      </c>
      <c r="S172" s="50"/>
      <c r="T172" s="50"/>
      <c r="U172" s="50"/>
      <c r="V172" s="50"/>
      <c r="W172" s="50"/>
      <c r="X172" s="50"/>
      <c r="Y172" s="50"/>
      <c r="Z172" s="50"/>
      <c r="AA172" s="50"/>
      <c r="AB172" s="50"/>
      <c r="AC172" s="50"/>
      <c r="AD172" s="50"/>
      <c r="AE172" s="50"/>
    </row>
    <row r="173" spans="1:31" ht="15.75" customHeight="1" x14ac:dyDescent="0.25">
      <c r="A173" s="468" t="s">
        <v>902</v>
      </c>
      <c r="B173" s="469" t="s">
        <v>547</v>
      </c>
      <c r="C173" s="451" t="s">
        <v>559</v>
      </c>
      <c r="D173" s="474" t="e">
        <f>D169*'Ввод исходных данных'!$D$22/24/1000</f>
        <v>#N/A</v>
      </c>
      <c r="E173" s="50"/>
      <c r="F173" s="50"/>
      <c r="G173" s="474" t="e">
        <f>G169*'Ввод исходных данных'!$D$22/24/1000</f>
        <v>#N/A</v>
      </c>
      <c r="H173" s="474" t="e">
        <f>H169*'Ввод исходных данных'!$D$22/24/1000</f>
        <v>#N/A</v>
      </c>
      <c r="I173" s="474" t="e">
        <f>I169*'Ввод исходных данных'!$D$22/24/1000</f>
        <v>#N/A</v>
      </c>
      <c r="J173" s="474" t="e">
        <f>J169*'Ввод исходных данных'!$D$22/24/1000</f>
        <v>#N/A</v>
      </c>
      <c r="K173" s="474" t="e">
        <f>K169*'Ввод исходных данных'!$D$22/24/1000</f>
        <v>#N/A</v>
      </c>
      <c r="L173" s="474" t="e">
        <f>L169*'Ввод исходных данных'!$D$22/24/1000</f>
        <v>#N/A</v>
      </c>
      <c r="M173" s="474" t="e">
        <f>M169*'Ввод исходных данных'!$D$22/24/1000</f>
        <v>#N/A</v>
      </c>
      <c r="N173" s="474" t="e">
        <f>N169*'Ввод исходных данных'!$D$22/24/1000</f>
        <v>#N/A</v>
      </c>
      <c r="O173" s="474" t="e">
        <f>O169*'Ввод исходных данных'!$D$22/24/1000</f>
        <v>#N/A</v>
      </c>
      <c r="P173" s="474" t="e">
        <f>P169*'Ввод исходных данных'!$D$22/24/1000</f>
        <v>#N/A</v>
      </c>
      <c r="Q173" s="474" t="e">
        <f>Q169*'Ввод исходных данных'!$D$22/24/1000</f>
        <v>#N/A</v>
      </c>
      <c r="R173" s="474" t="e">
        <f>R169*'Ввод исходных данных'!$D$22/24/1000</f>
        <v>#N/A</v>
      </c>
      <c r="S173" s="50"/>
      <c r="T173" s="50"/>
      <c r="U173" s="50"/>
      <c r="V173" s="50"/>
      <c r="W173" s="50"/>
      <c r="X173" s="50"/>
      <c r="Y173" s="50"/>
      <c r="Z173" s="50"/>
      <c r="AA173" s="50"/>
      <c r="AB173" s="50"/>
      <c r="AC173" s="50"/>
      <c r="AD173" s="50"/>
      <c r="AE173" s="50"/>
    </row>
    <row r="174" spans="1:31" ht="15.75" customHeight="1" x14ac:dyDescent="0.25">
      <c r="A174" s="468" t="s">
        <v>903</v>
      </c>
      <c r="B174" s="469" t="s">
        <v>548</v>
      </c>
      <c r="C174" s="451" t="s">
        <v>559</v>
      </c>
      <c r="D174" s="474" t="e">
        <f>D173*'Система электроснабжения'!$C$54</f>
        <v>#N/A</v>
      </c>
      <c r="E174" s="50" t="e">
        <f>D174*(60-5)*4.2/3.6*1.1</f>
        <v>#N/A</v>
      </c>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row>
    <row r="175" spans="1:31" ht="15.75" customHeight="1" x14ac:dyDescent="0.25">
      <c r="A175" s="468" t="s">
        <v>904</v>
      </c>
      <c r="B175" s="469" t="s">
        <v>551</v>
      </c>
      <c r="C175" s="451" t="s">
        <v>513</v>
      </c>
      <c r="D175" s="475" t="e">
        <f xml:space="preserve"> (D169*(D176-D177)*(1+D178)*1*D179)/(3.6*24*D180)</f>
        <v>#N/A</v>
      </c>
      <c r="E175" s="50" t="e">
        <f>E174*0.86/1000</f>
        <v>#N/A</v>
      </c>
      <c r="F175" s="50"/>
      <c r="G175" s="475" t="e">
        <f xml:space="preserve"> (G169*($D$176-IF(G148&gt;=0.8*G167,$D$177,списки!$C$61))*(1+$D$178)*1*$D$179)/(3.6*24*$D$180)</f>
        <v>#N/A</v>
      </c>
      <c r="H175" s="475" t="e">
        <f xml:space="preserve"> (H169*($D$176-IF(H148&gt;=0.8*H167,$D$177,списки!$C$61))*(1+$D$178)*1*$D$179)/(3.6*24*$D$180)</f>
        <v>#N/A</v>
      </c>
      <c r="I175" s="475" t="e">
        <f xml:space="preserve"> (I169*($D$176-IF(I148&gt;=0.8*I167,$D$177,списки!$C$61))*(1+$D$178)*1*$D$179)/(3.6*24*$D$180)</f>
        <v>#N/A</v>
      </c>
      <c r="J175" s="475" t="e">
        <f xml:space="preserve"> (J169*($D$176-IF(J148&gt;=0.8*J167,$D$177,списки!$C$61))*(1+$D$178)*1*$D$179)/(3.6*24*$D$180)</f>
        <v>#N/A</v>
      </c>
      <c r="K175" s="475" t="e">
        <f xml:space="preserve"> (K169*($D$176-IF(K148&gt;=0.8*K167,$D$177,списки!$C$61))*(1+$D$178)*1*$D$179)/(3.6*24*$D$180)</f>
        <v>#N/A</v>
      </c>
      <c r="L175" s="475" t="e">
        <f xml:space="preserve"> (L169*($D$176-IF(L148&gt;=0.8*L167,$D$177,списки!$C$61))*(1+$D$178)*1*$D$179)/(3.6*24*$D$180)</f>
        <v>#N/A</v>
      </c>
      <c r="M175" s="475" t="e">
        <f xml:space="preserve"> (M169*($D$176-IF(M148&gt;=0.8*M167,$D$177,списки!$C$61))*(1+$D$178)*1*$D$179)/(3.6*24*$D$180)</f>
        <v>#N/A</v>
      </c>
      <c r="N175" s="475" t="e">
        <f xml:space="preserve"> (N169*($D$176-IF(N148&gt;=0.8*N167,$D$177,списки!$C$61))*(1+$D$178)*1*$D$179)/(3.6*24*$D$180)</f>
        <v>#N/A</v>
      </c>
      <c r="O175" s="475" t="e">
        <f xml:space="preserve"> (O169*($D$176-IF(O148&gt;=0.8*O167,$D$177,списки!$C$61))*(1+$D$178)*1*$D$179)/(3.6*24*$D$180)</f>
        <v>#N/A</v>
      </c>
      <c r="P175" s="475" t="e">
        <f xml:space="preserve"> (P169*($D$176-IF(P148&gt;=0.8*P167,$D$177,списки!$C$61))*(1+$D$178)*1*$D$179)/(3.6*24*$D$180)</f>
        <v>#N/A</v>
      </c>
      <c r="Q175" s="475" t="e">
        <f xml:space="preserve"> (Q169*($D$176-IF(Q148&gt;=0.8*Q167,$D$177,списки!$C$61))*(1+$D$178)*1*$D$179)/(3.6*24*$D$180)</f>
        <v>#N/A</v>
      </c>
      <c r="R175" s="475" t="e">
        <f xml:space="preserve"> (R169*($D$176-IF(R148&gt;=0.8*R167,$D$177,списки!$C$61))*(1+$D$178)*1*$D$179)/(3.6*24*$D$180)</f>
        <v>#N/A</v>
      </c>
      <c r="S175" s="50"/>
      <c r="T175" s="50"/>
      <c r="U175" s="50"/>
      <c r="V175" s="50"/>
      <c r="W175" s="50"/>
      <c r="X175" s="50"/>
      <c r="Y175" s="50"/>
      <c r="Z175" s="50"/>
      <c r="AA175" s="50"/>
      <c r="AB175" s="50"/>
      <c r="AC175" s="50"/>
      <c r="AD175" s="50"/>
      <c r="AE175" s="50"/>
    </row>
    <row r="176" spans="1:31" ht="15.75" customHeight="1" x14ac:dyDescent="0.25">
      <c r="A176" s="468" t="s">
        <v>552</v>
      </c>
      <c r="B176" s="469" t="s">
        <v>905</v>
      </c>
      <c r="C176" s="451" t="s">
        <v>747</v>
      </c>
      <c r="D176" s="473">
        <f>списки!C59</f>
        <v>60</v>
      </c>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row>
    <row r="177" spans="1:32" ht="15.75" customHeight="1" x14ac:dyDescent="0.35">
      <c r="A177" s="472" t="s">
        <v>560</v>
      </c>
      <c r="B177" s="469" t="s">
        <v>906</v>
      </c>
      <c r="C177" s="451" t="s">
        <v>747</v>
      </c>
      <c r="D177" s="473">
        <f>списки!C60</f>
        <v>5</v>
      </c>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row>
    <row r="178" spans="1:32" ht="15.75" customHeight="1" x14ac:dyDescent="0.35">
      <c r="A178" s="472" t="s">
        <v>561</v>
      </c>
      <c r="B178" s="477" t="s">
        <v>553</v>
      </c>
      <c r="C178" s="451" t="s">
        <v>746</v>
      </c>
      <c r="D178" s="478">
        <f>'Система ГВС'!E12</f>
        <v>0.2</v>
      </c>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row>
    <row r="179" spans="1:32" ht="15.75" customHeight="1" x14ac:dyDescent="0.25">
      <c r="A179" s="472" t="s">
        <v>1220</v>
      </c>
      <c r="B179" s="477"/>
      <c r="C179" s="451" t="s">
        <v>1221</v>
      </c>
      <c r="D179" s="478">
        <v>4.2</v>
      </c>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row>
    <row r="180" spans="1:32" ht="15.75" customHeight="1" x14ac:dyDescent="0.25">
      <c r="A180" s="472" t="s">
        <v>907</v>
      </c>
      <c r="B180" s="477" t="s">
        <v>1416</v>
      </c>
      <c r="C180" s="451" t="s">
        <v>562</v>
      </c>
      <c r="D180" s="473">
        <v>20</v>
      </c>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row>
    <row r="181" spans="1:32" ht="15.75" customHeight="1" x14ac:dyDescent="0.25">
      <c r="A181" s="472" t="s">
        <v>908</v>
      </c>
      <c r="B181" s="477" t="s">
        <v>750</v>
      </c>
      <c r="C181" s="451" t="s">
        <v>562</v>
      </c>
      <c r="D181" s="470" t="e">
        <f>'Ввод исходных данных'!G56/'Ввод исходных данных'!D22</f>
        <v>#DIV/0!</v>
      </c>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row>
    <row r="182" spans="1:32" ht="15.75" customHeight="1"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row>
    <row r="183" spans="1:32" x14ac:dyDescent="0.25">
      <c r="A183" s="472" t="s">
        <v>1496</v>
      </c>
      <c r="B183" s="477" t="s">
        <v>1497</v>
      </c>
      <c r="C183" s="451" t="s">
        <v>1503</v>
      </c>
      <c r="D183" s="470" t="e">
        <f>0.28*'Ввод исходных данных'!$G$60*(D185-D186)+0.03*D185*Климатология!$H$2^2</f>
        <v>#N/A</v>
      </c>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row>
    <row r="184" spans="1:32" x14ac:dyDescent="0.25">
      <c r="A184" s="472" t="s">
        <v>1499</v>
      </c>
      <c r="B184" s="477" t="s">
        <v>1498</v>
      </c>
      <c r="C184" s="451" t="s">
        <v>1503</v>
      </c>
      <c r="D184" s="470" t="e">
        <f>0.55*('Ввод исходных данных'!$G$60-1)*(D185-D186)+0.03*D185*Климатология!$H$2^2</f>
        <v>#N/A</v>
      </c>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row>
    <row r="185" spans="1:32" x14ac:dyDescent="0.25">
      <c r="A185" s="472" t="s">
        <v>1500</v>
      </c>
      <c r="B185" s="477"/>
      <c r="C185" s="451" t="s">
        <v>1504</v>
      </c>
      <c r="D185" s="470" t="e">
        <f>3463/(273+Климатология!$F$2)</f>
        <v>#N/A</v>
      </c>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row>
    <row r="186" spans="1:32" x14ac:dyDescent="0.25">
      <c r="A186" s="472" t="s">
        <v>1501</v>
      </c>
      <c r="B186" s="477"/>
      <c r="C186" s="451" t="s">
        <v>1504</v>
      </c>
      <c r="D186" s="470">
        <f>3463/(273+списки!$C$56)</f>
        <v>11.819112627986348</v>
      </c>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row>
    <row r="187" spans="1:32" x14ac:dyDescent="0.25">
      <c r="A187" s="472" t="s">
        <v>1495</v>
      </c>
      <c r="B187" s="477"/>
      <c r="C187" s="451" t="s">
        <v>1505</v>
      </c>
      <c r="D187" s="479" t="e">
        <f>0.12*(1-'Ввод исходных данных'!$D$34/'Ввод исходных данных'!$G$66)+0.86*'Ввод исходных данных'!$D$34/'Ввод исходных данных'!$G$66</f>
        <v>#DIV/0!</v>
      </c>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row>
    <row r="188" spans="1:32" x14ac:dyDescent="0.25">
      <c r="A188" s="472" t="s">
        <v>1494</v>
      </c>
      <c r="B188" s="477"/>
      <c r="C188" s="451" t="s">
        <v>1505</v>
      </c>
      <c r="D188" s="479">
        <f>IF(списки!$D$35=0,0.14,0.16)</f>
        <v>0.14000000000000001</v>
      </c>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row>
    <row r="189" spans="1:32" x14ac:dyDescent="0.25">
      <c r="A189" s="472" t="s">
        <v>1493</v>
      </c>
      <c r="B189" s="477"/>
      <c r="C189" s="451" t="s">
        <v>1506</v>
      </c>
      <c r="D189" s="470" t="e">
        <f>(B138/D187)*(D183/10)^(2/3)</f>
        <v>#DIV/0!</v>
      </c>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row>
    <row r="190" spans="1:32" x14ac:dyDescent="0.25">
      <c r="A190" s="472" t="s">
        <v>1492</v>
      </c>
      <c r="B190" s="477"/>
      <c r="C190" s="451" t="s">
        <v>1506</v>
      </c>
      <c r="D190" s="470" t="e">
        <f>(B145/D188)*(D184/10)^(1/2)</f>
        <v>#N/A</v>
      </c>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row>
    <row r="191" spans="1:32" x14ac:dyDescent="0.25">
      <c r="A191" s="472" t="s">
        <v>1491</v>
      </c>
      <c r="B191" s="477"/>
      <c r="C191" s="451" t="s">
        <v>1506</v>
      </c>
      <c r="D191" s="470" t="e">
        <f>D189+D190</f>
        <v>#DIV/0!</v>
      </c>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row>
    <row r="192" spans="1:32" x14ac:dyDescent="0.25">
      <c r="A192" s="472" t="s">
        <v>1490</v>
      </c>
      <c r="B192" s="477"/>
      <c r="C192" s="451" t="s">
        <v>496</v>
      </c>
      <c r="D192" s="470" t="e">
        <f>0.024*$D$189*'Расчет базового уровня'!$D$149*0.28</f>
        <v>#DIV/0!</v>
      </c>
      <c r="E192" s="50"/>
      <c r="F192" s="50"/>
      <c r="G192" s="470" t="e">
        <f>0.024*$D$189*'Расчет базового уровня'!G$149*0.28</f>
        <v>#DIV/0!</v>
      </c>
      <c r="H192" s="470" t="e">
        <f>0.024*$D$189*'Расчет базового уровня'!H$149*0.28</f>
        <v>#DIV/0!</v>
      </c>
      <c r="I192" s="470" t="e">
        <f>0.024*$D$189*'Расчет базового уровня'!I$149*0.28</f>
        <v>#DIV/0!</v>
      </c>
      <c r="J192" s="470" t="e">
        <f>0.024*$D$189*'Расчет базового уровня'!J$149*0.28</f>
        <v>#DIV/0!</v>
      </c>
      <c r="K192" s="470" t="e">
        <f>0.024*$D$189*'Расчет базового уровня'!K$149*0.28</f>
        <v>#DIV/0!</v>
      </c>
      <c r="L192" s="470" t="e">
        <f>0.024*$D$189*'Расчет базового уровня'!L$149*0.28</f>
        <v>#DIV/0!</v>
      </c>
      <c r="M192" s="470" t="e">
        <f>0.024*$D$189*'Расчет базового уровня'!M$149*0.28</f>
        <v>#DIV/0!</v>
      </c>
      <c r="N192" s="470" t="e">
        <f>0.024*$D$189*'Расчет базового уровня'!N$149*0.28</f>
        <v>#DIV/0!</v>
      </c>
      <c r="O192" s="470" t="e">
        <f>0.024*$D$189*'Расчет базового уровня'!O$149*0.28</f>
        <v>#DIV/0!</v>
      </c>
      <c r="P192" s="470" t="e">
        <f>0.024*$D$189*'Расчет базового уровня'!P$149*0.28</f>
        <v>#DIV/0!</v>
      </c>
      <c r="Q192" s="470" t="e">
        <f>0.024*$D$189*'Расчет базового уровня'!Q$149*0.28</f>
        <v>#DIV/0!</v>
      </c>
      <c r="R192" s="470" t="e">
        <f>0.024*$D$189*'Расчет базового уровня'!R$149*0.28</f>
        <v>#DIV/0!</v>
      </c>
      <c r="S192" s="50"/>
      <c r="T192" s="50"/>
      <c r="U192" s="50"/>
      <c r="V192" s="50"/>
      <c r="W192" s="50"/>
      <c r="X192" s="50"/>
      <c r="Y192" s="50"/>
      <c r="Z192" s="50"/>
      <c r="AA192" s="50"/>
      <c r="AB192" s="50"/>
      <c r="AC192" s="50"/>
      <c r="AD192" s="50"/>
      <c r="AE192" s="50"/>
    </row>
    <row r="193" spans="1:31" x14ac:dyDescent="0.25">
      <c r="A193" s="472" t="s">
        <v>1489</v>
      </c>
      <c r="B193" s="477"/>
      <c r="C193" s="451" t="s">
        <v>496</v>
      </c>
      <c r="D193" s="470" t="e">
        <f>0.024*$D$190*'Расчет базового уровня'!$D$149*0.28</f>
        <v>#N/A</v>
      </c>
      <c r="E193" s="50"/>
      <c r="F193" s="50"/>
      <c r="G193" s="470" t="e">
        <f>0.024*$D$190*'Расчет базового уровня'!G$149*0.28</f>
        <v>#N/A</v>
      </c>
      <c r="H193" s="470" t="e">
        <f>0.024*$D$190*'Расчет базового уровня'!H$149*0.28</f>
        <v>#N/A</v>
      </c>
      <c r="I193" s="470" t="e">
        <f>0.024*$D$190*'Расчет базового уровня'!I$149*0.28</f>
        <v>#N/A</v>
      </c>
      <c r="J193" s="470" t="e">
        <f>0.024*$D$190*'Расчет базового уровня'!J$149*0.28</f>
        <v>#N/A</v>
      </c>
      <c r="K193" s="470" t="e">
        <f>0.024*$D$190*'Расчет базового уровня'!K$149*0.28</f>
        <v>#N/A</v>
      </c>
      <c r="L193" s="470" t="e">
        <f>0.024*$D$190*'Расчет базового уровня'!L$149*0.28</f>
        <v>#N/A</v>
      </c>
      <c r="M193" s="470" t="e">
        <f>0.024*$D$190*'Расчет базового уровня'!M$149*0.28</f>
        <v>#N/A</v>
      </c>
      <c r="N193" s="470" t="e">
        <f>0.024*$D$190*'Расчет базового уровня'!N$149*0.28</f>
        <v>#N/A</v>
      </c>
      <c r="O193" s="470" t="e">
        <f>0.024*$D$190*'Расчет базового уровня'!O$149*0.28</f>
        <v>#N/A</v>
      </c>
      <c r="P193" s="470" t="e">
        <f>0.024*$D$190*'Расчет базового уровня'!P$149*0.28</f>
        <v>#N/A</v>
      </c>
      <c r="Q193" s="470" t="e">
        <f>0.024*$D$190*'Расчет базового уровня'!Q$149*0.28</f>
        <v>#N/A</v>
      </c>
      <c r="R193" s="470" t="e">
        <f>0.024*$D$190*'Расчет базового уровня'!R$149*0.28</f>
        <v>#N/A</v>
      </c>
      <c r="S193" s="50"/>
      <c r="T193" s="50"/>
      <c r="U193" s="50"/>
      <c r="V193" s="50"/>
      <c r="W193" s="50"/>
      <c r="X193" s="50"/>
      <c r="Y193" s="50"/>
      <c r="Z193" s="50"/>
      <c r="AA193" s="50"/>
      <c r="AB193" s="50"/>
      <c r="AC193" s="50"/>
      <c r="AD193" s="50"/>
      <c r="AE193" s="50"/>
    </row>
    <row r="194" spans="1:31" x14ac:dyDescent="0.25">
      <c r="A194" s="472" t="s">
        <v>1488</v>
      </c>
      <c r="B194" s="477"/>
      <c r="C194" s="451" t="s">
        <v>496</v>
      </c>
      <c r="D194" s="470" t="e">
        <f>0.024*$D$191*'Расчет базового уровня'!$D$149*0.28</f>
        <v>#DIV/0!</v>
      </c>
      <c r="E194" s="50"/>
      <c r="F194" s="50"/>
      <c r="G194" s="470" t="e">
        <f>0.024*$D$191*'Расчет базового уровня'!G$149*0.28</f>
        <v>#DIV/0!</v>
      </c>
      <c r="H194" s="470" t="e">
        <f>0.024*$D$191*'Расчет базового уровня'!H$149*0.28</f>
        <v>#DIV/0!</v>
      </c>
      <c r="I194" s="470" t="e">
        <f>0.024*$D$191*'Расчет базового уровня'!I$149*0.28</f>
        <v>#DIV/0!</v>
      </c>
      <c r="J194" s="470" t="e">
        <f>0.024*$D$191*'Расчет базового уровня'!J$149*0.28</f>
        <v>#DIV/0!</v>
      </c>
      <c r="K194" s="470" t="e">
        <f>0.024*$D$191*'Расчет базового уровня'!K$149*0.28</f>
        <v>#DIV/0!</v>
      </c>
      <c r="L194" s="470" t="e">
        <f>0.024*$D$191*'Расчет базового уровня'!L$149*0.28</f>
        <v>#DIV/0!</v>
      </c>
      <c r="M194" s="470" t="e">
        <f>0.024*$D$191*'Расчет базового уровня'!M$149*0.28</f>
        <v>#DIV/0!</v>
      </c>
      <c r="N194" s="470" t="e">
        <f>0.024*$D$191*'Расчет базового уровня'!N$149*0.28</f>
        <v>#DIV/0!</v>
      </c>
      <c r="O194" s="470" t="e">
        <f>0.024*$D$191*'Расчет базового уровня'!O$149*0.28</f>
        <v>#DIV/0!</v>
      </c>
      <c r="P194" s="470" t="e">
        <f>0.024*$D$191*'Расчет базового уровня'!P$149*0.28</f>
        <v>#DIV/0!</v>
      </c>
      <c r="Q194" s="470" t="e">
        <f>0.024*$D$191*'Расчет базового уровня'!Q$149*0.28</f>
        <v>#DIV/0!</v>
      </c>
      <c r="R194" s="470" t="e">
        <f>0.024*$D$191*'Расчет базового уровня'!R$149*0.28</f>
        <v>#DIV/0!</v>
      </c>
      <c r="S194" s="50"/>
      <c r="T194" s="50"/>
      <c r="U194" s="50"/>
      <c r="V194" s="50"/>
      <c r="W194" s="50"/>
      <c r="X194" s="50"/>
      <c r="Y194" s="50"/>
      <c r="Z194" s="50"/>
      <c r="AA194" s="50"/>
      <c r="AB194" s="50"/>
      <c r="AC194" s="50"/>
      <c r="AD194" s="50"/>
      <c r="AE194" s="50"/>
    </row>
    <row r="195" spans="1:31" x14ac:dyDescent="0.25">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row>
    <row r="196" spans="1:31" x14ac:dyDescent="0.25">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row>
    <row r="197" spans="1:31" x14ac:dyDescent="0.25">
      <c r="D197" s="75"/>
    </row>
  </sheetData>
  <sheetProtection password="ECB1" sheet="1" objects="1" scenarios="1"/>
  <mergeCells count="78">
    <mergeCell ref="A3:E3"/>
    <mergeCell ref="A4:A5"/>
    <mergeCell ref="B4:B5"/>
    <mergeCell ref="C4:C5"/>
    <mergeCell ref="D4:D5"/>
    <mergeCell ref="E4:E5"/>
    <mergeCell ref="AM4:AO4"/>
    <mergeCell ref="AP4:AR4"/>
    <mergeCell ref="A32:D32"/>
    <mergeCell ref="R4:T4"/>
    <mergeCell ref="U4:W4"/>
    <mergeCell ref="X4:Z4"/>
    <mergeCell ref="AA4:AC4"/>
    <mergeCell ref="AD4:AF4"/>
    <mergeCell ref="AG4:AI4"/>
    <mergeCell ref="O4:Q4"/>
    <mergeCell ref="L4:N4"/>
    <mergeCell ref="I4:K4"/>
    <mergeCell ref="H4:H5"/>
    <mergeCell ref="G4:G5"/>
    <mergeCell ref="A98:A99"/>
    <mergeCell ref="B98:B99"/>
    <mergeCell ref="C98:C99"/>
    <mergeCell ref="D98:D99"/>
    <mergeCell ref="AJ4:AL4"/>
    <mergeCell ref="H33:H34"/>
    <mergeCell ref="I98:J98"/>
    <mergeCell ref="A33:A34"/>
    <mergeCell ref="G33:G34"/>
    <mergeCell ref="E33:E34"/>
    <mergeCell ref="D33:D34"/>
    <mergeCell ref="C33:C34"/>
    <mergeCell ref="B33:B34"/>
    <mergeCell ref="A97:D97"/>
    <mergeCell ref="G98:G99"/>
    <mergeCell ref="H98:H99"/>
    <mergeCell ref="AP33:AR33"/>
    <mergeCell ref="AJ33:AL33"/>
    <mergeCell ref="AM33:AO33"/>
    <mergeCell ref="C83:C84"/>
    <mergeCell ref="D83:D84"/>
    <mergeCell ref="A82:D82"/>
    <mergeCell ref="G83:G84"/>
    <mergeCell ref="H83:H84"/>
    <mergeCell ref="A83:A84"/>
    <mergeCell ref="B83:B84"/>
    <mergeCell ref="AG33:AI33"/>
    <mergeCell ref="AD33:AF33"/>
    <mergeCell ref="AA33:AC33"/>
    <mergeCell ref="X33:Z33"/>
    <mergeCell ref="U33:W33"/>
    <mergeCell ref="I83:J83"/>
    <mergeCell ref="U98:V98"/>
    <mergeCell ref="AE98:AF98"/>
    <mergeCell ref="W98:X98"/>
    <mergeCell ref="U83:V83"/>
    <mergeCell ref="W83:X83"/>
    <mergeCell ref="Y83:Z83"/>
    <mergeCell ref="AA83:AB83"/>
    <mergeCell ref="AC83:AD83"/>
    <mergeCell ref="AE83:AF83"/>
    <mergeCell ref="Y98:Z98"/>
    <mergeCell ref="AA98:AB98"/>
    <mergeCell ref="AC98:AD98"/>
    <mergeCell ref="S98:T98"/>
    <mergeCell ref="Q98:R98"/>
    <mergeCell ref="O98:P98"/>
    <mergeCell ref="M98:N98"/>
    <mergeCell ref="K98:L98"/>
    <mergeCell ref="R33:T33"/>
    <mergeCell ref="O33:Q33"/>
    <mergeCell ref="L33:N33"/>
    <mergeCell ref="I33:K33"/>
    <mergeCell ref="S83:T83"/>
    <mergeCell ref="Q83:R83"/>
    <mergeCell ref="O83:P83"/>
    <mergeCell ref="M83:N83"/>
    <mergeCell ref="K83:L83"/>
  </mergeCells>
  <pageMargins left="0.7" right="0.7" top="0.75" bottom="0.75" header="0.3" footer="0.3"/>
  <ignoredErrors>
    <ignoredError sqref="L35 O35 R35 U35 X35:AD35 AG35 AJ35 AM35 AP35 C109 O13:R14 D103 C107 C103 K15:K18 L13 N15:N18 O17:R17 O15:Q15 O16:P16 R15:R16 O18 Q18:R18 T15 T17:T18 U13 W15 W17:W18 Z15 Z17:Z18 X13 AC15:AC18 AA13 AD13 AF15 AF17:AF18 AI15:AI18 AL15:AL18 AJ13 AG13 AM13:AO15 AO17:AO18 T114 R114 V114 X114 Z114 AB101:AF101 AC113 AB109:AF109 Z101 X101 V101 P103 R101 T101 J101 L101 D107 J103 J107 J109 L103 L107 L109 P107 P109 R103 R107 R109 T103 T107 T109 V103 V107 V109 X103 X107 X109 Z103 Z107 Z109 AC100 AB103:AF103 AC102 AB107:AF107 AC106 AE100 AE102 AE106 AE113" formula="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102</vt:i4>
      </vt:variant>
    </vt:vector>
  </HeadingPairs>
  <TitlesOfParts>
    <vt:vector size="123" baseType="lpstr">
      <vt:lpstr>Титульный лист</vt:lpstr>
      <vt:lpstr>Рейтинг МКД</vt:lpstr>
      <vt:lpstr>Ввод исходных данных</vt:lpstr>
      <vt:lpstr>Список мероприятий</vt:lpstr>
      <vt:lpstr>Экономический расчет</vt:lpstr>
      <vt:lpstr>Форма приложения к заявке</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классы ЭЭ и выбросы ПГ</vt:lpstr>
      <vt:lpstr>кривые</vt:lpstr>
      <vt:lpstr>кривые-экспресс</vt:lpstr>
      <vt:lpstr>Электроэнергия_на_обогрев</vt:lpstr>
      <vt:lpstr>ActionMatrix_All</vt:lpstr>
      <vt:lpstr>Actions_extra</vt:lpstr>
      <vt:lpstr>'Рейтинг МКД'!AITPIAUU</vt:lpstr>
      <vt:lpstr>'Форма приложения к заявке'!AITPIAUU</vt:lpstr>
      <vt:lpstr>AITPIAUU</vt:lpstr>
      <vt:lpstr>'Форма приложения к заявке'!AptWindow</vt:lpstr>
      <vt:lpstr>AptWindow</vt:lpstr>
      <vt:lpstr>'Рейтинг МКД'!AtticMat</vt:lpstr>
      <vt:lpstr>'Форма приложения к заявке'!AtticMat</vt:lpstr>
      <vt:lpstr>AtticMat</vt:lpstr>
      <vt:lpstr>'Рейтинг МКД'!AUU</vt:lpstr>
      <vt:lpstr>'Форма приложения к заявке'!AUU</vt:lpstr>
      <vt:lpstr>AUU</vt:lpstr>
      <vt:lpstr>'Рейтинг МКД'!CellarMat</vt:lpstr>
      <vt:lpstr>'Форма приложения к заявке'!CellarMat</vt:lpstr>
      <vt:lpstr>CellarMat</vt:lpstr>
      <vt:lpstr>'Рейтинг МКД'!CGVS</vt:lpstr>
      <vt:lpstr>'Форма приложения к заявке'!CGVS</vt:lpstr>
      <vt:lpstr>CGVS</vt:lpstr>
      <vt:lpstr>'Рейтинг МКД'!danet</vt:lpstr>
      <vt:lpstr>'Форма приложения к заявке'!danet</vt:lpstr>
      <vt:lpstr>danet</vt:lpstr>
      <vt:lpstr>'Рейтинг МКД'!datebill</vt:lpstr>
      <vt:lpstr>'Форма приложения к заявке'!datebill</vt:lpstr>
      <vt:lpstr>datebill</vt:lpstr>
      <vt:lpstr>'Рейтинг МКД'!lamps</vt:lpstr>
      <vt:lpstr>'Форма приложения к заявке'!lamps</vt:lpstr>
      <vt:lpstr>lamps</vt:lpstr>
      <vt:lpstr>'Рейтинг МКД'!LampsNew</vt:lpstr>
      <vt:lpstr>'Форма приложения к заявке'!LampsNew</vt:lpstr>
      <vt:lpstr>LampsNew</vt:lpstr>
      <vt:lpstr>'Рейтинг МКД'!layer</vt:lpstr>
      <vt:lpstr>'Форма приложения к заявке'!layer</vt:lpstr>
      <vt:lpstr>layer</vt:lpstr>
      <vt:lpstr>'Рейтинг МКД'!layer15</vt:lpstr>
      <vt:lpstr>'Форма приложения к заявке'!layer15</vt:lpstr>
      <vt:lpstr>layer15</vt:lpstr>
      <vt:lpstr>'Рейтинг МКД'!materials</vt:lpstr>
      <vt:lpstr>'Форма приложения к заявке'!materials</vt:lpstr>
      <vt:lpstr>materials</vt:lpstr>
      <vt:lpstr>'Рейтинг МКД'!Months</vt:lpstr>
      <vt:lpstr>'Форма приложения к заявке'!Months</vt:lpstr>
      <vt:lpstr>Months</vt:lpstr>
      <vt:lpstr>'Рейтинг МКД'!months12</vt:lpstr>
      <vt:lpstr>'Форма приложения к заявке'!months12</vt:lpstr>
      <vt:lpstr>months12</vt:lpstr>
      <vt:lpstr>Months12ext</vt:lpstr>
      <vt:lpstr>pereplet</vt:lpstr>
      <vt:lpstr>repair</vt:lpstr>
      <vt:lpstr>Shvy</vt:lpstr>
      <vt:lpstr>SNIP_temperature</vt:lpstr>
      <vt:lpstr>'Рейтинг МКД'!snipyear</vt:lpstr>
      <vt:lpstr>'Форма приложения к заявке'!snipyear</vt:lpstr>
      <vt:lpstr>snipyear</vt:lpstr>
      <vt:lpstr>'Форма приложения к заявке'!SposobRascheta</vt:lpstr>
      <vt:lpstr>SposobRascheta</vt:lpstr>
      <vt:lpstr>'Рейтинг МКД'!TempWat</vt:lpstr>
      <vt:lpstr>'Форма приложения к заявке'!TempWat</vt:lpstr>
      <vt:lpstr>TempWat</vt:lpstr>
      <vt:lpstr>'Рейтинг МКД'!Windows</vt:lpstr>
      <vt:lpstr>'Форма приложения к заявке'!Windows</vt:lpstr>
      <vt:lpstr>Windows</vt:lpstr>
      <vt:lpstr>'Рейтинг МКД'!WindowsOld</vt:lpstr>
      <vt:lpstr>'Форма приложения к заявке'!WindowsOld</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'Рейтинг МКД'!Область_печати</vt:lpstr>
      <vt:lpstr>'Титульный лист'!Область_печати</vt:lpstr>
      <vt:lpstr>'Форма обратной связи'!Область_печати</vt:lpstr>
      <vt:lpstr>'Форма приложения к заявке'!Область_печати</vt:lpstr>
      <vt:lpstr>'Экономический расчет'!Область_печати</vt:lpstr>
      <vt:lpstr>'Рейтинг МКД'!ОсвНар</vt:lpstr>
      <vt:lpstr>'Форма приложения к заявке'!ОсвНар</vt:lpstr>
      <vt:lpstr>ОсвНар</vt:lpstr>
      <vt:lpstr>'Рейтинг МКД'!ОсвНарСтар</vt:lpstr>
      <vt:lpstr>'Форма приложения к заявке'!ОсвНарСтар</vt:lpstr>
      <vt:lpstr>ОсвНарСтар</vt:lpstr>
      <vt:lpstr>'кривые-экспресс'!РегионСтарт</vt:lpstr>
      <vt:lpstr>'Расчет после реализации'!РегионСтарт</vt:lpstr>
      <vt:lpstr>'Рейтинг МКД'!РегионСтарт</vt:lpstr>
      <vt:lpstr>РегионСтарт</vt:lpstr>
      <vt:lpstr>'кривые-экспресс'!РегионСтолбец</vt:lpstr>
      <vt:lpstr>'Расчет после реализации'!РегионСтолбец</vt:lpstr>
      <vt:lpstr>'Рейтинг МКД'!РегионСтолбец</vt:lpstr>
      <vt:lpstr>РегионСтолбец</vt:lpstr>
      <vt:lpstr>'Рейтинг МКД'!РегионыСписок</vt:lpstr>
      <vt:lpstr>'Форма приложения к заявке'!РегионыСписок</vt:lpstr>
      <vt:lpstr>РегионыСписок</vt:lpstr>
      <vt:lpstr>'Рейтинг МКД'!Серии</vt:lpstr>
      <vt:lpstr>'Форма приложения к заявке'!Серии</vt:lpstr>
      <vt:lpstr>Серии</vt:lpstr>
      <vt:lpstr>'Рейтинг МКД'!СерииТепл</vt:lpstr>
      <vt:lpstr>'Форма приложения к заявке'!СерииТепл</vt:lpstr>
      <vt:lpstr>СерииТепл</vt:lpstr>
      <vt:lpstr>'Рейтинг МКД'!СерииТеплНач</vt:lpstr>
      <vt:lpstr>'Форма приложения к заявке'!СерииТеплНач</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Андрей</cp:lastModifiedBy>
  <cp:lastPrinted>2019-07-12T13:46:28Z</cp:lastPrinted>
  <dcterms:created xsi:type="dcterms:W3CDTF">2016-10-10T08:58:27Z</dcterms:created>
  <dcterms:modified xsi:type="dcterms:W3CDTF">2019-07-17T10:23:26Z</dcterms:modified>
  <cp:category>Приложение</cp:category>
</cp:coreProperties>
</file>